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Itogovoe\Документы\"/>
    </mc:Choice>
  </mc:AlternateContent>
  <xr:revisionPtr revIDLastSave="0" documentId="13_ncr:1_{F7DF9B24-49F2-4030-A3C5-4DE6B6B251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21" i="3"/>
  <c r="G22" i="3"/>
  <c r="E20" i="3"/>
  <c r="F20" i="3" s="1"/>
  <c r="E21" i="3"/>
  <c r="F21" i="3" s="1"/>
  <c r="E22" i="3"/>
  <c r="F22" i="3" s="1"/>
  <c r="D20" i="3"/>
  <c r="D21" i="3"/>
  <c r="D22" i="3"/>
  <c r="G31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D12" i="3"/>
  <c r="D3" i="3"/>
  <c r="H21" i="3" l="1"/>
  <c r="H22" i="3"/>
  <c r="H20" i="3"/>
  <c r="H12" i="3"/>
  <c r="H3" i="3"/>
  <c r="A13" i="4" l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4" i="6"/>
  <c r="E4" i="6" s="1"/>
  <c r="H71" i="2"/>
  <c r="H79" i="2"/>
  <c r="H78" i="2"/>
  <c r="H77" i="2"/>
  <c r="H68" i="2"/>
  <c r="H70" i="2"/>
  <c r="H69" i="2"/>
  <c r="H76" i="2"/>
  <c r="H75" i="2"/>
  <c r="H74" i="2"/>
  <c r="H73" i="2"/>
  <c r="H72" i="2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H54" i="2"/>
  <c r="H53" i="2"/>
  <c r="H52" i="2"/>
  <c r="H63" i="2"/>
  <c r="H62" i="2"/>
  <c r="H61" i="2"/>
  <c r="H60" i="2"/>
  <c r="H59" i="2"/>
  <c r="H58" i="2"/>
  <c r="H56" i="2"/>
  <c r="H57" i="2"/>
  <c r="H55" i="2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H31" i="2"/>
  <c r="H30" i="2"/>
  <c r="H29" i="2"/>
  <c r="H22" i="2"/>
  <c r="H20" i="2"/>
  <c r="H26" i="2"/>
  <c r="H25" i="2"/>
  <c r="H24" i="2"/>
  <c r="H23" i="2"/>
  <c r="H21" i="2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G23" i="2"/>
  <c r="I23" i="2" s="1"/>
  <c r="G22" i="2"/>
  <c r="I22" i="2" s="1"/>
  <c r="G21" i="2"/>
  <c r="I21" i="2" s="1"/>
  <c r="G20" i="2"/>
  <c r="I20" i="2" s="1"/>
  <c r="H15" i="2"/>
  <c r="H13" i="2"/>
  <c r="H14" i="2"/>
  <c r="H8" i="2"/>
  <c r="H6" i="2"/>
  <c r="H4" i="2"/>
  <c r="H5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4" i="2"/>
  <c r="I4" i="2" s="1"/>
  <c r="H12" i="2"/>
  <c r="H11" i="2"/>
  <c r="H10" i="2"/>
  <c r="H9" i="2"/>
  <c r="H7" i="2"/>
  <c r="D2" i="3"/>
  <c r="H2" i="3" s="1"/>
  <c r="H27" i="2"/>
  <c r="H28" i="2"/>
  <c r="H20" i="5"/>
  <c r="P4" i="3"/>
  <c r="D25" i="3"/>
  <c r="H25" i="3" s="1"/>
  <c r="C58" i="3"/>
  <c r="C63" i="3"/>
  <c r="C66" i="3"/>
  <c r="C62" i="3"/>
  <c r="D66" i="3" l="1"/>
  <c r="G66" i="3"/>
  <c r="I24" i="2"/>
  <c r="G58" i="3"/>
  <c r="D58" i="3"/>
  <c r="G62" i="3"/>
  <c r="Z3" i="3"/>
  <c r="Z4" i="3"/>
  <c r="Z5" i="3"/>
  <c r="Z6" i="3"/>
  <c r="Z7" i="3"/>
  <c r="Z2" i="3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3" i="3"/>
  <c r="H23" i="3" s="1"/>
  <c r="D24" i="3"/>
  <c r="H24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E31" i="3"/>
  <c r="F31" i="3" s="1"/>
  <c r="C59" i="3"/>
  <c r="C57" i="3"/>
  <c r="C61" i="3"/>
  <c r="H31" i="3" l="1"/>
  <c r="G57" i="3"/>
  <c r="G61" i="3"/>
  <c r="G59" i="3"/>
  <c r="P2" i="3"/>
  <c r="P6" i="3"/>
  <c r="P7" i="3"/>
  <c r="C55" i="3"/>
  <c r="C56" i="3"/>
  <c r="G55" i="3" l="1"/>
  <c r="G56" i="3"/>
  <c r="D55" i="3"/>
  <c r="B68" i="3"/>
  <c r="P3" i="3" l="1"/>
  <c r="D57" i="3" l="1"/>
  <c r="W2" i="3" l="1"/>
  <c r="S7" i="3" l="1"/>
  <c r="S2" i="3"/>
  <c r="A3" i="4" l="1"/>
  <c r="A4" i="4"/>
  <c r="A5" i="4"/>
  <c r="A6" i="4"/>
  <c r="F66" i="3" s="1"/>
  <c r="H66" i="3" s="1"/>
  <c r="I66" i="3" s="1"/>
  <c r="A7" i="4"/>
  <c r="A8" i="4"/>
  <c r="A9" i="4"/>
  <c r="A10" i="4"/>
  <c r="A11" i="4"/>
  <c r="A12" i="4"/>
  <c r="A14" i="4"/>
  <c r="A2" i="4"/>
  <c r="F67" i="3" l="1"/>
  <c r="F43" i="2"/>
  <c r="F6" i="2"/>
  <c r="F54" i="2"/>
  <c r="B10" i="6"/>
  <c r="F27" i="2"/>
  <c r="F75" i="2"/>
  <c r="F9" i="2"/>
  <c r="F26" i="2"/>
  <c r="F10" i="2"/>
  <c r="F60" i="2"/>
  <c r="F11" i="2"/>
  <c r="B8" i="6"/>
  <c r="F36" i="2"/>
  <c r="F25" i="2"/>
  <c r="B5" i="6"/>
  <c r="F45" i="2"/>
  <c r="F73" i="2"/>
  <c r="F59" i="2"/>
  <c r="F13" i="2"/>
  <c r="B7" i="6"/>
  <c r="F47" i="2"/>
  <c r="F39" i="2"/>
  <c r="F24" i="2"/>
  <c r="F14" i="2"/>
  <c r="F72" i="2"/>
  <c r="F58" i="2"/>
  <c r="F15" i="2"/>
  <c r="B6" i="6"/>
  <c r="F46" i="2"/>
  <c r="F31" i="2"/>
  <c r="F23" i="2"/>
  <c r="F71" i="2"/>
  <c r="F38" i="2"/>
  <c r="F4" i="2"/>
  <c r="F57" i="2"/>
  <c r="F22" i="2"/>
  <c r="B15" i="6"/>
  <c r="B4" i="6"/>
  <c r="F78" i="2"/>
  <c r="F70" i="2"/>
  <c r="F56" i="2"/>
  <c r="F44" i="2"/>
  <c r="F29" i="2"/>
  <c r="F21" i="2"/>
  <c r="B11" i="6"/>
  <c r="F68" i="2"/>
  <c r="F7" i="2"/>
  <c r="F42" i="2"/>
  <c r="F8" i="2"/>
  <c r="F61" i="2"/>
  <c r="F41" i="2"/>
  <c r="F52" i="2"/>
  <c r="F12" i="2"/>
  <c r="F79" i="2"/>
  <c r="F30" i="2"/>
  <c r="B14" i="6"/>
  <c r="B13" i="6"/>
  <c r="F77" i="2"/>
  <c r="F69" i="2"/>
  <c r="F63" i="2"/>
  <c r="F55" i="2"/>
  <c r="F5" i="2"/>
  <c r="B12" i="6"/>
  <c r="F28" i="2"/>
  <c r="F20" i="2"/>
  <c r="F76" i="2"/>
  <c r="F62" i="2"/>
  <c r="F53" i="2"/>
  <c r="B9" i="6"/>
  <c r="F74" i="2"/>
  <c r="F40" i="2"/>
  <c r="F37" i="2"/>
  <c r="F55" i="3"/>
  <c r="H55" i="3" s="1"/>
  <c r="F58" i="3"/>
  <c r="H58" i="3" s="1"/>
  <c r="F57" i="3"/>
  <c r="H67" i="3"/>
  <c r="F64" i="3"/>
  <c r="H64" i="3" s="1"/>
  <c r="F59" i="3"/>
  <c r="H59" i="3" s="1"/>
  <c r="F65" i="3"/>
  <c r="H65" i="3" s="1"/>
  <c r="F60" i="3"/>
  <c r="H60" i="3" s="1"/>
  <c r="F56" i="3"/>
  <c r="H56" i="3" s="1"/>
  <c r="F63" i="3"/>
  <c r="H63" i="3" s="1"/>
  <c r="F62" i="3"/>
  <c r="H62" i="3" s="1"/>
  <c r="F61" i="3"/>
  <c r="H61" i="3" s="1"/>
  <c r="T7" i="3"/>
  <c r="C64" i="3"/>
  <c r="C60" i="3"/>
  <c r="H57" i="3" l="1"/>
  <c r="I57" i="3" s="1"/>
  <c r="G63" i="3"/>
  <c r="G60" i="3"/>
  <c r="G64" i="3"/>
  <c r="I55" i="3"/>
  <c r="I62" i="3"/>
  <c r="I61" i="3"/>
  <c r="I59" i="3"/>
  <c r="I56" i="3"/>
  <c r="I63" i="3"/>
  <c r="I60" i="3"/>
  <c r="I64" i="3"/>
  <c r="I58" i="3"/>
  <c r="C65" i="3"/>
  <c r="C67" i="3"/>
  <c r="G65" i="3" l="1"/>
  <c r="I65" i="3" s="1"/>
  <c r="G67" i="3"/>
  <c r="I67" i="3" s="1"/>
  <c r="H68" i="3"/>
  <c r="G68" i="3"/>
  <c r="D64" i="3"/>
  <c r="D65" i="3"/>
  <c r="D67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8" i="3"/>
  <c r="D62" i="3"/>
  <c r="D63" i="3"/>
  <c r="D60" i="3"/>
  <c r="D61" i="3"/>
  <c r="D68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<sst xmlns="http://schemas.openxmlformats.org/spreadsheetml/2006/main" count="356" uniqueCount="113">
  <si>
    <t>Вход в систему</t>
  </si>
  <si>
    <t>Оплата билета</t>
  </si>
  <si>
    <t>Просмотр квитанций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</si>
  <si>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</si>
  <si>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</si>
  <si>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</si>
  <si>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</si>
  <si>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</si>
  <si>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</si>
  <si>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</si>
  <si>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</si>
  <si>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</si>
  <si>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</si>
  <si>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</si>
  <si>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</si>
  <si>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</si>
  <si>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</si>
  <si>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</si>
  <si>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</si>
  <si>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</si>
  <si>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</si>
  <si>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</si>
  <si>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</si>
  <si>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</si>
  <si>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</si>
  <si>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</si>
  <si>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</si>
  <si>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</si>
  <si>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</si>
  <si>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</si>
  <si>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</si>
  <si>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</si>
  <si>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</si>
  <si>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</si>
  <si>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</si>
  <si>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</si>
  <si>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</si>
  <si>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</si>
  <si>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</si>
  <si>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</si>
  <si>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</si>
  <si>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</si>
  <si>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</si>
  <si>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</si>
  <si>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</si>
  <si>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</si>
  <si>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</si>
  <si>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</si>
  <si>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</si>
  <si>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</si>
  <si>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</si>
  <si>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</si>
  <si>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</si>
  <si>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</si>
  <si>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</si>
  <si>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</si>
  <si>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</si>
  <si>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</si>
  <si>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</si>
  <si>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</si>
  <si>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</si>
  <si>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</si>
  <si>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</si>
  <si>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</si>
  <si>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</si>
  <si>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</si>
  <si>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</si>
  <si>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</si>
  <si>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</si>
  <si>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</si>
  <si>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</si>
  <si>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</si>
  <si>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</si>
  <si>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</si>
  <si>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</si>
  <si>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</si>
  <si>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</si>
  <si>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</si>
  <si>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</si>
  <si>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</si>
  <si>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</si>
  <si>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</si>
  <si>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</si>
  <si>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</si>
  <si>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</si>
  <si>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</si>
  <si>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</si>
  <si>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</si>
  <si>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</si>
  <si>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</si>
  <si>
    <t>Главная страница</t>
  </si>
  <si>
    <t>Страница регистрации</t>
  </si>
  <si>
    <t>Регистрация пользователя</t>
  </si>
  <si>
    <t>ChooseCategory</t>
  </si>
  <si>
    <t>Выбор категории товаров</t>
  </si>
  <si>
    <t>ChooseProduct</t>
  </si>
  <si>
    <t>AddToCart</t>
  </si>
  <si>
    <t>Добавление товара в корзину</t>
  </si>
  <si>
    <t>OpenCart</t>
  </si>
  <si>
    <t>Переход в корзину</t>
  </si>
  <si>
    <t>CheckoutUserData</t>
  </si>
  <si>
    <t>Проверка пользовательских данных перед покупкой</t>
  </si>
  <si>
    <t>Payment</t>
  </si>
  <si>
    <t>Оплата</t>
  </si>
  <si>
    <t>DeleteProduct</t>
  </si>
  <si>
    <t>Удаление продукта</t>
  </si>
  <si>
    <t>SeachProduct</t>
  </si>
  <si>
    <t>Поиск продукта</t>
  </si>
  <si>
    <t>Переход на страницу продукта</t>
  </si>
  <si>
    <t>Покупка товара</t>
  </si>
  <si>
    <t xml:space="preserve">Удаление товаара </t>
  </si>
  <si>
    <t xml:space="preserve">Поиск товара 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</si>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</sst>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7" fillId="0" borderId="0" applyFont="0" applyFill="0" applyBorder="0" applyAlignment="0" applyProtection="0"/>
    <xf numFmtId="0" fontId="4" fillId="0" borderId="0"/>
    <xf numFmtId="0" fontId="31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8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2" fillId="0" borderId="25" xfId="0" applyFont="1" applyBorder="1"/>
    <xf numFmtId="0" fontId="32" fillId="42" borderId="22" xfId="0" applyFont="1" applyFill="1" applyBorder="1"/>
    <xf numFmtId="2" fontId="32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2" fillId="40" borderId="14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2" fillId="0" borderId="0" xfId="0" applyFont="1"/>
    <xf numFmtId="0" fontId="0" fillId="0" borderId="31" xfId="0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0" borderId="2" xfId="0" quotePrefix="1" applyBorder="1"/>
    <xf numFmtId="1" fontId="0" fillId="40" borderId="2" xfId="0" applyNumberFormat="1" applyFill="1" applyBorder="1"/>
    <xf numFmtId="0" fontId="33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32" xfId="0" applyBorder="1"/>
    <xf numFmtId="9" fontId="0" fillId="0" borderId="2" xfId="44" applyFont="1" applyFill="1" applyBorder="1"/>
    <xf numFmtId="9" fontId="0" fillId="0" borderId="2" xfId="44" applyFont="1" applyBorder="1"/>
    <xf numFmtId="0" fontId="34" fillId="0" borderId="0" xfId="0" applyFont="1"/>
    <xf numFmtId="0" fontId="36" fillId="0" borderId="2" xfId="0" applyFont="1" applyBorder="1" applyAlignment="1">
      <alignment horizontal="left" vertical="top"/>
    </xf>
    <xf numFmtId="0" fontId="36" fillId="0" borderId="2" xfId="0" applyFont="1" applyBorder="1"/>
    <xf numFmtId="0" fontId="36" fillId="0" borderId="2" xfId="4" applyFont="1" applyBorder="1" applyAlignment="1">
      <alignment horizontal="left" vertical="top"/>
    </xf>
    <xf numFmtId="0" fontId="36" fillId="0" borderId="39" xfId="0" applyFont="1" applyBorder="1" applyAlignment="1">
      <alignment horizontal="left" vertical="top"/>
    </xf>
    <xf numFmtId="0" fontId="37" fillId="0" borderId="0" xfId="0" applyFont="1"/>
    <xf numFmtId="10" fontId="38" fillId="0" borderId="2" xfId="0" applyNumberFormat="1" applyFont="1" applyBorder="1" applyAlignment="1">
      <alignment horizontal="left" vertical="top"/>
    </xf>
    <xf numFmtId="0" fontId="36" fillId="0" borderId="2" xfId="42" applyFont="1" applyBorder="1"/>
    <xf numFmtId="0" fontId="35" fillId="0" borderId="0" xfId="0" applyFont="1"/>
    <xf numFmtId="10" fontId="0" fillId="0" borderId="0" xfId="0" applyNumberFormat="1"/>
    <xf numFmtId="0" fontId="34" fillId="0" borderId="2" xfId="0" applyFont="1" applyBorder="1"/>
    <xf numFmtId="0" fontId="14" fillId="5" borderId="2" xfId="0" applyFont="1" applyFill="1" applyBorder="1" applyAlignment="1">
      <alignment horizontal="center" vertical="top"/>
    </xf>
    <xf numFmtId="0" fontId="36" fillId="0" borderId="0" xfId="42" applyFont="1"/>
    <xf numFmtId="0" fontId="7" fillId="43" borderId="14" xfId="0" applyFont="1" applyFill="1" applyBorder="1" applyAlignment="1">
      <alignment horizontal="left" vertical="center" wrapText="1"/>
    </xf>
    <xf numFmtId="0" fontId="1" fillId="40" borderId="14" xfId="0" applyFont="1" applyFill="1" applyBorder="1"/>
    <xf numFmtId="0" fontId="1" fillId="40" borderId="28" xfId="0" applyFont="1" applyFill="1" applyBorder="1"/>
    <xf numFmtId="0" fontId="1" fillId="40" borderId="2" xfId="0" applyFont="1" applyFill="1" applyBorder="1"/>
    <xf numFmtId="0" fontId="2" fillId="40" borderId="38" xfId="0" applyFont="1" applyFill="1" applyBorder="1"/>
    <xf numFmtId="0" fontId="0" fillId="0" borderId="34" xfId="0" applyBorder="1"/>
    <xf numFmtId="0" fontId="2" fillId="40" borderId="2" xfId="0" applyFont="1" applyFill="1" applyBorder="1"/>
    <xf numFmtId="0" fontId="28" fillId="0" borderId="0" xfId="0" applyFont="1"/>
    <xf numFmtId="1" fontId="28" fillId="0" borderId="0" xfId="0" applyNumberFormat="1" applyFont="1"/>
    <xf numFmtId="0" fontId="39" fillId="40" borderId="2" xfId="0" applyFont="1" applyFill="1" applyBorder="1"/>
    <xf numFmtId="0" fontId="39" fillId="40" borderId="14" xfId="0" applyFont="1" applyFill="1" applyBorder="1"/>
    <xf numFmtId="0" fontId="32" fillId="0" borderId="2" xfId="0" applyFont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69.746048263885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4">
        <s v="Главная страница"/>
        <s v="Вход в систему"/>
        <s v="Выбор категории товаров"/>
        <s v="Переход на страницу продукта"/>
        <s v="Добавление товара в корзину"/>
        <s v="Переход в корзину"/>
        <s v="Проверка пользовательских данных перед покупкой"/>
        <s v="Оплата"/>
        <s v="Выход из системы"/>
        <s v="Страница регистрации"/>
        <s v="Регистрация пользователя"/>
        <s v="Удаление продукта"/>
        <s v="Поиск продукта"/>
        <m/>
        <s v="Главная Welcome страница" u="1"/>
        <s v="Переход на страницу поиска билетов" u="1"/>
        <s v="Заполнение полей для поиска билета " u="1"/>
        <s v="Выбор рейса из найденных " u="1"/>
        <s v="Оплата билета" u="1"/>
        <s v="Просмотр квитанций" u="1"/>
        <s v="Перход на страницу регистрации" u="1"/>
        <s v="Заполнение полей регистарции" u="1"/>
        <s v="Переход на следуюущий эран после регистарции" u="1"/>
        <s v="Отмена бронирования " u="1"/>
      </sharedItems>
    </cacheField>
    <cacheField name="count" numFmtId="0">
      <sharedItems containsString="0" containsBlank="1" containsNumber="1" containsInteger="1" minValue="1" maxValue="2"/>
    </cacheField>
    <cacheField name="VU" numFmtId="0">
      <sharedItems containsString="0" containsBlank="1" containsNumber="1" containsInteger="1" minValue="1" maxValue="2"/>
    </cacheField>
    <cacheField name="pacing" numFmtId="0">
      <sharedItems containsString="0" containsBlank="1" containsNumber="1" containsInteger="1" minValue="51" maxValue="130"/>
    </cacheField>
    <cacheField name="одним пользователем в минуту" numFmtId="0">
      <sharedItems containsString="0" containsBlank="1" containsNumber="1" minValue="0.46153846153846156" maxValue="2.1818181818181817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0">
      <sharedItems containsString="0" containsBlank="1" containsNumber="1" minValue="13.636363636363635" maxValue="87.272727272727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товара"/>
    <x v="0"/>
    <n v="1"/>
    <n v="2"/>
    <n v="130"/>
    <n v="0.46153846153846156"/>
    <n v="20"/>
    <n v="18.461538461538463"/>
  </r>
  <r>
    <s v="Покупка товара"/>
    <x v="1"/>
    <n v="1"/>
    <n v="2"/>
    <n v="130"/>
    <n v="0.46153846153846156"/>
    <n v="20"/>
    <n v="18.461538461538463"/>
  </r>
  <r>
    <s v="Покупка товара"/>
    <x v="2"/>
    <n v="1"/>
    <n v="2"/>
    <n v="130"/>
    <n v="0.46153846153846156"/>
    <n v="20"/>
    <n v="18.461538461538463"/>
  </r>
  <r>
    <s v="Покупка товара"/>
    <x v="3"/>
    <n v="1"/>
    <n v="2"/>
    <n v="130"/>
    <n v="0.46153846153846156"/>
    <n v="20"/>
    <n v="18.461538461538463"/>
  </r>
  <r>
    <s v="Покупка товара"/>
    <x v="4"/>
    <n v="1"/>
    <n v="2"/>
    <n v="130"/>
    <n v="0.46153846153846156"/>
    <n v="20"/>
    <n v="18.461538461538463"/>
  </r>
  <r>
    <s v="Покупка товара"/>
    <x v="5"/>
    <n v="1"/>
    <n v="2"/>
    <n v="130"/>
    <n v="0.46153846153846156"/>
    <n v="20"/>
    <n v="18.461538461538463"/>
  </r>
  <r>
    <s v="Покупка товара"/>
    <x v="6"/>
    <n v="1"/>
    <n v="2"/>
    <n v="130"/>
    <n v="0.46153846153846156"/>
    <n v="20"/>
    <n v="18.461538461538463"/>
  </r>
  <r>
    <s v="Покупка товара"/>
    <x v="7"/>
    <n v="1"/>
    <n v="2"/>
    <n v="130"/>
    <n v="0.46153846153846156"/>
    <n v="20"/>
    <n v="18.461538461538463"/>
  </r>
  <r>
    <s v="Логин"/>
    <x v="0"/>
    <n v="1"/>
    <n v="2"/>
    <n v="55"/>
    <n v="1.0909090909090908"/>
    <n v="20"/>
    <n v="43.636363636363633"/>
  </r>
  <r>
    <s v="Логин"/>
    <x v="1"/>
    <n v="1"/>
    <n v="2"/>
    <n v="55"/>
    <n v="1.0909090909090908"/>
    <n v="20"/>
    <n v="43.636363636363633"/>
  </r>
  <r>
    <s v="Логин"/>
    <x v="2"/>
    <n v="2"/>
    <n v="2"/>
    <n v="55"/>
    <n v="2.1818181818181817"/>
    <n v="20"/>
    <n v="87.272727272727266"/>
  </r>
  <r>
    <s v="Логин"/>
    <x v="8"/>
    <n v="1"/>
    <n v="2"/>
    <n v="55"/>
    <n v="1.0909090909090908"/>
    <n v="20"/>
    <n v="43.636363636363633"/>
  </r>
  <r>
    <s v="Регистрация новых пользователей"/>
    <x v="0"/>
    <n v="1"/>
    <n v="1"/>
    <n v="51"/>
    <n v="1.1764705882352942"/>
    <n v="20"/>
    <n v="23.529411764705884"/>
  </r>
  <r>
    <s v="Регистрация новых пользователей"/>
    <x v="9"/>
    <n v="1"/>
    <n v="1"/>
    <n v="51"/>
    <n v="1.1764705882352942"/>
    <n v="20"/>
    <n v="23.529411764705884"/>
  </r>
  <r>
    <s v="Регистрация новых пользователей"/>
    <x v="10"/>
    <n v="1"/>
    <n v="1"/>
    <n v="51"/>
    <n v="1.1764705882352942"/>
    <n v="20"/>
    <n v="23.529411764705884"/>
  </r>
  <r>
    <s v="Регистрация новых пользователей"/>
    <x v="8"/>
    <n v="1"/>
    <n v="1"/>
    <n v="51"/>
    <n v="1.1764705882352942"/>
    <n v="20"/>
    <n v="23.529411764705884"/>
  </r>
  <r>
    <s v="Удаление товаара "/>
    <x v="0"/>
    <n v="1"/>
    <n v="1"/>
    <n v="88"/>
    <n v="0.68181818181818177"/>
    <n v="20"/>
    <n v="13.636363636363635"/>
  </r>
  <r>
    <s v="Удаление товаара "/>
    <x v="1"/>
    <n v="1"/>
    <n v="1"/>
    <n v="88"/>
    <n v="0.68181818181818177"/>
    <n v="20"/>
    <n v="13.636363636363635"/>
  </r>
  <r>
    <s v="Удаление товаара "/>
    <x v="2"/>
    <n v="1"/>
    <n v="1"/>
    <n v="88"/>
    <n v="0.68181818181818177"/>
    <n v="20"/>
    <n v="13.636363636363635"/>
  </r>
  <r>
    <s v="Удаление товаара "/>
    <x v="3"/>
    <n v="1"/>
    <n v="1"/>
    <n v="88"/>
    <n v="0.68181818181818177"/>
    <n v="20"/>
    <n v="13.636363636363635"/>
  </r>
  <r>
    <s v="Удаление товаара "/>
    <x v="4"/>
    <n v="1"/>
    <n v="1"/>
    <n v="88"/>
    <n v="0.68181818181818177"/>
    <n v="20"/>
    <n v="13.636363636363635"/>
  </r>
  <r>
    <s v="Удаление товаара "/>
    <x v="5"/>
    <n v="1"/>
    <n v="1"/>
    <n v="88"/>
    <n v="0.68181818181818177"/>
    <n v="20"/>
    <n v="13.636363636363635"/>
  </r>
  <r>
    <s v="Удаление товаара "/>
    <x v="11"/>
    <n v="1"/>
    <n v="1"/>
    <n v="88"/>
    <n v="0.68181818181818177"/>
    <n v="20"/>
    <n v="13.636363636363635"/>
  </r>
  <r>
    <s v="Поиск товара "/>
    <x v="0"/>
    <n v="1"/>
    <n v="2"/>
    <n v="55"/>
    <n v="1.0909090909090908"/>
    <n v="20"/>
    <n v="43.636363636363633"/>
  </r>
  <r>
    <s v="Поиск товара "/>
    <x v="12"/>
    <n v="1"/>
    <n v="2"/>
    <n v="55"/>
    <n v="1.0909090909090908"/>
    <n v="20"/>
    <n v="43.636363636363633"/>
  </r>
  <r>
    <s v="Добавление товара в корзину"/>
    <x v="0"/>
    <n v="1"/>
    <n v="2"/>
    <n v="80"/>
    <n v="0.75"/>
    <n v="20"/>
    <n v="30"/>
  </r>
  <r>
    <s v="Добавление товара в корзину"/>
    <x v="1"/>
    <n v="1"/>
    <n v="2"/>
    <n v="80"/>
    <n v="0.75"/>
    <n v="20"/>
    <n v="30"/>
  </r>
  <r>
    <s v="Добавление товара в корзину"/>
    <x v="2"/>
    <n v="1"/>
    <n v="2"/>
    <n v="80"/>
    <n v="0.75"/>
    <n v="20"/>
    <n v="30"/>
  </r>
  <r>
    <s v="Добавление товара в корзину"/>
    <x v="3"/>
    <n v="1"/>
    <n v="2"/>
    <n v="80"/>
    <n v="0.75"/>
    <n v="20"/>
    <n v="30"/>
  </r>
  <r>
    <s v="Добавление товара в корзину"/>
    <x v="4"/>
    <n v="1"/>
    <n v="2"/>
    <n v="80"/>
    <n v="0.75"/>
    <n v="20"/>
    <n v="30"/>
  </r>
  <r>
    <m/>
    <x v="13"/>
    <m/>
    <m/>
    <m/>
    <m/>
    <m/>
    <m/>
  </r>
  <r>
    <m/>
    <x v="13"/>
    <m/>
    <m/>
    <m/>
    <m/>
    <m/>
    <m/>
  </r>
  <r>
    <m/>
    <x v="13"/>
    <m/>
    <m/>
    <m/>
    <m/>
    <m/>
    <m/>
  </r>
  <r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6" firstHeaderRow="1" firstDataRow="1" firstDataCol="1"/>
  <pivotFields count="8">
    <pivotField showAll="0"/>
    <pivotField axis="axisRow" showAll="0">
      <items count="25">
        <item x="1"/>
        <item m="1" x="17"/>
        <item x="8"/>
        <item m="1" x="16"/>
        <item m="1" x="18"/>
        <item m="1" x="23"/>
        <item m="1" x="19"/>
        <item m="1" x="14"/>
        <item m="1" x="20"/>
        <item m="1" x="21"/>
        <item m="1" x="22"/>
        <item m="1" x="15"/>
        <item x="0"/>
        <item x="2"/>
        <item x="3"/>
        <item x="4"/>
        <item x="5"/>
        <item x="6"/>
        <item x="7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2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topLeftCell="A40" zoomScale="85" zoomScaleNormal="85" workbookViewId="0">
      <selection activeCell="G46" sqref="G46"/>
    </sheetView>
  </sheetViews>
  <sheetFormatPr defaultColWidth="11.42578125" defaultRowHeight="15" x14ac:dyDescent="0.25"/>
  <cols>
    <col min="1" max="1" width="36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50.8554687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17</v>
      </c>
      <c r="B1" s="8" t="s">
        <v>18</v>
      </c>
      <c r="C1" s="8" t="s">
        <v>19</v>
      </c>
      <c r="D1" s="8" t="s">
        <v>21</v>
      </c>
      <c r="E1" s="8" t="s">
        <v>30</v>
      </c>
      <c r="F1" s="8" t="s">
        <v>31</v>
      </c>
      <c r="G1" s="8" t="s">
        <v>32</v>
      </c>
      <c r="H1" s="8" t="s">
        <v>4</v>
      </c>
      <c r="I1" s="1" t="s">
        <v>60</v>
      </c>
      <c r="J1" t="s">
        <v>29</v>
      </c>
      <c r="M1" s="21" t="s">
        <v>20</v>
      </c>
      <c r="N1" s="22" t="s">
        <v>22</v>
      </c>
      <c r="O1" s="22" t="s">
        <v>23</v>
      </c>
      <c r="P1" s="22" t="s">
        <v>57</v>
      </c>
      <c r="Q1" s="22" t="s">
        <v>24</v>
      </c>
      <c r="R1" s="22" t="s">
        <v>21</v>
      </c>
      <c r="S1" s="29" t="s">
        <v>27</v>
      </c>
      <c r="T1" s="39" t="s">
        <v>59</v>
      </c>
      <c r="U1" s="30" t="s">
        <v>25</v>
      </c>
      <c r="V1" s="30" t="s">
        <v>26</v>
      </c>
      <c r="W1" s="15" t="s">
        <v>28</v>
      </c>
    </row>
    <row r="2" spans="1:26" ht="15.75" thickBot="1" x14ac:dyDescent="0.3">
      <c r="A2" s="82" t="s">
        <v>109</v>
      </c>
      <c r="B2" s="29" t="s">
        <v>90</v>
      </c>
      <c r="C2" s="53">
        <v>1</v>
      </c>
      <c r="D2" s="54">
        <f>VLOOKUP(A2,$M$1:$X$8,6,FALSE)</f>
        <v>2</v>
      </c>
      <c r="E2">
        <f t="shared" ref="E2:E11" si="0">VLOOKUP(A2,$M$1:$X$8,5,FALSE)</f>
        <v>130</v>
      </c>
      <c r="F2" s="4">
        <f t="shared" ref="F2:F11" si="1">60/E2*C2</f>
        <v>0.46153846153846156</v>
      </c>
      <c r="G2">
        <f t="shared" ref="G2:G11" si="2">VLOOKUP(A2,$M$1:$X$8,9,FALSE)</f>
        <v>20</v>
      </c>
      <c r="H2" s="3">
        <f t="shared" ref="H2:H11" si="3">D2*F2*G2</f>
        <v>18.461538461538463</v>
      </c>
      <c r="I2" s="2" t="s">
        <v>0</v>
      </c>
      <c r="J2" s="3">
        <v>105.73426573426573</v>
      </c>
      <c r="L2" s="61"/>
      <c r="M2" s="64" t="s">
        <v>109</v>
      </c>
      <c r="N2" s="5">
        <v>30</v>
      </c>
      <c r="O2" s="18">
        <v>35</v>
      </c>
      <c r="P2" s="19">
        <f>N2+O2</f>
        <v>65</v>
      </c>
      <c r="Q2" s="9">
        <v>130</v>
      </c>
      <c r="R2" s="27">
        <v>2</v>
      </c>
      <c r="S2" s="28">
        <f>R2/W$2</f>
        <v>0.2</v>
      </c>
      <c r="T2" s="40">
        <f t="shared" ref="T2:T7" si="4">60/(Q2)</f>
        <v>0.46153846153846156</v>
      </c>
      <c r="U2" s="87">
        <v>20</v>
      </c>
      <c r="V2" s="88">
        <f>ROUND(R2*T2*U2,0)</f>
        <v>18</v>
      </c>
      <c r="W2" s="13">
        <f>SUM(R2:R7)</f>
        <v>10</v>
      </c>
      <c r="Y2">
        <v>10</v>
      </c>
      <c r="Z2">
        <f>Q2+((Q2/100)*Y2)</f>
        <v>143</v>
      </c>
    </row>
    <row r="3" spans="1:26" ht="15.75" thickBot="1" x14ac:dyDescent="0.3">
      <c r="A3" s="83" t="s">
        <v>109</v>
      </c>
      <c r="B3" s="37" t="s">
        <v>0</v>
      </c>
      <c r="C3" s="53">
        <v>1</v>
      </c>
      <c r="D3" s="54">
        <f>VLOOKUP(A3,$M$1:$X$8,6,FALSE)</f>
        <v>2</v>
      </c>
      <c r="E3">
        <f t="shared" si="0"/>
        <v>130</v>
      </c>
      <c r="F3" s="4">
        <f t="shared" si="1"/>
        <v>0.46153846153846156</v>
      </c>
      <c r="G3">
        <f t="shared" si="2"/>
        <v>20</v>
      </c>
      <c r="H3" s="3">
        <f t="shared" si="3"/>
        <v>18.461538461538463</v>
      </c>
      <c r="I3" s="2" t="s">
        <v>3</v>
      </c>
      <c r="J3" s="3">
        <v>67.16577540106951</v>
      </c>
      <c r="L3" s="62"/>
      <c r="M3" s="64" t="s">
        <v>110</v>
      </c>
      <c r="N3" s="5">
        <v>20</v>
      </c>
      <c r="O3" s="18">
        <v>24</v>
      </c>
      <c r="P3" s="19">
        <f t="shared" ref="P3:P7" si="5">N3+O3</f>
        <v>44</v>
      </c>
      <c r="Q3" s="9">
        <v>88</v>
      </c>
      <c r="R3" s="27">
        <v>1</v>
      </c>
      <c r="S3" s="28">
        <f t="shared" ref="S3:S6" si="6">R3/W$2</f>
        <v>0.1</v>
      </c>
      <c r="T3" s="40">
        <f t="shared" si="4"/>
        <v>0.68181818181818177</v>
      </c>
      <c r="U3" s="87">
        <v>20</v>
      </c>
      <c r="V3" s="88">
        <f>ROUND(R3*T3*U3,0)</f>
        <v>14</v>
      </c>
      <c r="W3" s="13"/>
      <c r="Y3">
        <v>10</v>
      </c>
      <c r="Z3">
        <f t="shared" ref="Z3:Z7" si="7">Q3+((Q3/100)*Y3)</f>
        <v>96.8</v>
      </c>
    </row>
    <row r="4" spans="1:26" ht="15.75" thickBot="1" x14ac:dyDescent="0.3">
      <c r="A4" s="83" t="s">
        <v>109</v>
      </c>
      <c r="B4" s="37" t="s">
        <v>94</v>
      </c>
      <c r="C4" s="53">
        <v>1</v>
      </c>
      <c r="D4" s="54">
        <f t="shared" ref="D4:D8" si="8">VLOOKUP(A4,$M$1:$X$8,6,FALSE)</f>
        <v>2</v>
      </c>
      <c r="E4">
        <f t="shared" si="0"/>
        <v>130</v>
      </c>
      <c r="F4" s="4">
        <f t="shared" si="1"/>
        <v>0.46153846153846156</v>
      </c>
      <c r="G4">
        <f t="shared" si="2"/>
        <v>20</v>
      </c>
      <c r="H4" s="3">
        <f t="shared" si="3"/>
        <v>18.461538461538463</v>
      </c>
      <c r="I4" s="2" t="s">
        <v>90</v>
      </c>
      <c r="J4" s="3">
        <v>172.90004113533524</v>
      </c>
      <c r="L4" s="61"/>
      <c r="M4" s="64" t="s">
        <v>38</v>
      </c>
      <c r="N4" s="5">
        <v>9</v>
      </c>
      <c r="O4" s="18">
        <v>15</v>
      </c>
      <c r="P4" s="19">
        <f t="shared" si="5"/>
        <v>24</v>
      </c>
      <c r="Q4" s="9">
        <v>51</v>
      </c>
      <c r="R4" s="27">
        <v>1</v>
      </c>
      <c r="S4" s="28">
        <f t="shared" si="6"/>
        <v>0.1</v>
      </c>
      <c r="T4" s="40">
        <f t="shared" si="4"/>
        <v>1.1764705882352942</v>
      </c>
      <c r="U4" s="87">
        <v>20</v>
      </c>
      <c r="V4" s="88">
        <f>ROUND(R4*T4*U4,0)</f>
        <v>24</v>
      </c>
      <c r="W4" s="13"/>
      <c r="Y4">
        <v>10</v>
      </c>
      <c r="Z4">
        <f t="shared" si="7"/>
        <v>56.1</v>
      </c>
    </row>
    <row r="5" spans="1:26" ht="15.75" thickBot="1" x14ac:dyDescent="0.3">
      <c r="A5" s="83" t="s">
        <v>109</v>
      </c>
      <c r="B5" s="37" t="s">
        <v>108</v>
      </c>
      <c r="C5" s="53">
        <v>1</v>
      </c>
      <c r="D5" s="54">
        <f t="shared" si="8"/>
        <v>2</v>
      </c>
      <c r="E5">
        <f t="shared" si="0"/>
        <v>130</v>
      </c>
      <c r="F5" s="4">
        <f t="shared" si="1"/>
        <v>0.46153846153846156</v>
      </c>
      <c r="G5">
        <f t="shared" si="2"/>
        <v>20</v>
      </c>
      <c r="H5" s="3">
        <f t="shared" si="3"/>
        <v>18.461538461538463</v>
      </c>
      <c r="I5" s="2" t="s">
        <v>94</v>
      </c>
      <c r="J5" s="3">
        <v>149.37062937062939</v>
      </c>
      <c r="L5" s="61"/>
      <c r="M5" s="24" t="s">
        <v>111</v>
      </c>
      <c r="N5" s="5">
        <v>16</v>
      </c>
      <c r="O5" s="43">
        <v>5</v>
      </c>
      <c r="P5" s="44">
        <f>N5+O5</f>
        <v>21</v>
      </c>
      <c r="Q5" s="45">
        <v>55</v>
      </c>
      <c r="R5" s="46">
        <v>2</v>
      </c>
      <c r="S5" s="28">
        <f t="shared" si="6"/>
        <v>0.2</v>
      </c>
      <c r="T5" s="40">
        <f t="shared" si="4"/>
        <v>1.0909090909090908</v>
      </c>
      <c r="U5" s="87">
        <v>20</v>
      </c>
      <c r="V5" s="88">
        <f>ROUND(R5*T5*U5,0)</f>
        <v>44</v>
      </c>
      <c r="W5" s="13"/>
      <c r="Y5">
        <v>10</v>
      </c>
      <c r="Z5">
        <f t="shared" si="7"/>
        <v>60.5</v>
      </c>
    </row>
    <row r="6" spans="1:26" ht="15.75" thickBot="1" x14ac:dyDescent="0.3">
      <c r="A6" s="83" t="s">
        <v>109</v>
      </c>
      <c r="B6" s="37" t="s">
        <v>97</v>
      </c>
      <c r="C6" s="53">
        <v>1</v>
      </c>
      <c r="D6" s="54">
        <f t="shared" si="8"/>
        <v>2</v>
      </c>
      <c r="E6">
        <f t="shared" si="0"/>
        <v>130</v>
      </c>
      <c r="F6" s="4">
        <f t="shared" si="1"/>
        <v>0.46153846153846156</v>
      </c>
      <c r="G6">
        <f t="shared" si="2"/>
        <v>20</v>
      </c>
      <c r="H6" s="3">
        <f t="shared" si="3"/>
        <v>18.461538461538463</v>
      </c>
      <c r="I6" s="2" t="s">
        <v>108</v>
      </c>
      <c r="J6" s="3">
        <v>62.0979020979021</v>
      </c>
      <c r="L6" s="61"/>
      <c r="M6" s="24" t="s">
        <v>97</v>
      </c>
      <c r="N6" s="5">
        <v>18</v>
      </c>
      <c r="O6" s="18">
        <v>20</v>
      </c>
      <c r="P6" s="19">
        <f>N6+O6</f>
        <v>38</v>
      </c>
      <c r="Q6" s="9">
        <v>80</v>
      </c>
      <c r="R6" s="51">
        <v>2</v>
      </c>
      <c r="S6" s="28">
        <f t="shared" si="6"/>
        <v>0.2</v>
      </c>
      <c r="T6" s="40">
        <f t="shared" si="4"/>
        <v>0.75</v>
      </c>
      <c r="U6" s="87">
        <v>20</v>
      </c>
      <c r="V6" s="88">
        <f>ROUND(R6*T6*U6,0)</f>
        <v>30</v>
      </c>
      <c r="W6" s="13"/>
      <c r="Y6">
        <v>10</v>
      </c>
      <c r="Z6">
        <f t="shared" si="7"/>
        <v>88</v>
      </c>
    </row>
    <row r="7" spans="1:26" ht="15.75" thickBot="1" x14ac:dyDescent="0.3">
      <c r="A7" s="83" t="s">
        <v>109</v>
      </c>
      <c r="B7" s="63" t="s">
        <v>99</v>
      </c>
      <c r="C7" s="53">
        <v>1</v>
      </c>
      <c r="D7" s="54">
        <f t="shared" si="8"/>
        <v>2</v>
      </c>
      <c r="E7">
        <f t="shared" si="0"/>
        <v>130</v>
      </c>
      <c r="F7" s="4">
        <f t="shared" si="1"/>
        <v>0.46153846153846156</v>
      </c>
      <c r="G7">
        <f t="shared" si="2"/>
        <v>20</v>
      </c>
      <c r="H7" s="3">
        <f t="shared" si="3"/>
        <v>18.461538461538463</v>
      </c>
      <c r="I7" s="2" t="s">
        <v>97</v>
      </c>
      <c r="J7" s="3">
        <v>62.0979020979021</v>
      </c>
      <c r="L7" s="61"/>
      <c r="M7" s="24" t="s">
        <v>43</v>
      </c>
      <c r="N7" s="5">
        <v>13</v>
      </c>
      <c r="O7" s="47">
        <v>15</v>
      </c>
      <c r="P7" s="48">
        <f t="shared" si="5"/>
        <v>28</v>
      </c>
      <c r="Q7" s="49">
        <v>55</v>
      </c>
      <c r="R7" s="50">
        <v>2</v>
      </c>
      <c r="S7" s="28">
        <f>R7/W$2</f>
        <v>0.2</v>
      </c>
      <c r="T7" s="40">
        <f t="shared" si="4"/>
        <v>1.0909090909090908</v>
      </c>
      <c r="U7" s="87">
        <v>20</v>
      </c>
      <c r="V7" s="88">
        <f>SUM(V2:V6)</f>
        <v>130</v>
      </c>
      <c r="W7" s="13"/>
      <c r="Y7">
        <v>10</v>
      </c>
      <c r="Z7">
        <f t="shared" si="7"/>
        <v>60.5</v>
      </c>
    </row>
    <row r="8" spans="1:26" ht="15.75" thickBot="1" x14ac:dyDescent="0.3">
      <c r="A8" s="83" t="s">
        <v>109</v>
      </c>
      <c r="B8" s="37" t="s">
        <v>101</v>
      </c>
      <c r="C8" s="53">
        <v>1</v>
      </c>
      <c r="D8" s="54">
        <f t="shared" si="8"/>
        <v>2</v>
      </c>
      <c r="E8">
        <f t="shared" si="0"/>
        <v>130</v>
      </c>
      <c r="F8" s="4">
        <f t="shared" si="1"/>
        <v>0.46153846153846156</v>
      </c>
      <c r="G8">
        <f t="shared" si="2"/>
        <v>20</v>
      </c>
      <c r="H8" s="3">
        <f t="shared" si="3"/>
        <v>18.461538461538463</v>
      </c>
      <c r="I8" s="2" t="s">
        <v>99</v>
      </c>
      <c r="J8" s="3">
        <v>32.0979020979021</v>
      </c>
      <c r="M8" s="25"/>
      <c r="N8" s="26"/>
      <c r="O8" s="26"/>
      <c r="P8" s="26"/>
      <c r="Q8" s="26"/>
      <c r="R8" s="26"/>
      <c r="S8" s="31">
        <f>SUM(S2:S7)</f>
        <v>1</v>
      </c>
      <c r="T8" s="38"/>
      <c r="U8" s="26"/>
      <c r="V8" s="26"/>
      <c r="W8" s="14"/>
    </row>
    <row r="9" spans="1:26" ht="15.75" thickBot="1" x14ac:dyDescent="0.3">
      <c r="A9" s="83" t="s">
        <v>109</v>
      </c>
      <c r="B9" s="37" t="s">
        <v>103</v>
      </c>
      <c r="C9" s="53">
        <v>1</v>
      </c>
      <c r="D9" s="55">
        <f t="shared" ref="D9:D11" si="9">VLOOKUP(A9,$M$1:$X$8,6,FALSE)</f>
        <v>2</v>
      </c>
      <c r="E9">
        <f t="shared" si="0"/>
        <v>130</v>
      </c>
      <c r="F9" s="4">
        <f t="shared" si="1"/>
        <v>0.46153846153846156</v>
      </c>
      <c r="G9">
        <f t="shared" si="2"/>
        <v>20</v>
      </c>
      <c r="H9" s="3">
        <f t="shared" si="3"/>
        <v>18.461538461538463</v>
      </c>
      <c r="I9" s="2" t="s">
        <v>101</v>
      </c>
      <c r="J9" s="3">
        <v>18.461538461538463</v>
      </c>
    </row>
    <row r="10" spans="1:26" ht="15.75" thickBot="1" x14ac:dyDescent="0.3">
      <c r="A10" s="90" t="s">
        <v>43</v>
      </c>
      <c r="B10" s="37" t="s">
        <v>90</v>
      </c>
      <c r="C10" s="53">
        <v>1</v>
      </c>
      <c r="D10" s="55">
        <f t="shared" si="9"/>
        <v>2</v>
      </c>
      <c r="E10">
        <f t="shared" si="0"/>
        <v>55</v>
      </c>
      <c r="F10" s="4">
        <f t="shared" si="1"/>
        <v>1.0909090909090908</v>
      </c>
      <c r="G10">
        <f t="shared" si="2"/>
        <v>20</v>
      </c>
      <c r="H10" s="3">
        <f t="shared" si="3"/>
        <v>43.636363636363633</v>
      </c>
      <c r="I10" s="2" t="s">
        <v>103</v>
      </c>
      <c r="J10" s="3">
        <v>18.461538461538463</v>
      </c>
      <c r="Q10" s="3"/>
    </row>
    <row r="11" spans="1:26" ht="15.75" thickBot="1" x14ac:dyDescent="0.3">
      <c r="A11" s="89" t="s">
        <v>43</v>
      </c>
      <c r="B11" s="37" t="s">
        <v>0</v>
      </c>
      <c r="C11" s="53">
        <v>1</v>
      </c>
      <c r="D11" s="55">
        <f t="shared" si="9"/>
        <v>2</v>
      </c>
      <c r="E11">
        <f t="shared" si="0"/>
        <v>55</v>
      </c>
      <c r="F11" s="4">
        <f t="shared" si="1"/>
        <v>1.0909090909090908</v>
      </c>
      <c r="G11">
        <f t="shared" si="2"/>
        <v>20</v>
      </c>
      <c r="H11" s="3">
        <f t="shared" si="3"/>
        <v>43.636363636363633</v>
      </c>
      <c r="I11" s="2" t="s">
        <v>91</v>
      </c>
      <c r="J11" s="3">
        <v>23.529411764705884</v>
      </c>
      <c r="P11" s="3"/>
    </row>
    <row r="12" spans="1:26" ht="15.75" thickBot="1" x14ac:dyDescent="0.3">
      <c r="A12" s="89" t="s">
        <v>43</v>
      </c>
      <c r="B12" s="91" t="s">
        <v>94</v>
      </c>
      <c r="C12" s="53">
        <v>2</v>
      </c>
      <c r="D12" s="55">
        <f t="shared" ref="D12:D19" si="10">VLOOKUP(A12,$M$1:$X$8,6,FALSE)</f>
        <v>2</v>
      </c>
      <c r="E12">
        <f t="shared" ref="E12:E19" si="11">VLOOKUP(A12,$M$1:$X$8,5,FALSE)</f>
        <v>55</v>
      </c>
      <c r="F12" s="4">
        <f t="shared" ref="F12:F19" si="12">60/E12*C12</f>
        <v>2.1818181818181817</v>
      </c>
      <c r="G12">
        <f t="shared" ref="G12:G19" si="13">VLOOKUP(A12,$M$1:$X$8,9,FALSE)</f>
        <v>20</v>
      </c>
      <c r="H12" s="3">
        <f t="shared" ref="H12:H19" si="14">D12*F12*G12</f>
        <v>87.272727272727266</v>
      </c>
      <c r="I12" s="2" t="s">
        <v>92</v>
      </c>
      <c r="J12" s="3">
        <v>23.529411764705884</v>
      </c>
      <c r="P12" s="3"/>
    </row>
    <row r="13" spans="1:26" ht="15.75" thickBot="1" x14ac:dyDescent="0.3">
      <c r="A13" s="89" t="s">
        <v>43</v>
      </c>
      <c r="B13" s="37" t="s">
        <v>3</v>
      </c>
      <c r="C13" s="53">
        <v>1</v>
      </c>
      <c r="D13" s="55">
        <f t="shared" si="10"/>
        <v>2</v>
      </c>
      <c r="E13">
        <f t="shared" si="11"/>
        <v>55</v>
      </c>
      <c r="F13" s="4">
        <f t="shared" si="12"/>
        <v>1.0909090909090908</v>
      </c>
      <c r="G13">
        <f t="shared" si="13"/>
        <v>20</v>
      </c>
      <c r="H13" s="3">
        <f t="shared" si="14"/>
        <v>43.636363636363633</v>
      </c>
      <c r="I13" s="2" t="s">
        <v>105</v>
      </c>
      <c r="J13" s="3">
        <v>13.636363636363635</v>
      </c>
      <c r="P13" s="3"/>
    </row>
    <row r="14" spans="1:26" ht="15.75" thickBot="1" x14ac:dyDescent="0.3">
      <c r="A14" s="84" t="s">
        <v>38</v>
      </c>
      <c r="B14" s="85" t="s">
        <v>90</v>
      </c>
      <c r="C14" s="53">
        <v>1</v>
      </c>
      <c r="D14" s="56">
        <f t="shared" si="10"/>
        <v>1</v>
      </c>
      <c r="E14">
        <f t="shared" si="11"/>
        <v>51</v>
      </c>
      <c r="F14" s="4">
        <f t="shared" si="12"/>
        <v>1.1764705882352942</v>
      </c>
      <c r="G14">
        <f t="shared" si="13"/>
        <v>20</v>
      </c>
      <c r="H14" s="3">
        <f t="shared" si="14"/>
        <v>23.529411764705884</v>
      </c>
      <c r="I14" s="2" t="s">
        <v>107</v>
      </c>
      <c r="J14" s="3">
        <v>43.636363636363633</v>
      </c>
      <c r="P14" s="3"/>
    </row>
    <row r="15" spans="1:26" ht="15.75" thickBot="1" x14ac:dyDescent="0.3">
      <c r="A15" s="42" t="s">
        <v>38</v>
      </c>
      <c r="B15" s="37" t="s">
        <v>91</v>
      </c>
      <c r="C15" s="53">
        <v>1</v>
      </c>
      <c r="D15" s="54">
        <f t="shared" si="10"/>
        <v>1</v>
      </c>
      <c r="E15">
        <f t="shared" si="11"/>
        <v>51</v>
      </c>
      <c r="F15" s="4">
        <f t="shared" si="12"/>
        <v>1.1764705882352942</v>
      </c>
      <c r="G15">
        <f t="shared" si="13"/>
        <v>20</v>
      </c>
      <c r="H15" s="3">
        <f t="shared" si="14"/>
        <v>23.529411764705884</v>
      </c>
      <c r="I15" s="2" t="s">
        <v>112</v>
      </c>
      <c r="J15" s="3"/>
      <c r="P15" s="3"/>
    </row>
    <row r="16" spans="1:26" ht="15.75" thickBot="1" x14ac:dyDescent="0.3">
      <c r="A16" s="86" t="s">
        <v>38</v>
      </c>
      <c r="B16" s="37" t="s">
        <v>92</v>
      </c>
      <c r="C16" s="53">
        <v>1</v>
      </c>
      <c r="D16" s="54">
        <f t="shared" si="10"/>
        <v>1</v>
      </c>
      <c r="E16">
        <f t="shared" si="11"/>
        <v>51</v>
      </c>
      <c r="F16" s="4">
        <f t="shared" si="12"/>
        <v>1.1764705882352942</v>
      </c>
      <c r="G16">
        <f t="shared" si="13"/>
        <v>20</v>
      </c>
      <c r="H16" s="3">
        <f t="shared" si="14"/>
        <v>23.529411764705884</v>
      </c>
      <c r="I16" s="2" t="s">
        <v>61</v>
      </c>
      <c r="J16" s="3">
        <v>792.71904566022204</v>
      </c>
      <c r="P16" s="3"/>
    </row>
    <row r="17" spans="1:21" ht="15.75" thickBot="1" x14ac:dyDescent="0.3">
      <c r="A17" s="86" t="s">
        <v>38</v>
      </c>
      <c r="B17" s="37" t="s">
        <v>3</v>
      </c>
      <c r="C17" s="53">
        <v>1</v>
      </c>
      <c r="D17" s="55">
        <f t="shared" si="10"/>
        <v>1</v>
      </c>
      <c r="E17">
        <f t="shared" si="11"/>
        <v>51</v>
      </c>
      <c r="F17" s="4">
        <f t="shared" si="12"/>
        <v>1.1764705882352942</v>
      </c>
      <c r="G17">
        <f t="shared" si="13"/>
        <v>20</v>
      </c>
      <c r="H17" s="3">
        <f t="shared" si="14"/>
        <v>23.529411764705884</v>
      </c>
    </row>
    <row r="18" spans="1:21" ht="15.75" thickBot="1" x14ac:dyDescent="0.3">
      <c r="A18" s="83" t="s">
        <v>110</v>
      </c>
      <c r="B18" s="37" t="s">
        <v>90</v>
      </c>
      <c r="C18" s="53">
        <v>1</v>
      </c>
      <c r="D18" s="54">
        <f t="shared" si="10"/>
        <v>1</v>
      </c>
      <c r="E18">
        <f t="shared" si="11"/>
        <v>88</v>
      </c>
      <c r="F18" s="4">
        <f t="shared" si="12"/>
        <v>0.68181818181818177</v>
      </c>
      <c r="G18">
        <f t="shared" si="13"/>
        <v>20</v>
      </c>
      <c r="H18" s="3">
        <f t="shared" si="14"/>
        <v>13.636363636363635</v>
      </c>
      <c r="O18" s="3"/>
      <c r="P18" s="3"/>
      <c r="Q18" s="3"/>
    </row>
    <row r="19" spans="1:21" ht="15.75" thickBot="1" x14ac:dyDescent="0.3">
      <c r="A19" s="83" t="s">
        <v>110</v>
      </c>
      <c r="B19" s="37" t="s">
        <v>0</v>
      </c>
      <c r="C19" s="53">
        <v>1</v>
      </c>
      <c r="D19" s="54">
        <f t="shared" si="10"/>
        <v>1</v>
      </c>
      <c r="E19">
        <f t="shared" si="11"/>
        <v>88</v>
      </c>
      <c r="F19" s="4">
        <f t="shared" si="12"/>
        <v>0.68181818181818177</v>
      </c>
      <c r="G19">
        <f t="shared" si="13"/>
        <v>20</v>
      </c>
      <c r="H19" s="3">
        <f t="shared" si="14"/>
        <v>13.636363636363635</v>
      </c>
      <c r="P19" s="3"/>
    </row>
    <row r="20" spans="1:21" ht="15.75" thickBot="1" x14ac:dyDescent="0.3">
      <c r="A20" s="83" t="s">
        <v>110</v>
      </c>
      <c r="B20" s="37" t="s">
        <v>94</v>
      </c>
      <c r="C20" s="53">
        <v>1</v>
      </c>
      <c r="D20" s="54">
        <f t="shared" ref="D20:D22" si="15">VLOOKUP(A20,$M$1:$X$8,6,FALSE)</f>
        <v>1</v>
      </c>
      <c r="E20">
        <f t="shared" ref="E20:E22" si="16">VLOOKUP(A20,$M$1:$X$8,5,FALSE)</f>
        <v>88</v>
      </c>
      <c r="F20" s="4">
        <f t="shared" ref="F20:F23" si="17">60/E20*C20</f>
        <v>0.68181818181818177</v>
      </c>
      <c r="G20">
        <f t="shared" ref="G20:G22" si="18">VLOOKUP(A20,$M$1:$X$8,9,FALSE)</f>
        <v>20</v>
      </c>
      <c r="H20" s="3">
        <f t="shared" ref="H20:H22" si="19">D20*F20*G20</f>
        <v>13.636363636363635</v>
      </c>
      <c r="P20" s="3"/>
    </row>
    <row r="21" spans="1:21" ht="15.75" thickBot="1" x14ac:dyDescent="0.3">
      <c r="A21" s="83" t="s">
        <v>110</v>
      </c>
      <c r="B21" s="37" t="s">
        <v>108</v>
      </c>
      <c r="C21" s="53">
        <v>1</v>
      </c>
      <c r="D21" s="54">
        <f t="shared" si="15"/>
        <v>1</v>
      </c>
      <c r="E21">
        <f t="shared" si="16"/>
        <v>88</v>
      </c>
      <c r="F21" s="4">
        <f t="shared" si="17"/>
        <v>0.68181818181818177</v>
      </c>
      <c r="G21">
        <f t="shared" si="18"/>
        <v>20</v>
      </c>
      <c r="H21" s="3">
        <f t="shared" si="19"/>
        <v>13.636363636363635</v>
      </c>
    </row>
    <row r="22" spans="1:21" ht="15.75" thickBot="1" x14ac:dyDescent="0.3">
      <c r="A22" s="83" t="s">
        <v>110</v>
      </c>
      <c r="B22" s="37" t="s">
        <v>97</v>
      </c>
      <c r="C22" s="53">
        <v>1</v>
      </c>
      <c r="D22" s="54">
        <f t="shared" si="15"/>
        <v>1</v>
      </c>
      <c r="E22">
        <f t="shared" si="16"/>
        <v>88</v>
      </c>
      <c r="F22" s="4">
        <f t="shared" si="17"/>
        <v>0.68181818181818177</v>
      </c>
      <c r="G22">
        <f t="shared" si="18"/>
        <v>20</v>
      </c>
      <c r="H22" s="3">
        <f t="shared" si="19"/>
        <v>13.636363636363635</v>
      </c>
      <c r="P22" s="3"/>
    </row>
    <row r="23" spans="1:21" ht="15.75" thickBot="1" x14ac:dyDescent="0.3">
      <c r="A23" s="81" t="s">
        <v>110</v>
      </c>
      <c r="B23" s="37" t="s">
        <v>99</v>
      </c>
      <c r="C23" s="53">
        <v>1</v>
      </c>
      <c r="D23" s="54">
        <f t="shared" ref="D23:D31" si="20">VLOOKUP(A23,$M$1:$X$8,6,FALSE)</f>
        <v>1</v>
      </c>
      <c r="E23">
        <f t="shared" ref="E23:E31" si="21">VLOOKUP(A23,$M$1:$X$8,5,FALSE)</f>
        <v>88</v>
      </c>
      <c r="F23" s="4">
        <f t="shared" si="17"/>
        <v>0.68181818181818177</v>
      </c>
      <c r="G23">
        <f t="shared" ref="G23:G31" si="22">VLOOKUP(A23,$M$1:$X$8,9,FALSE)</f>
        <v>20</v>
      </c>
      <c r="H23" s="3">
        <f t="shared" ref="H23:H31" si="23">D23*F23*G23</f>
        <v>13.636363636363635</v>
      </c>
      <c r="P23" s="3"/>
    </row>
    <row r="24" spans="1:21" ht="15.75" thickBot="1" x14ac:dyDescent="0.3">
      <c r="A24" s="81" t="s">
        <v>110</v>
      </c>
      <c r="B24" s="37" t="s">
        <v>105</v>
      </c>
      <c r="C24" s="53">
        <v>1</v>
      </c>
      <c r="D24" s="54">
        <f t="shared" si="20"/>
        <v>1</v>
      </c>
      <c r="E24">
        <f t="shared" si="21"/>
        <v>88</v>
      </c>
      <c r="F24" s="4">
        <f t="shared" ref="F24:F31" si="24">60/E24*C24</f>
        <v>0.68181818181818177</v>
      </c>
      <c r="G24">
        <f t="shared" si="22"/>
        <v>20</v>
      </c>
      <c r="H24" s="3">
        <f t="shared" si="23"/>
        <v>13.636363636363635</v>
      </c>
      <c r="P24" s="3"/>
    </row>
    <row r="25" spans="1:21" ht="15.75" thickBot="1" x14ac:dyDescent="0.3">
      <c r="A25" s="89" t="s">
        <v>111</v>
      </c>
      <c r="B25" s="37" t="s">
        <v>90</v>
      </c>
      <c r="C25" s="53">
        <v>1</v>
      </c>
      <c r="D25" s="54">
        <f t="shared" si="20"/>
        <v>2</v>
      </c>
      <c r="E25">
        <f t="shared" si="21"/>
        <v>55</v>
      </c>
      <c r="F25" s="4">
        <f t="shared" si="24"/>
        <v>1.0909090909090908</v>
      </c>
      <c r="G25">
        <f t="shared" si="22"/>
        <v>20</v>
      </c>
      <c r="H25" s="3">
        <f t="shared" si="23"/>
        <v>43.636363636363633</v>
      </c>
      <c r="I25" s="52"/>
      <c r="N25" s="4"/>
      <c r="P25" s="3"/>
    </row>
    <row r="26" spans="1:21" ht="15.75" thickBot="1" x14ac:dyDescent="0.3">
      <c r="A26" s="89" t="s">
        <v>111</v>
      </c>
      <c r="B26" s="37" t="s">
        <v>107</v>
      </c>
      <c r="C26" s="53">
        <v>1</v>
      </c>
      <c r="D26" s="54">
        <f t="shared" si="20"/>
        <v>2</v>
      </c>
      <c r="E26">
        <f t="shared" si="21"/>
        <v>55</v>
      </c>
      <c r="F26" s="4">
        <f t="shared" si="24"/>
        <v>1.0909090909090908</v>
      </c>
      <c r="G26">
        <f t="shared" si="22"/>
        <v>20</v>
      </c>
      <c r="H26" s="3">
        <f t="shared" si="23"/>
        <v>43.636363636363633</v>
      </c>
    </row>
    <row r="27" spans="1:21" ht="15.75" thickBot="1" x14ac:dyDescent="0.3">
      <c r="A27" s="83" t="s">
        <v>97</v>
      </c>
      <c r="B27" s="37" t="s">
        <v>90</v>
      </c>
      <c r="C27" s="53">
        <v>1</v>
      </c>
      <c r="D27" s="54">
        <f t="shared" si="20"/>
        <v>2</v>
      </c>
      <c r="E27">
        <f t="shared" si="21"/>
        <v>80</v>
      </c>
      <c r="F27" s="4">
        <f t="shared" si="24"/>
        <v>0.75</v>
      </c>
      <c r="G27">
        <f t="shared" si="22"/>
        <v>20</v>
      </c>
      <c r="H27" s="3">
        <f t="shared" si="23"/>
        <v>30</v>
      </c>
    </row>
    <row r="28" spans="1:21" ht="15.75" thickBot="1" x14ac:dyDescent="0.3">
      <c r="A28" s="83" t="s">
        <v>97</v>
      </c>
      <c r="B28" s="37" t="s">
        <v>0</v>
      </c>
      <c r="C28" s="53">
        <v>1</v>
      </c>
      <c r="D28" s="54">
        <f t="shared" si="20"/>
        <v>2</v>
      </c>
      <c r="E28">
        <f t="shared" si="21"/>
        <v>80</v>
      </c>
      <c r="F28" s="4">
        <f t="shared" si="24"/>
        <v>0.75</v>
      </c>
      <c r="G28">
        <f t="shared" si="22"/>
        <v>20</v>
      </c>
      <c r="H28" s="3">
        <f t="shared" si="23"/>
        <v>30</v>
      </c>
    </row>
    <row r="29" spans="1:21" ht="15.75" thickBot="1" x14ac:dyDescent="0.3">
      <c r="A29" s="83" t="s">
        <v>97</v>
      </c>
      <c r="B29" s="37" t="s">
        <v>94</v>
      </c>
      <c r="C29" s="53">
        <v>1</v>
      </c>
      <c r="D29" s="54">
        <f t="shared" si="20"/>
        <v>2</v>
      </c>
      <c r="E29">
        <f t="shared" si="21"/>
        <v>80</v>
      </c>
      <c r="F29" s="4">
        <f t="shared" si="24"/>
        <v>0.75</v>
      </c>
      <c r="G29">
        <f t="shared" si="22"/>
        <v>20</v>
      </c>
      <c r="H29" s="3">
        <f t="shared" si="23"/>
        <v>30</v>
      </c>
    </row>
    <row r="30" spans="1:21" ht="15.75" thickBot="1" x14ac:dyDescent="0.3">
      <c r="A30" s="83" t="s">
        <v>97</v>
      </c>
      <c r="B30" s="37" t="s">
        <v>108</v>
      </c>
      <c r="C30" s="53">
        <v>1</v>
      </c>
      <c r="D30" s="54">
        <f t="shared" si="20"/>
        <v>2</v>
      </c>
      <c r="E30">
        <f t="shared" si="21"/>
        <v>80</v>
      </c>
      <c r="F30" s="4">
        <f t="shared" si="24"/>
        <v>0.75</v>
      </c>
      <c r="G30">
        <f t="shared" si="22"/>
        <v>20</v>
      </c>
      <c r="H30" s="3">
        <f t="shared" si="23"/>
        <v>30</v>
      </c>
      <c r="P30" s="3"/>
    </row>
    <row r="31" spans="1:21" ht="15.75" thickBot="1" x14ac:dyDescent="0.3">
      <c r="A31" s="83" t="s">
        <v>97</v>
      </c>
      <c r="B31" s="37" t="s">
        <v>97</v>
      </c>
      <c r="C31" s="53">
        <v>1</v>
      </c>
      <c r="D31" s="55">
        <f t="shared" si="20"/>
        <v>2</v>
      </c>
      <c r="E31">
        <f t="shared" si="21"/>
        <v>80</v>
      </c>
      <c r="F31" s="4">
        <f t="shared" si="24"/>
        <v>0.75</v>
      </c>
      <c r="G31">
        <f t="shared" si="22"/>
        <v>20</v>
      </c>
      <c r="H31" s="3">
        <f t="shared" si="23"/>
        <v>30</v>
      </c>
      <c r="P31" s="3"/>
      <c r="T31" s="3"/>
    </row>
    <row r="32" spans="1:21" x14ac:dyDescent="0.25">
      <c r="P32" s="3"/>
      <c r="T32" s="3"/>
    </row>
    <row r="33" spans="6:20" x14ac:dyDescent="0.25">
      <c r="F33" s="4"/>
      <c r="H33" s="3"/>
      <c r="P33" s="3"/>
      <c r="T33" s="3"/>
    </row>
    <row r="34" spans="6:20" x14ac:dyDescent="0.25">
      <c r="F34" s="4"/>
      <c r="H34" s="3"/>
      <c r="P34" s="3"/>
      <c r="T34" s="3"/>
    </row>
    <row r="35" spans="6:20" x14ac:dyDescent="0.25">
      <c r="F35" s="4"/>
      <c r="H35" s="3"/>
      <c r="P35" s="3"/>
      <c r="T35" s="3"/>
    </row>
    <row r="36" spans="6:20" x14ac:dyDescent="0.25">
      <c r="F36" s="4"/>
      <c r="H36" s="3"/>
      <c r="T36" s="3"/>
    </row>
    <row r="44" spans="6:20" x14ac:dyDescent="0.25">
      <c r="Q44">
        <v>4</v>
      </c>
    </row>
    <row r="52" spans="1:9" ht="15.75" thickBot="1" x14ac:dyDescent="0.3"/>
    <row r="53" spans="1:9" x14ac:dyDescent="0.25">
      <c r="A53" s="92" t="s">
        <v>47</v>
      </c>
      <c r="B53" s="93"/>
      <c r="C53" s="94" t="s">
        <v>58</v>
      </c>
      <c r="D53" s="95"/>
    </row>
    <row r="54" spans="1:9" ht="93.75" x14ac:dyDescent="0.3">
      <c r="A54" s="10" t="s">
        <v>46</v>
      </c>
      <c r="B54" s="32" t="s">
        <v>36</v>
      </c>
      <c r="C54" s="7" t="s">
        <v>34</v>
      </c>
      <c r="D54" s="7" t="s">
        <v>35</v>
      </c>
      <c r="E54" s="41"/>
      <c r="F54" s="36" t="s">
        <v>56</v>
      </c>
      <c r="G54" s="7" t="s">
        <v>33</v>
      </c>
      <c r="H54" s="7" t="s">
        <v>80</v>
      </c>
      <c r="I54" s="7" t="s">
        <v>37</v>
      </c>
    </row>
    <row r="55" spans="1:9" ht="18.75" x14ac:dyDescent="0.25">
      <c r="A55" s="10" t="s">
        <v>90</v>
      </c>
      <c r="B55" s="33">
        <v>520</v>
      </c>
      <c r="C55" s="19">
        <f>GETPIVOTDATA("Итого",$I$1,"transaction rq",A55)*3</f>
        <v>518.70012340600579</v>
      </c>
      <c r="D55" s="65">
        <f>1-B55/C55</f>
        <v>-2.5060271539143475E-3</v>
      </c>
      <c r="E55" s="20"/>
      <c r="F55" s="37" t="str">
        <f>VLOOKUP(A55,Соответствие!A:B,2,FALSE)</f>
        <v>OpenLandingPage</v>
      </c>
      <c r="G55" s="16">
        <f>C55/3</f>
        <v>172.90004113533527</v>
      </c>
      <c r="H55" s="58">
        <f>VLOOKUP(F55,SummaryReport!A:J,8,FALSE)</f>
        <v>177</v>
      </c>
      <c r="I55" s="6">
        <f>1-G55/H55</f>
        <v>2.3163609404885488E-2</v>
      </c>
    </row>
    <row r="56" spans="1:9" ht="18.75" x14ac:dyDescent="0.25">
      <c r="A56" s="11" t="s">
        <v>0</v>
      </c>
      <c r="B56" s="33">
        <v>320</v>
      </c>
      <c r="C56" s="19">
        <f>GETPIVOTDATA("Итого",$I$1,"transaction rq",A56)*3</f>
        <v>317.20279720279723</v>
      </c>
      <c r="D56" s="65">
        <f>1-B56/C56</f>
        <v>-8.818342151675429E-3</v>
      </c>
      <c r="E56" s="20"/>
      <c r="F56" s="37" t="str">
        <f>VLOOKUP(A56,Соответствие!A:B,2,FALSE)</f>
        <v>Login</v>
      </c>
      <c r="G56" s="16">
        <f t="shared" ref="G56:G65" si="25">C56/3</f>
        <v>105.73426573426575</v>
      </c>
      <c r="H56" s="58">
        <f>VLOOKUP(F56,SummaryReport!A:J,8,FALSE)</f>
        <v>144</v>
      </c>
      <c r="I56" s="6">
        <f t="shared" ref="I56:I65" si="26">1-G56/H56</f>
        <v>0.26573426573426562</v>
      </c>
    </row>
    <row r="57" spans="1:9" ht="37.5" x14ac:dyDescent="0.25">
      <c r="A57" s="80" t="s">
        <v>101</v>
      </c>
      <c r="B57" s="33">
        <v>55</v>
      </c>
      <c r="C57" s="19">
        <f t="shared" ref="C57:C64" si="27">GETPIVOTDATA("Итого",$I$1,"transaction rq",A57)*3</f>
        <v>55.384615384615387</v>
      </c>
      <c r="D57" s="65">
        <f>1-B57/C57</f>
        <v>6.9444444444445308E-3</v>
      </c>
      <c r="E57" s="20"/>
      <c r="F57" s="37" t="str">
        <f>VLOOKUP(A57,Соответствие!A:B,2,FALSE)</f>
        <v>CheckoutUserData</v>
      </c>
      <c r="G57" s="16">
        <f t="shared" si="25"/>
        <v>18.461538461538463</v>
      </c>
      <c r="H57" s="58" t="e">
        <f>VLOOKUP(F57,SummaryReport!A:J,8,FALSE)</f>
        <v>#N/A</v>
      </c>
      <c r="I57" s="6" t="e">
        <f t="shared" si="26"/>
        <v>#N/A</v>
      </c>
    </row>
    <row r="58" spans="1:9" ht="21" customHeight="1" x14ac:dyDescent="0.25">
      <c r="A58" s="11" t="s">
        <v>97</v>
      </c>
      <c r="B58" s="33">
        <v>190</v>
      </c>
      <c r="C58" s="19">
        <f t="shared" si="27"/>
        <v>186.29370629370629</v>
      </c>
      <c r="D58" s="65">
        <f t="shared" ref="D58:D65" si="28">1-B58/C58</f>
        <v>-1.9894894894894932E-2</v>
      </c>
      <c r="E58" s="20"/>
      <c r="F58" s="37" t="str">
        <f>VLOOKUP(A58,Соответствие!A:B,2,FALSE)</f>
        <v>AddToCart</v>
      </c>
      <c r="G58" s="16">
        <f t="shared" si="25"/>
        <v>62.0979020979021</v>
      </c>
      <c r="H58" s="58" t="e">
        <f>VLOOKUP(F58,SummaryReport!A:J,8,FALSE)</f>
        <v>#N/A</v>
      </c>
      <c r="I58" s="6" t="e">
        <f t="shared" si="26"/>
        <v>#N/A</v>
      </c>
    </row>
    <row r="59" spans="1:9" ht="18.75" x14ac:dyDescent="0.25">
      <c r="A59" s="11" t="s">
        <v>94</v>
      </c>
      <c r="B59" s="33">
        <v>450</v>
      </c>
      <c r="C59" s="19">
        <f t="shared" si="27"/>
        <v>448.11188811188816</v>
      </c>
      <c r="D59" s="65">
        <f t="shared" si="28"/>
        <v>-4.2134831460673983E-3</v>
      </c>
      <c r="E59" s="20"/>
      <c r="F59" s="37" t="str">
        <f>VLOOKUP(A59,Соответствие!A:B,2,FALSE)</f>
        <v>ChooseCategory</v>
      </c>
      <c r="G59" s="16">
        <f t="shared" si="25"/>
        <v>149.37062937062939</v>
      </c>
      <c r="H59" s="58" t="e">
        <f>VLOOKUP(F59,SummaryReport!A:J,8,FALSE)</f>
        <v>#N/A</v>
      </c>
      <c r="I59" s="6" t="e">
        <f t="shared" si="26"/>
        <v>#N/A</v>
      </c>
    </row>
    <row r="60" spans="1:9" ht="18.75" x14ac:dyDescent="0.25">
      <c r="A60" s="11" t="s">
        <v>103</v>
      </c>
      <c r="B60" s="33">
        <v>55</v>
      </c>
      <c r="C60" s="19">
        <f t="shared" si="27"/>
        <v>55.384615384615387</v>
      </c>
      <c r="D60" s="65">
        <f t="shared" si="28"/>
        <v>6.9444444444445308E-3</v>
      </c>
      <c r="E60" s="20"/>
      <c r="F60" s="37" t="str">
        <f>VLOOKUP(A60,Соответствие!A:B,2,FALSE)</f>
        <v>Payment</v>
      </c>
      <c r="G60" s="16">
        <f t="shared" si="25"/>
        <v>18.461538461538463</v>
      </c>
      <c r="H60" s="58" t="e">
        <f>VLOOKUP(F60,SummaryReport!A:J,8,FALSE)</f>
        <v>#N/A</v>
      </c>
      <c r="I60" s="6" t="e">
        <f t="shared" si="26"/>
        <v>#N/A</v>
      </c>
    </row>
    <row r="61" spans="1:9" ht="18.75" x14ac:dyDescent="0.25">
      <c r="A61" s="11" t="s">
        <v>99</v>
      </c>
      <c r="B61" s="33">
        <v>95</v>
      </c>
      <c r="C61" s="19">
        <f t="shared" si="27"/>
        <v>96.293706293706293</v>
      </c>
      <c r="D61" s="65">
        <f t="shared" si="28"/>
        <v>1.3435003631082076E-2</v>
      </c>
      <c r="E61" s="20"/>
      <c r="F61" s="37" t="str">
        <f>VLOOKUP(A61,Соответствие!A:B,2,FALSE)</f>
        <v>OpenCart</v>
      </c>
      <c r="G61" s="16">
        <f t="shared" si="25"/>
        <v>32.0979020979021</v>
      </c>
      <c r="H61" s="58" t="e">
        <f>VLOOKUP(F61,SummaryReport!A:J,8,FALSE)</f>
        <v>#N/A</v>
      </c>
      <c r="I61" s="6" t="e">
        <f t="shared" si="26"/>
        <v>#N/A</v>
      </c>
    </row>
    <row r="62" spans="1:9" ht="18.75" x14ac:dyDescent="0.25">
      <c r="A62" s="11" t="s">
        <v>105</v>
      </c>
      <c r="B62" s="33">
        <v>40</v>
      </c>
      <c r="C62" s="19">
        <f t="shared" si="27"/>
        <v>40.909090909090907</v>
      </c>
      <c r="D62" s="65">
        <f t="shared" si="28"/>
        <v>2.2222222222222143E-2</v>
      </c>
      <c r="E62" s="20"/>
      <c r="F62" s="37" t="str">
        <f>VLOOKUP(A62,Соответствие!A:B,2,FALSE)</f>
        <v>DeleteProduct</v>
      </c>
      <c r="G62" s="16">
        <f t="shared" si="25"/>
        <v>13.636363636363635</v>
      </c>
      <c r="H62" s="58" t="e">
        <f>VLOOKUP(F62,SummaryReport!A:J,8,FALSE)</f>
        <v>#N/A</v>
      </c>
      <c r="I62" s="6" t="e">
        <f>1-G62/H62</f>
        <v>#N/A</v>
      </c>
    </row>
    <row r="63" spans="1:9" ht="18.75" x14ac:dyDescent="0.25">
      <c r="A63" s="11" t="s">
        <v>3</v>
      </c>
      <c r="B63" s="33">
        <v>200</v>
      </c>
      <c r="C63" s="19">
        <f>GETPIVOTDATA("Итого",$I$1,"transaction rq",A63)*3</f>
        <v>201.49732620320853</v>
      </c>
      <c r="D63" s="65">
        <f t="shared" si="28"/>
        <v>7.4309978768576368E-3</v>
      </c>
      <c r="E63" s="20"/>
      <c r="F63" s="37" t="str">
        <f>VLOOKUP(A63,Соответствие!A:B,2,FALSE)</f>
        <v>Logout</v>
      </c>
      <c r="G63" s="16">
        <f t="shared" si="25"/>
        <v>67.16577540106951</v>
      </c>
      <c r="H63" s="58">
        <f>VLOOKUP(F63,SummaryReport!A:J,8,FALSE)</f>
        <v>106</v>
      </c>
      <c r="I63" s="6">
        <f t="shared" si="26"/>
        <v>0.3663606094238725</v>
      </c>
    </row>
    <row r="64" spans="1:9" ht="18.75" x14ac:dyDescent="0.25">
      <c r="A64" s="11" t="s">
        <v>91</v>
      </c>
      <c r="B64" s="33">
        <v>70</v>
      </c>
      <c r="C64" s="19">
        <f t="shared" si="27"/>
        <v>70.588235294117652</v>
      </c>
      <c r="D64" s="65">
        <f t="shared" si="28"/>
        <v>8.3333333333334147E-3</v>
      </c>
      <c r="E64" s="20"/>
      <c r="F64" s="37" t="str">
        <f>VLOOKUP(A64,Соответствие!A:B,2,FALSE)</f>
        <v>OpenRegistrationPage</v>
      </c>
      <c r="G64" s="16">
        <f t="shared" si="25"/>
        <v>23.529411764705884</v>
      </c>
      <c r="H64" s="58">
        <f>VLOOKUP(F64,SummaryReport!A:J,8,FALSE)</f>
        <v>33</v>
      </c>
      <c r="I64" s="6">
        <f t="shared" si="26"/>
        <v>0.28698752228163993</v>
      </c>
    </row>
    <row r="65" spans="1:9" ht="18.75" x14ac:dyDescent="0.25">
      <c r="A65" s="11" t="s">
        <v>92</v>
      </c>
      <c r="B65" s="33">
        <v>70</v>
      </c>
      <c r="C65" s="19">
        <f>GETPIVOTDATA("Итого",$I$1,"transaction rq",A65)*3</f>
        <v>70.588235294117652</v>
      </c>
      <c r="D65" s="65">
        <f t="shared" si="28"/>
        <v>8.3333333333334147E-3</v>
      </c>
      <c r="E65" s="20"/>
      <c r="F65" s="37" t="str">
        <f>VLOOKUP(A65,Соответствие!A:B,2,FALSE)</f>
        <v>UserRegistered</v>
      </c>
      <c r="G65" s="16">
        <f t="shared" si="25"/>
        <v>23.529411764705884</v>
      </c>
      <c r="H65" s="58">
        <f>VLOOKUP(F65,SummaryReport!A:J,8,FALSE)</f>
        <v>33</v>
      </c>
      <c r="I65" s="6">
        <f t="shared" si="26"/>
        <v>0.28698752228163993</v>
      </c>
    </row>
    <row r="66" spans="1:9" ht="18.75" x14ac:dyDescent="0.25">
      <c r="A66" s="11" t="s">
        <v>107</v>
      </c>
      <c r="B66" s="33">
        <v>130</v>
      </c>
      <c r="C66" s="19">
        <f>GETPIVOTDATA("Итого",$I$1,"transaction rq",A66)*3</f>
        <v>130.90909090909091</v>
      </c>
      <c r="D66" s="65">
        <f t="shared" ref="D66" si="29">1-B66/C66</f>
        <v>6.9444444444444198E-3</v>
      </c>
      <c r="F66" s="37" t="str">
        <f>VLOOKUP(A66,Соответствие!A:B,2,FALSE)</f>
        <v>SeachProduct</v>
      </c>
      <c r="G66" s="16">
        <f t="shared" ref="G66" si="30">C66/3</f>
        <v>43.636363636363633</v>
      </c>
      <c r="H66" s="58" t="e">
        <f>VLOOKUP(F66,SummaryReport!A:J,8,FALSE)</f>
        <v>#N/A</v>
      </c>
      <c r="I66" s="6" t="e">
        <f t="shared" ref="I66" si="31">1-G66/H66</f>
        <v>#N/A</v>
      </c>
    </row>
    <row r="67" spans="1:9" ht="19.5" customHeight="1" x14ac:dyDescent="0.25">
      <c r="A67" s="11" t="s">
        <v>108</v>
      </c>
      <c r="B67" s="33">
        <v>190</v>
      </c>
      <c r="C67" s="19">
        <f>GETPIVOTDATA("Итого",$I$1,"transaction rq",A67)*3</f>
        <v>186.29370629370629</v>
      </c>
      <c r="D67" s="65">
        <f>1-B67/C67</f>
        <v>-1.9894894894894932E-2</v>
      </c>
      <c r="E67" s="20"/>
      <c r="F67" s="37" t="str">
        <f>VLOOKUP(A67,Соответствие!A:B,2,FALSE)</f>
        <v>ChooseProduct</v>
      </c>
      <c r="G67" s="16">
        <f>C67/3</f>
        <v>62.0979020979021</v>
      </c>
      <c r="H67" s="58" t="e">
        <f>VLOOKUP(F67,SummaryReport!A:J,8,FALSE)</f>
        <v>#N/A</v>
      </c>
      <c r="I67" s="6" t="e">
        <f>1-G67/H67</f>
        <v>#N/A</v>
      </c>
    </row>
    <row r="68" spans="1:9" ht="19.5" thickBot="1" x14ac:dyDescent="0.3">
      <c r="A68" s="12" t="s">
        <v>4</v>
      </c>
      <c r="B68" s="34">
        <f>SUM(B55:B67)</f>
        <v>2385</v>
      </c>
      <c r="C68" s="35">
        <f>SUM(C55:C67)</f>
        <v>2378.1571369806666</v>
      </c>
      <c r="D68" s="66">
        <f>1-B68/C68</f>
        <v>-2.8773805199522329E-3</v>
      </c>
      <c r="G68" s="3">
        <f>SUM(G55:G67)</f>
        <v>792.71904566022204</v>
      </c>
      <c r="H68" s="3" t="e">
        <f>SUM(H55:H67)</f>
        <v>#N/A</v>
      </c>
    </row>
    <row r="69" spans="1:9" ht="15.75" thickBot="1" x14ac:dyDescent="0.3">
      <c r="I69" s="8"/>
    </row>
    <row r="70" spans="1:9" x14ac:dyDescent="0.25">
      <c r="A70" s="21"/>
      <c r="B70" s="22"/>
      <c r="C70" s="23" t="s">
        <v>44</v>
      </c>
      <c r="D70" s="23"/>
      <c r="E70" s="23"/>
      <c r="F70" s="23"/>
      <c r="G70" s="23"/>
      <c r="H70" s="23"/>
      <c r="I70" s="15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3" sqref="A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7" t="s">
        <v>48</v>
      </c>
      <c r="B1" s="17" t="s">
        <v>49</v>
      </c>
    </row>
    <row r="2" spans="1:2" x14ac:dyDescent="0.25">
      <c r="A2" s="37" t="str">
        <f>'Автоматизированный расчет'!A55</f>
        <v>Главная страница</v>
      </c>
      <c r="B2" s="37" t="s">
        <v>66</v>
      </c>
    </row>
    <row r="3" spans="1:2" x14ac:dyDescent="0.25">
      <c r="A3" s="37" t="str">
        <f>'Автоматизированный расчет'!A56</f>
        <v>Вход в систему</v>
      </c>
      <c r="B3" s="37" t="s">
        <v>64</v>
      </c>
    </row>
    <row r="4" spans="1:2" x14ac:dyDescent="0.25">
      <c r="A4" s="37" t="str">
        <f>'Автоматизированный расчет'!A57</f>
        <v>Проверка пользовательских данных перед покупкой</v>
      </c>
      <c r="B4" s="57" t="s">
        <v>100</v>
      </c>
    </row>
    <row r="5" spans="1:2" x14ac:dyDescent="0.25">
      <c r="A5" s="37" t="str">
        <f>'Автоматизированный расчет'!A58</f>
        <v>Добавление товара в корзину</v>
      </c>
      <c r="B5" s="37" t="s">
        <v>96</v>
      </c>
    </row>
    <row r="6" spans="1:2" x14ac:dyDescent="0.25">
      <c r="A6" s="37" t="str">
        <f>'Автоматизированный расчет'!A59</f>
        <v>Выбор категории товаров</v>
      </c>
      <c r="B6" s="37" t="s">
        <v>93</v>
      </c>
    </row>
    <row r="7" spans="1:2" x14ac:dyDescent="0.25">
      <c r="A7" s="37" t="str">
        <f>'Автоматизированный расчет'!A60</f>
        <v>Оплата</v>
      </c>
      <c r="B7" s="37" t="s">
        <v>102</v>
      </c>
    </row>
    <row r="8" spans="1:2" x14ac:dyDescent="0.25">
      <c r="A8" s="37" t="str">
        <f>'Автоматизированный расчет'!A61</f>
        <v>Переход в корзину</v>
      </c>
      <c r="B8" s="37" t="s">
        <v>98</v>
      </c>
    </row>
    <row r="9" spans="1:2" x14ac:dyDescent="0.25">
      <c r="A9" s="37" t="str">
        <f>'Автоматизированный расчет'!A62</f>
        <v>Удаление продукта</v>
      </c>
      <c r="B9" s="37" t="s">
        <v>104</v>
      </c>
    </row>
    <row r="10" spans="1:2" x14ac:dyDescent="0.25">
      <c r="A10" s="37" t="str">
        <f>'Автоматизированный расчет'!A63</f>
        <v>Выход из системы</v>
      </c>
      <c r="B10" s="37" t="s">
        <v>65</v>
      </c>
    </row>
    <row r="11" spans="1:2" x14ac:dyDescent="0.25">
      <c r="A11" s="37" t="str">
        <f>'Автоматизированный расчет'!A64</f>
        <v>Страница регистрации</v>
      </c>
      <c r="B11" s="37" t="s">
        <v>68</v>
      </c>
    </row>
    <row r="12" spans="1:2" x14ac:dyDescent="0.25">
      <c r="A12" s="37" t="str">
        <f>'Автоматизированный расчет'!A65</f>
        <v>Регистрация пользователя</v>
      </c>
      <c r="B12" s="37" t="s">
        <v>78</v>
      </c>
    </row>
    <row r="13" spans="1:2" x14ac:dyDescent="0.25">
      <c r="A13" s="37" t="str">
        <f>'Автоматизированный расчет'!A66</f>
        <v>Поиск продукта</v>
      </c>
      <c r="B13" s="37" t="s">
        <v>106</v>
      </c>
    </row>
    <row r="14" spans="1:2" x14ac:dyDescent="0.25">
      <c r="A14" s="37" t="str">
        <f>'Автоматизированный расчет'!A67</f>
        <v>Переход на страницу продукта</v>
      </c>
      <c r="B14" s="3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J19" sqref="A1:J19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60" t="s">
        <v>13</v>
      </c>
      <c r="B1" s="60" t="s">
        <v>50</v>
      </c>
      <c r="C1" s="60" t="s">
        <v>51</v>
      </c>
      <c r="D1" s="60" t="s">
        <v>52</v>
      </c>
      <c r="E1" s="60" t="s">
        <v>53</v>
      </c>
      <c r="F1" s="60" t="s">
        <v>54</v>
      </c>
      <c r="G1" s="60" t="s">
        <v>55</v>
      </c>
      <c r="H1" s="60" t="s">
        <v>14</v>
      </c>
      <c r="I1" s="60" t="s">
        <v>15</v>
      </c>
      <c r="J1" s="60" t="s">
        <v>16</v>
      </c>
    </row>
    <row r="2" spans="1:10" x14ac:dyDescent="0.25">
      <c r="A2" t="s">
        <v>62</v>
      </c>
      <c r="B2" s="67"/>
      <c r="C2">
        <v>2.7E-2</v>
      </c>
      <c r="D2">
        <v>5.0999999999999997E-2</v>
      </c>
      <c r="E2">
        <v>0.115</v>
      </c>
      <c r="F2">
        <v>2.5000000000000001E-2</v>
      </c>
      <c r="G2">
        <v>8.6999999999999994E-2</v>
      </c>
      <c r="H2">
        <v>60</v>
      </c>
      <c r="I2">
        <v>0</v>
      </c>
      <c r="J2">
        <v>0</v>
      </c>
    </row>
    <row r="3" spans="1:10" x14ac:dyDescent="0.25">
      <c r="A3" t="s">
        <v>63</v>
      </c>
      <c r="C3">
        <v>2.9000000000000001E-2</v>
      </c>
      <c r="D3">
        <v>0.03</v>
      </c>
      <c r="E3">
        <v>3.2000000000000001E-2</v>
      </c>
      <c r="F3">
        <v>1E-3</v>
      </c>
      <c r="G3">
        <v>3.2000000000000001E-2</v>
      </c>
      <c r="H3">
        <v>24</v>
      </c>
      <c r="I3">
        <v>0</v>
      </c>
      <c r="J3">
        <v>0</v>
      </c>
    </row>
    <row r="4" spans="1:10" x14ac:dyDescent="0.25">
      <c r="A4" t="s">
        <v>64</v>
      </c>
      <c r="C4">
        <v>7.2999999999999995E-2</v>
      </c>
      <c r="D4">
        <v>0.249</v>
      </c>
      <c r="E4">
        <v>0.878</v>
      </c>
      <c r="F4">
        <v>0.14699999999999999</v>
      </c>
      <c r="G4">
        <v>0.375</v>
      </c>
      <c r="H4">
        <v>144</v>
      </c>
      <c r="I4">
        <v>0</v>
      </c>
      <c r="J4">
        <v>0</v>
      </c>
    </row>
    <row r="5" spans="1:10" x14ac:dyDescent="0.25">
      <c r="A5" t="s">
        <v>65</v>
      </c>
      <c r="C5">
        <v>4.2000000000000003E-2</v>
      </c>
      <c r="D5">
        <v>7.8E-2</v>
      </c>
      <c r="E5">
        <v>0.61399999999999999</v>
      </c>
      <c r="F5">
        <v>8.1000000000000003E-2</v>
      </c>
      <c r="G5">
        <v>0.126</v>
      </c>
      <c r="H5">
        <v>106</v>
      </c>
      <c r="I5">
        <v>0</v>
      </c>
      <c r="J5">
        <v>0</v>
      </c>
    </row>
    <row r="6" spans="1:10" x14ac:dyDescent="0.25">
      <c r="A6" t="s">
        <v>66</v>
      </c>
      <c r="C6">
        <v>4.8000000000000001E-2</v>
      </c>
      <c r="D6">
        <v>0.21</v>
      </c>
      <c r="E6">
        <v>1.115</v>
      </c>
      <c r="F6">
        <v>0.20300000000000001</v>
      </c>
      <c r="G6">
        <v>0.33300000000000002</v>
      </c>
      <c r="H6">
        <v>177</v>
      </c>
      <c r="I6">
        <v>0</v>
      </c>
      <c r="J6">
        <v>0</v>
      </c>
    </row>
    <row r="7" spans="1:10" x14ac:dyDescent="0.25">
      <c r="A7" t="s">
        <v>67</v>
      </c>
      <c r="C7">
        <v>6.9000000000000006E-2</v>
      </c>
      <c r="D7">
        <v>0.21</v>
      </c>
      <c r="E7">
        <v>0.77200000000000002</v>
      </c>
      <c r="F7">
        <v>0.125</v>
      </c>
      <c r="G7">
        <v>0.29099999999999998</v>
      </c>
      <c r="H7">
        <v>102</v>
      </c>
      <c r="I7">
        <v>0</v>
      </c>
      <c r="J7">
        <v>0</v>
      </c>
    </row>
    <row r="8" spans="1:10" x14ac:dyDescent="0.25">
      <c r="A8" t="s">
        <v>68</v>
      </c>
      <c r="C8">
        <v>2.9000000000000001E-2</v>
      </c>
      <c r="D8">
        <v>3.7999999999999999E-2</v>
      </c>
      <c r="E8">
        <v>0.13200000000000001</v>
      </c>
      <c r="F8">
        <v>2.3E-2</v>
      </c>
      <c r="G8">
        <v>5.8000000000000003E-2</v>
      </c>
      <c r="H8">
        <v>33</v>
      </c>
      <c r="I8">
        <v>0</v>
      </c>
      <c r="J8">
        <v>0</v>
      </c>
    </row>
    <row r="9" spans="1:10" x14ac:dyDescent="0.25">
      <c r="A9" t="s">
        <v>69</v>
      </c>
      <c r="C9">
        <v>6.7000000000000004E-2</v>
      </c>
      <c r="D9">
        <v>9.1999999999999998E-2</v>
      </c>
      <c r="E9">
        <v>0.26</v>
      </c>
      <c r="F9">
        <v>3.5999999999999997E-2</v>
      </c>
      <c r="G9">
        <v>0.11899999999999999</v>
      </c>
      <c r="H9">
        <v>33</v>
      </c>
      <c r="I9">
        <v>0</v>
      </c>
      <c r="J9">
        <v>0</v>
      </c>
    </row>
    <row r="10" spans="1:10" x14ac:dyDescent="0.25">
      <c r="A10" t="s">
        <v>70</v>
      </c>
      <c r="C10">
        <v>2.7E-2</v>
      </c>
      <c r="D10">
        <v>4.8000000000000001E-2</v>
      </c>
      <c r="E10">
        <v>0.18</v>
      </c>
      <c r="F10">
        <v>2.5999999999999999E-2</v>
      </c>
      <c r="G10">
        <v>6.0999999999999999E-2</v>
      </c>
      <c r="H10">
        <v>102</v>
      </c>
      <c r="I10">
        <v>0</v>
      </c>
      <c r="J10">
        <v>0</v>
      </c>
    </row>
    <row r="11" spans="1:10" x14ac:dyDescent="0.25">
      <c r="A11" t="s">
        <v>71</v>
      </c>
      <c r="C11">
        <v>0.51500000000000001</v>
      </c>
      <c r="D11">
        <v>0.72599999999999998</v>
      </c>
      <c r="E11">
        <v>2.5630000000000002</v>
      </c>
      <c r="F11">
        <v>0.42899999999999999</v>
      </c>
      <c r="G11">
        <v>0.69099999999999995</v>
      </c>
      <c r="H11">
        <v>42</v>
      </c>
      <c r="I11">
        <v>0</v>
      </c>
      <c r="J11">
        <v>0</v>
      </c>
    </row>
    <row r="12" spans="1:10" x14ac:dyDescent="0.25">
      <c r="A12" t="s">
        <v>72</v>
      </c>
      <c r="C12">
        <v>0.48899999999999999</v>
      </c>
      <c r="D12">
        <v>0.71599999999999997</v>
      </c>
      <c r="E12">
        <v>1.821</v>
      </c>
      <c r="F12">
        <v>0.30299999999999999</v>
      </c>
      <c r="G12">
        <v>0.89400000000000002</v>
      </c>
      <c r="H12">
        <v>32</v>
      </c>
      <c r="I12">
        <v>0</v>
      </c>
      <c r="J12">
        <v>0</v>
      </c>
    </row>
    <row r="13" spans="1:10" x14ac:dyDescent="0.25">
      <c r="A13" t="s">
        <v>73</v>
      </c>
      <c r="C13">
        <v>0.57899999999999996</v>
      </c>
      <c r="D13">
        <v>1.0329999999999999</v>
      </c>
      <c r="E13">
        <v>2.8570000000000002</v>
      </c>
      <c r="F13">
        <v>0.56699999999999995</v>
      </c>
      <c r="G13">
        <v>1.081</v>
      </c>
      <c r="H13">
        <v>24</v>
      </c>
      <c r="I13">
        <v>0</v>
      </c>
      <c r="J13">
        <v>0</v>
      </c>
    </row>
    <row r="14" spans="1:10" x14ac:dyDescent="0.25">
      <c r="A14" t="s">
        <v>74</v>
      </c>
      <c r="C14">
        <v>0.56399999999999995</v>
      </c>
      <c r="D14">
        <v>1.044</v>
      </c>
      <c r="E14">
        <v>3.1150000000000002</v>
      </c>
      <c r="F14">
        <v>0.52200000000000002</v>
      </c>
      <c r="G14">
        <v>1.1919999999999999</v>
      </c>
      <c r="H14">
        <v>36</v>
      </c>
      <c r="I14">
        <v>0</v>
      </c>
      <c r="J14">
        <v>0</v>
      </c>
    </row>
    <row r="15" spans="1:10" x14ac:dyDescent="0.25">
      <c r="A15" t="s">
        <v>75</v>
      </c>
      <c r="C15">
        <v>0.65700000000000003</v>
      </c>
      <c r="D15">
        <v>0.79700000000000004</v>
      </c>
      <c r="E15">
        <v>1.0329999999999999</v>
      </c>
      <c r="F15">
        <v>0.14499999999999999</v>
      </c>
      <c r="G15">
        <v>1.0329999999999999</v>
      </c>
      <c r="H15">
        <v>7</v>
      </c>
      <c r="I15">
        <v>1</v>
      </c>
      <c r="J15">
        <v>0</v>
      </c>
    </row>
    <row r="16" spans="1:10" x14ac:dyDescent="0.25">
      <c r="A16" t="s">
        <v>76</v>
      </c>
      <c r="C16">
        <v>0.27</v>
      </c>
      <c r="D16">
        <v>0.37</v>
      </c>
      <c r="E16">
        <v>1.375</v>
      </c>
      <c r="F16">
        <v>0.187</v>
      </c>
      <c r="G16">
        <v>0.42699999999999999</v>
      </c>
      <c r="H16">
        <v>32</v>
      </c>
      <c r="I16">
        <v>0</v>
      </c>
      <c r="J16">
        <v>0</v>
      </c>
    </row>
    <row r="17" spans="1:10" x14ac:dyDescent="0.25">
      <c r="A17" t="s">
        <v>78</v>
      </c>
      <c r="C17">
        <v>2.5000000000000001E-2</v>
      </c>
      <c r="D17">
        <v>0.03</v>
      </c>
      <c r="E17">
        <v>9.0999999999999998E-2</v>
      </c>
      <c r="F17">
        <v>1.2999999999999999E-2</v>
      </c>
      <c r="G17">
        <v>2.9000000000000001E-2</v>
      </c>
      <c r="H17">
        <v>33</v>
      </c>
      <c r="I17">
        <v>0</v>
      </c>
      <c r="J17">
        <v>0</v>
      </c>
    </row>
    <row r="18" spans="1:10" x14ac:dyDescent="0.25">
      <c r="A18" t="s">
        <v>79</v>
      </c>
      <c r="C18">
        <v>7.1999999999999995E-2</v>
      </c>
      <c r="D18">
        <v>0.16600000000000001</v>
      </c>
      <c r="E18">
        <v>0.42299999999999999</v>
      </c>
      <c r="F18">
        <v>7.9000000000000001E-2</v>
      </c>
      <c r="G18">
        <v>0.29099999999999998</v>
      </c>
      <c r="H18">
        <v>91</v>
      </c>
      <c r="I18">
        <v>1</v>
      </c>
      <c r="J18">
        <v>0</v>
      </c>
    </row>
    <row r="19" spans="1:10" x14ac:dyDescent="0.25">
      <c r="A19" t="s">
        <v>77</v>
      </c>
      <c r="C19">
        <v>2.5999999999999999E-2</v>
      </c>
      <c r="D19">
        <v>0.05</v>
      </c>
      <c r="E19">
        <v>0.13500000000000001</v>
      </c>
      <c r="F19">
        <v>2.5999999999999999E-2</v>
      </c>
      <c r="G19">
        <v>0.09</v>
      </c>
      <c r="H19">
        <v>94</v>
      </c>
      <c r="I19">
        <v>0</v>
      </c>
      <c r="J19">
        <v>0</v>
      </c>
    </row>
    <row r="20" spans="1:10" x14ac:dyDescent="0.25">
      <c r="H20">
        <f>SUM(H2:H19)</f>
        <v>1172</v>
      </c>
    </row>
  </sheetData>
  <hyperlinks>
    <hyperlink ref="A2" display="BuyingTicket" xr:uid="{CAD88E3E-CAF9-47B8-9CAC-558280E3DC87}"/>
    <hyperlink ref="A3" display="DeleteTicket" xr:uid="{C3EB1C5D-8F5C-4493-B3B3-83EF477EBAFC}"/>
    <hyperlink ref="A4" display="Login" xr:uid="{523A220C-C0BC-4586-AB2D-525E5BB64F81}"/>
    <hyperlink ref="A5" display="Logout" xr:uid="{E75052CA-7BBF-4922-ACD2-9966B2A68261}"/>
    <hyperlink ref="A6" display="OpenLandingPage" xr:uid="{C6836C6D-EA30-4430-BD9D-B5F159077A0A}"/>
    <hyperlink ref="A7" display="OpenPage_FindFlight" xr:uid="{81178DB6-ABBD-4723-946E-817D5966915D}"/>
    <hyperlink ref="A8" display="OpenRegistrationPage" xr:uid="{B5B4C3B7-AA61-4BE0-8A6C-50CEFDF8DED0}"/>
    <hyperlink ref="A9" display="press continue" xr:uid="{28681E23-2C00-48DC-97D2-E932F7C76BEE}"/>
    <hyperlink ref="A10" display="SubmitFlight" xr:uid="{946308BF-EE88-43CE-BCCC-C1D7805649EA}"/>
    <hyperlink ref="A11" display="UC1_LoginLogout" xr:uid="{415B5270-B86C-4F08-A1C1-00EBF2F4491F}"/>
    <hyperlink ref="A12" display="UC2_SearchTicket" xr:uid="{F4E51458-499D-4332-9C24-1E811D213D02}"/>
    <hyperlink ref="A13" display="UC3_BuyingTicket" xr:uid="{F33B33B4-F165-4FF3-BAF5-6DAE4D6C0E75}"/>
    <hyperlink ref="A14" display="UC4_ViewTicketList" xr:uid="{95AC6949-4F9F-4A12-9689-46DFFD11FF4C}"/>
    <hyperlink ref="A15" display="UC5_DeleteTicket" xr:uid="{9E28DCA7-18AE-4F1E-8F6A-8FBF594ECCAA}"/>
    <hyperlink ref="A16" display="UC7_RandomUserRegistrtion" xr:uid="{DD35DEBB-2179-47F8-BC28-0799706622C5}"/>
    <hyperlink ref="A17" display="UserRegistered" xr:uid="{BA392A4D-D3A1-4CDF-8CAE-CBF0F1CED951}"/>
    <hyperlink ref="A18" display="ViewTicketList" xr:uid="{E7595B25-3867-4E89-8AF0-D55D46B83395}"/>
    <hyperlink ref="A19" display="СhooseDepartureTime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0"/>
  <sheetViews>
    <sheetView workbookViewId="0">
      <selection activeCell="L46" sqref="L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96" t="s">
        <v>81</v>
      </c>
      <c r="F1" s="96"/>
      <c r="G1" s="96"/>
      <c r="H1" s="96"/>
      <c r="I1" s="96"/>
      <c r="J1" s="96"/>
    </row>
    <row r="3" spans="5:12" x14ac:dyDescent="0.25">
      <c r="E3" s="78" t="s">
        <v>8</v>
      </c>
      <c r="F3" s="78" t="s">
        <v>9</v>
      </c>
      <c r="G3" s="78" t="s">
        <v>10</v>
      </c>
      <c r="H3" s="78" t="s">
        <v>11</v>
      </c>
      <c r="I3" s="78" t="s">
        <v>12</v>
      </c>
      <c r="J3" s="78" t="s">
        <v>85</v>
      </c>
    </row>
    <row r="4" spans="5:12" ht="15.75" x14ac:dyDescent="0.25">
      <c r="E4" s="59" t="s">
        <v>39</v>
      </c>
      <c r="F4" s="70" t="e">
        <f>VLOOKUP(E4,Соответствие!$A$2:$B$14,2,FALSE)</f>
        <v>#N/A</v>
      </c>
      <c r="G4" s="71" t="e">
        <f>VLOOKUP(E4,'Автоматизированный расчет'!$A$55:$B$67,2,FALSE)</f>
        <v>#N/A</v>
      </c>
      <c r="H4" s="72">
        <f>765*0.6</f>
        <v>459</v>
      </c>
      <c r="I4" s="73" t="e">
        <f>1-G4/H4</f>
        <v>#N/A</v>
      </c>
      <c r="J4" s="77" t="s">
        <v>86</v>
      </c>
    </row>
    <row r="5" spans="5:12" ht="15.75" x14ac:dyDescent="0.25">
      <c r="E5" s="59" t="s">
        <v>0</v>
      </c>
      <c r="F5" s="70" t="str">
        <f>VLOOKUP(E5,Соответствие!$A$2:$B$14,2,FALSE)</f>
        <v>Login</v>
      </c>
      <c r="G5" s="71">
        <f>VLOOKUP(E5,'Автоматизированный расчет'!$A$55:$B$67,2,FALSE)</f>
        <v>320</v>
      </c>
      <c r="H5" s="74">
        <f>633*0.6</f>
        <v>379.8</v>
      </c>
      <c r="I5" s="73">
        <f t="shared" ref="I5:I6" si="0">1-G5/H5</f>
        <v>0.15745129015271198</v>
      </c>
      <c r="J5" s="77" t="s">
        <v>86</v>
      </c>
    </row>
    <row r="6" spans="5:12" ht="15.75" x14ac:dyDescent="0.25">
      <c r="E6" s="59" t="s">
        <v>45</v>
      </c>
      <c r="F6" s="70" t="e">
        <f>VLOOKUP(E6,Соответствие!$A$2:$B$14,2,FALSE)</f>
        <v>#N/A</v>
      </c>
      <c r="G6" s="71" t="e">
        <f>VLOOKUP(E6,'Автоматизированный расчет'!$A$55:$B$67,2,FALSE)</f>
        <v>#N/A</v>
      </c>
      <c r="H6" s="69">
        <f>426*0.6</f>
        <v>255.6</v>
      </c>
      <c r="I6" s="73" t="e">
        <f t="shared" si="0"/>
        <v>#N/A</v>
      </c>
      <c r="J6" s="77" t="s">
        <v>86</v>
      </c>
    </row>
    <row r="7" spans="5:12" ht="15.75" x14ac:dyDescent="0.25">
      <c r="E7" s="59" t="s">
        <v>5</v>
      </c>
      <c r="F7" s="70" t="e">
        <f>VLOOKUP(E7,Соответствие!$A$2:$B$14,2,FALSE)</f>
        <v>#N/A</v>
      </c>
      <c r="G7" s="71" t="e">
        <f>VLOOKUP(E7,'Автоматизированный расчет'!$A$55:$B$67,2,FALSE)</f>
        <v>#N/A</v>
      </c>
      <c r="H7" s="74">
        <f>424*0.6</f>
        <v>254.39999999999998</v>
      </c>
      <c r="I7" s="73" t="e">
        <f>1-G7/H7</f>
        <v>#N/A</v>
      </c>
      <c r="J7" s="77" t="s">
        <v>86</v>
      </c>
      <c r="L7" s="76"/>
    </row>
    <row r="8" spans="5:12" ht="15.75" x14ac:dyDescent="0.25">
      <c r="E8" s="59" t="s">
        <v>6</v>
      </c>
      <c r="F8" s="70" t="e">
        <f>VLOOKUP(E8,Соответствие!$A$2:$B$14,2,FALSE)</f>
        <v>#N/A</v>
      </c>
      <c r="G8" s="71" t="e">
        <f>VLOOKUP(E8,'Автоматизированный расчет'!$A$55:$B$67,2,FALSE)</f>
        <v>#N/A</v>
      </c>
      <c r="H8" s="74">
        <f>386*0.6</f>
        <v>231.6</v>
      </c>
      <c r="I8" s="73" t="e">
        <f t="shared" ref="I8:I15" si="1">1-G8/H8</f>
        <v>#N/A</v>
      </c>
      <c r="J8" s="77" t="s">
        <v>83</v>
      </c>
      <c r="L8" s="76"/>
    </row>
    <row r="9" spans="5:12" ht="15.75" x14ac:dyDescent="0.25">
      <c r="E9" s="59" t="s">
        <v>1</v>
      </c>
      <c r="F9" s="70" t="e">
        <f>VLOOKUP(E9,Соответствие!$A$2:$B$14,2,FALSE)</f>
        <v>#N/A</v>
      </c>
      <c r="G9" s="71" t="e">
        <f>VLOOKUP(E9,'Автоматизированный расчет'!$A$55:$B$67,2,FALSE)</f>
        <v>#N/A</v>
      </c>
      <c r="H9" s="74">
        <f>258*0.6</f>
        <v>154.79999999999998</v>
      </c>
      <c r="I9" s="73" t="e">
        <f t="shared" si="1"/>
        <v>#N/A</v>
      </c>
      <c r="J9" s="77" t="s">
        <v>86</v>
      </c>
      <c r="L9" s="76"/>
    </row>
    <row r="10" spans="5:12" ht="15.75" x14ac:dyDescent="0.25">
      <c r="E10" s="59" t="s">
        <v>2</v>
      </c>
      <c r="F10" s="70" t="e">
        <f>VLOOKUP(E10,Соответствие!$A$2:$B$14,2,FALSE)</f>
        <v>#N/A</v>
      </c>
      <c r="G10" s="71" t="e">
        <f>VLOOKUP(E10,'Автоматизированный расчет'!$A$55:$B$67,2,FALSE)</f>
        <v>#N/A</v>
      </c>
      <c r="H10" s="74">
        <f>420*0.6</f>
        <v>252</v>
      </c>
      <c r="I10" s="73" t="e">
        <f t="shared" si="1"/>
        <v>#N/A</v>
      </c>
      <c r="J10" s="77" t="s">
        <v>86</v>
      </c>
      <c r="L10" s="76"/>
    </row>
    <row r="11" spans="5:12" ht="15.75" customHeight="1" x14ac:dyDescent="0.25">
      <c r="E11" s="68" t="s">
        <v>7</v>
      </c>
      <c r="F11" s="70" t="e">
        <f>VLOOKUP(E11,Соответствие!$A$2:$B$14,2,FALSE)</f>
        <v>#N/A</v>
      </c>
      <c r="G11" s="71" t="e">
        <f>VLOOKUP(E11,'Автоматизированный расчет'!$A$55:$B$67,2,FALSE)</f>
        <v>#N/A</v>
      </c>
      <c r="H11" s="74">
        <f>125*0.6</f>
        <v>75</v>
      </c>
      <c r="I11" s="73" t="e">
        <f t="shared" si="1"/>
        <v>#N/A</v>
      </c>
      <c r="J11" s="77" t="s">
        <v>83</v>
      </c>
    </row>
    <row r="12" spans="5:12" ht="15.75" x14ac:dyDescent="0.25">
      <c r="E12" s="59" t="s">
        <v>3</v>
      </c>
      <c r="F12" s="70" t="str">
        <f>VLOOKUP(E12,Соответствие!$A$2:$B$14,2,FALSE)</f>
        <v>Logout</v>
      </c>
      <c r="G12" s="71">
        <f>VLOOKUP(E12,'Автоматизированный расчет'!$A$55:$B$67,2,FALSE)</f>
        <v>200</v>
      </c>
      <c r="H12" s="74">
        <f>437*0.6</f>
        <v>262.2</v>
      </c>
      <c r="I12" s="73">
        <f t="shared" si="1"/>
        <v>0.23722349351639971</v>
      </c>
      <c r="J12" s="77" t="s">
        <v>86</v>
      </c>
    </row>
    <row r="13" spans="5:12" ht="15.75" x14ac:dyDescent="0.25">
      <c r="E13" s="68" t="s">
        <v>41</v>
      </c>
      <c r="F13" s="70" t="e">
        <f>VLOOKUP(E13,Соответствие!$A$2:$B$14,2,FALSE)</f>
        <v>#N/A</v>
      </c>
      <c r="G13" s="71" t="e">
        <f>VLOOKUP(E13,'Автоматизированный расчет'!$A$55:$B$67,2,FALSE)</f>
        <v>#N/A</v>
      </c>
      <c r="H13" s="69">
        <f>125*0.6</f>
        <v>75</v>
      </c>
      <c r="I13" s="73" t="e">
        <f t="shared" si="1"/>
        <v>#N/A</v>
      </c>
      <c r="J13" s="77" t="s">
        <v>83</v>
      </c>
    </row>
    <row r="14" spans="5:12" ht="15.75" x14ac:dyDescent="0.25">
      <c r="E14" s="68" t="s">
        <v>40</v>
      </c>
      <c r="F14" s="70" t="e">
        <f>VLOOKUP(E14,Соответствие!$A$2:$B$14,2,FALSE)</f>
        <v>#N/A</v>
      </c>
      <c r="G14" s="71" t="e">
        <f>VLOOKUP(E14,'Автоматизированный расчет'!$A$55:$B$67,2,FALSE)</f>
        <v>#N/A</v>
      </c>
      <c r="H14" s="69">
        <f>125*0.6</f>
        <v>75</v>
      </c>
      <c r="I14" s="73" t="e">
        <f t="shared" si="1"/>
        <v>#N/A</v>
      </c>
      <c r="J14" s="77" t="s">
        <v>83</v>
      </c>
    </row>
    <row r="15" spans="5:12" ht="15.75" x14ac:dyDescent="0.25">
      <c r="E15" s="68" t="s">
        <v>42</v>
      </c>
      <c r="F15" s="70" t="e">
        <f>VLOOKUP(E15,Соответствие!$A$2:$B$14,2,FALSE)</f>
        <v>#N/A</v>
      </c>
      <c r="G15" s="71" t="e">
        <f>VLOOKUP(E15,'Автоматизированный расчет'!$A$55:$B$67,2,FALSE)</f>
        <v>#N/A</v>
      </c>
      <c r="H15" s="69">
        <f>122*0.6</f>
        <v>73.2</v>
      </c>
      <c r="I15" s="73" t="e">
        <f t="shared" si="1"/>
        <v>#N/A</v>
      </c>
      <c r="J15" s="77" t="s">
        <v>86</v>
      </c>
    </row>
    <row r="16" spans="5:12" ht="15.75" customHeight="1" x14ac:dyDescent="0.25">
      <c r="F16" s="75"/>
      <c r="G16" s="75"/>
      <c r="H16" s="75"/>
      <c r="I16" s="75"/>
    </row>
    <row r="17" spans="5:17" ht="15.75" customHeight="1" x14ac:dyDescent="0.25">
      <c r="E17" s="96" t="s">
        <v>84</v>
      </c>
      <c r="F17" s="96"/>
      <c r="G17" s="96"/>
      <c r="H17" s="96"/>
      <c r="I17" s="96"/>
      <c r="J17" s="96"/>
    </row>
    <row r="19" spans="5:17" x14ac:dyDescent="0.25">
      <c r="E19" s="78" t="s">
        <v>8</v>
      </c>
      <c r="F19" s="78" t="s">
        <v>9</v>
      </c>
      <c r="G19" s="78" t="s">
        <v>10</v>
      </c>
      <c r="H19" s="78" t="s">
        <v>11</v>
      </c>
      <c r="I19" s="78" t="s">
        <v>12</v>
      </c>
      <c r="J19" s="78" t="s">
        <v>85</v>
      </c>
    </row>
    <row r="20" spans="5:17" ht="15.75" x14ac:dyDescent="0.25">
      <c r="E20" s="59" t="s">
        <v>39</v>
      </c>
      <c r="F20" s="70" t="e">
        <f>VLOOKUP(E20,Соответствие!$A$2:$B$14,2,FALSE)</f>
        <v>#N/A</v>
      </c>
      <c r="G20" s="71" t="e">
        <f>VLOOKUP(E20,'Автоматизированный расчет'!$A$55:$B$67,2,FALSE)</f>
        <v>#N/A</v>
      </c>
      <c r="H20" s="72">
        <f>(682/4)*3</f>
        <v>511.5</v>
      </c>
      <c r="I20" s="73" t="e">
        <f>1-G20/H20</f>
        <v>#N/A</v>
      </c>
      <c r="J20" s="77" t="s">
        <v>86</v>
      </c>
    </row>
    <row r="21" spans="5:17" ht="15.75" x14ac:dyDescent="0.25">
      <c r="E21" s="59" t="s">
        <v>0</v>
      </c>
      <c r="F21" s="70" t="str">
        <f>VLOOKUP(E21,Соответствие!$A$2:$B$14,2,FALSE)</f>
        <v>Login</v>
      </c>
      <c r="G21" s="71">
        <f>VLOOKUP(E21,'Автоматизированный расчет'!$A$55:$B$67,2,FALSE)</f>
        <v>320</v>
      </c>
      <c r="H21" s="74">
        <f>(543/4)*3</f>
        <v>407.25</v>
      </c>
      <c r="I21" s="73">
        <f t="shared" ref="I21:I22" si="2">1-G21/H21</f>
        <v>0.21424186617556784</v>
      </c>
      <c r="J21" s="77" t="s">
        <v>86</v>
      </c>
      <c r="L21" s="76"/>
      <c r="Q21" s="76"/>
    </row>
    <row r="22" spans="5:17" ht="15.75" x14ac:dyDescent="0.25">
      <c r="E22" s="59" t="s">
        <v>45</v>
      </c>
      <c r="F22" s="70" t="e">
        <f>VLOOKUP(E22,Соответствие!$A$2:$B$14,2,FALSE)</f>
        <v>#N/A</v>
      </c>
      <c r="G22" s="71" t="e">
        <f>VLOOKUP(E22,'Автоматизированный расчет'!$A$55:$B$67,2,FALSE)</f>
        <v>#N/A</v>
      </c>
      <c r="H22" s="69">
        <f>(382/4)*3</f>
        <v>286.5</v>
      </c>
      <c r="I22" s="73" t="e">
        <f t="shared" si="2"/>
        <v>#N/A</v>
      </c>
      <c r="J22" s="77" t="s">
        <v>86</v>
      </c>
      <c r="L22" s="76"/>
      <c r="Q22" s="76"/>
    </row>
    <row r="23" spans="5:17" ht="15.75" x14ac:dyDescent="0.25">
      <c r="E23" s="59" t="s">
        <v>5</v>
      </c>
      <c r="F23" s="70" t="e">
        <f>VLOOKUP(E23,Соответствие!$A$2:$B$14,2,FALSE)</f>
        <v>#N/A</v>
      </c>
      <c r="G23" s="71" t="e">
        <f>VLOOKUP(E23,'Автоматизированный расчет'!$A$55:$B$67,2,FALSE)</f>
        <v>#N/A</v>
      </c>
      <c r="H23" s="74">
        <f>(382/4)*3</f>
        <v>286.5</v>
      </c>
      <c r="I23" s="73" t="e">
        <f>1-G23/H23</f>
        <v>#N/A</v>
      </c>
      <c r="J23" s="77" t="s">
        <v>83</v>
      </c>
      <c r="L23" s="76"/>
      <c r="Q23" s="76"/>
    </row>
    <row r="24" spans="5:17" ht="15.75" x14ac:dyDescent="0.25">
      <c r="E24" s="59" t="s">
        <v>6</v>
      </c>
      <c r="F24" s="70" t="e">
        <f>VLOOKUP(E24,Соответствие!$A$2:$B$14,2,FALSE)</f>
        <v>#N/A</v>
      </c>
      <c r="G24" s="71" t="e">
        <f>VLOOKUP(E24,'Автоматизированный расчет'!$A$55:$B$67,2,FALSE)</f>
        <v>#N/A</v>
      </c>
      <c r="H24" s="74">
        <f>(350/4)*3</f>
        <v>262.5</v>
      </c>
      <c r="I24" s="73" t="e">
        <f t="shared" ref="I24:I31" si="3">1-G24/H24</f>
        <v>#N/A</v>
      </c>
      <c r="J24" s="77" t="s">
        <v>83</v>
      </c>
      <c r="L24" s="76"/>
      <c r="Q24" s="76"/>
    </row>
    <row r="25" spans="5:17" ht="15.75" x14ac:dyDescent="0.25">
      <c r="E25" s="59" t="s">
        <v>1</v>
      </c>
      <c r="F25" s="70" t="e">
        <f>VLOOKUP(E25,Соответствие!$A$2:$B$14,2,FALSE)</f>
        <v>#N/A</v>
      </c>
      <c r="G25" s="71" t="e">
        <f>VLOOKUP(E25,'Автоматизированный расчет'!$A$55:$B$67,2,FALSE)</f>
        <v>#N/A</v>
      </c>
      <c r="H25" s="74">
        <f>(230/4)*3</f>
        <v>172.5</v>
      </c>
      <c r="I25" s="73" t="e">
        <f t="shared" si="3"/>
        <v>#N/A</v>
      </c>
      <c r="J25" s="77" t="s">
        <v>86</v>
      </c>
    </row>
    <row r="26" spans="5:17" ht="15.75" x14ac:dyDescent="0.25">
      <c r="E26" s="59" t="s">
        <v>2</v>
      </c>
      <c r="F26" s="70" t="e">
        <f>VLOOKUP(E26,Соответствие!$A$2:$B$14,2,FALSE)</f>
        <v>#N/A</v>
      </c>
      <c r="G26" s="71" t="e">
        <f>VLOOKUP(E26,'Автоматизированный расчет'!$A$55:$B$67,2,FALSE)</f>
        <v>#N/A</v>
      </c>
      <c r="H26" s="74">
        <f>(366/4)*3</f>
        <v>274.5</v>
      </c>
      <c r="I26" s="73" t="e">
        <f t="shared" si="3"/>
        <v>#N/A</v>
      </c>
      <c r="J26" s="77" t="s">
        <v>86</v>
      </c>
    </row>
    <row r="27" spans="5:17" ht="15.75" x14ac:dyDescent="0.25">
      <c r="E27" s="68" t="s">
        <v>7</v>
      </c>
      <c r="F27" s="70" t="e">
        <f>VLOOKUP(E27,Соответствие!$A$2:$B$14,2,FALSE)</f>
        <v>#N/A</v>
      </c>
      <c r="G27" s="71" t="e">
        <f>VLOOKUP(E27,'Автоматизированный расчет'!$A$55:$B$67,2,FALSE)</f>
        <v>#N/A</v>
      </c>
      <c r="H27" s="74">
        <f>(102/4)*3</f>
        <v>76.5</v>
      </c>
      <c r="I27" s="73" t="e">
        <f>1-G27/H27</f>
        <v>#N/A</v>
      </c>
      <c r="J27" s="77" t="s">
        <v>83</v>
      </c>
    </row>
    <row r="28" spans="5:17" ht="15.75" x14ac:dyDescent="0.25">
      <c r="E28" s="59" t="s">
        <v>3</v>
      </c>
      <c r="F28" s="70" t="str">
        <f>VLOOKUP(E28,Соответствие!$A$2:$B$14,2,FALSE)</f>
        <v>Logout</v>
      </c>
      <c r="G28" s="71">
        <f>VLOOKUP(E28,'Автоматизированный расчет'!$A$55:$B$67,2,FALSE)</f>
        <v>200</v>
      </c>
      <c r="H28" s="74">
        <f>(413/4)*3</f>
        <v>309.75</v>
      </c>
      <c r="I28" s="73">
        <f>1-G28/H28</f>
        <v>0.35431799838579503</v>
      </c>
      <c r="J28" s="77" t="s">
        <v>86</v>
      </c>
    </row>
    <row r="29" spans="5:17" ht="15.75" x14ac:dyDescent="0.25">
      <c r="E29" s="68" t="s">
        <v>41</v>
      </c>
      <c r="F29" s="70" t="e">
        <f>VLOOKUP(E29,Соответствие!$A$2:$B$14,2,FALSE)</f>
        <v>#N/A</v>
      </c>
      <c r="G29" s="71" t="e">
        <f>VLOOKUP(E29,'Автоматизированный расчет'!$A$55:$B$67,2,FALSE)</f>
        <v>#N/A</v>
      </c>
      <c r="H29" s="69">
        <f>(134/4)*3</f>
        <v>100.5</v>
      </c>
      <c r="I29" s="73" t="e">
        <f t="shared" si="3"/>
        <v>#N/A</v>
      </c>
      <c r="J29" s="77" t="s">
        <v>83</v>
      </c>
    </row>
    <row r="30" spans="5:17" ht="15.75" x14ac:dyDescent="0.25">
      <c r="E30" s="68" t="s">
        <v>40</v>
      </c>
      <c r="F30" s="70" t="e">
        <f>VLOOKUP(E30,Соответствие!$A$2:$B$14,2,FALSE)</f>
        <v>#N/A</v>
      </c>
      <c r="G30" s="71" t="e">
        <f>VLOOKUP(E30,'Автоматизированный расчет'!$A$55:$B$67,2,FALSE)</f>
        <v>#N/A</v>
      </c>
      <c r="H30" s="69">
        <f>(134/4)*3</f>
        <v>100.5</v>
      </c>
      <c r="I30" s="73" t="e">
        <f t="shared" si="3"/>
        <v>#N/A</v>
      </c>
      <c r="J30" s="77" t="s">
        <v>83</v>
      </c>
    </row>
    <row r="31" spans="5:17" ht="15.75" x14ac:dyDescent="0.25">
      <c r="E31" s="68" t="s">
        <v>42</v>
      </c>
      <c r="F31" s="70" t="e">
        <f>VLOOKUP(E31,Соответствие!$A$2:$B$14,2,FALSE)</f>
        <v>#N/A</v>
      </c>
      <c r="G31" s="71" t="e">
        <f>VLOOKUP(E31,'Автоматизированный расчет'!$A$55:$B$67,2,FALSE)</f>
        <v>#N/A</v>
      </c>
      <c r="H31" s="69">
        <f>(133/4)*3</f>
        <v>99.75</v>
      </c>
      <c r="I31" s="73" t="e">
        <f t="shared" si="3"/>
        <v>#N/A</v>
      </c>
      <c r="J31" s="77" t="s">
        <v>86</v>
      </c>
      <c r="L31" s="76"/>
      <c r="Q31" s="76"/>
    </row>
    <row r="32" spans="5:17" x14ac:dyDescent="0.25">
      <c r="L32" s="76"/>
      <c r="Q32" s="76"/>
    </row>
    <row r="33" spans="5:15" x14ac:dyDescent="0.25">
      <c r="E33" s="96" t="s">
        <v>87</v>
      </c>
      <c r="F33" s="96"/>
      <c r="G33" s="96"/>
      <c r="H33" s="96"/>
      <c r="I33" s="96"/>
      <c r="J33" s="96"/>
    </row>
    <row r="35" spans="5:15" x14ac:dyDescent="0.25">
      <c r="E35" s="78" t="s">
        <v>8</v>
      </c>
      <c r="F35" s="78" t="s">
        <v>9</v>
      </c>
      <c r="G35" s="78" t="s">
        <v>10</v>
      </c>
      <c r="H35" s="78" t="s">
        <v>11</v>
      </c>
      <c r="I35" s="78" t="s">
        <v>12</v>
      </c>
      <c r="J35" s="78" t="s">
        <v>85</v>
      </c>
    </row>
    <row r="36" spans="5:15" ht="17.25" customHeight="1" x14ac:dyDescent="0.25">
      <c r="E36" s="59" t="s">
        <v>39</v>
      </c>
      <c r="F36" s="70" t="e">
        <f>VLOOKUP(E36,Соответствие!$A$2:$B$14,2,FALSE)</f>
        <v>#N/A</v>
      </c>
      <c r="G36" s="71" t="e">
        <f>VLOOKUP(E36,'Автоматизированный расчет'!$A$55:$B$67,2,FALSE)</f>
        <v>#N/A</v>
      </c>
      <c r="H36" s="72">
        <v>512</v>
      </c>
      <c r="I36" s="73" t="e">
        <f>1-G36/H36</f>
        <v>#N/A</v>
      </c>
      <c r="J36" s="77" t="s">
        <v>83</v>
      </c>
    </row>
    <row r="37" spans="5:15" ht="15.75" x14ac:dyDescent="0.25">
      <c r="E37" s="59" t="s">
        <v>0</v>
      </c>
      <c r="F37" s="70" t="str">
        <f>VLOOKUP(E37,Соответствие!$A$2:$B$14,2,FALSE)</f>
        <v>Login</v>
      </c>
      <c r="G37" s="71">
        <f>VLOOKUP(E37,'Автоматизированный расчет'!$A$55:$B$67,2,FALSE)</f>
        <v>320</v>
      </c>
      <c r="H37" s="74">
        <v>407</v>
      </c>
      <c r="I37" s="73">
        <f t="shared" ref="I37:I38" si="4">1-G37/H37</f>
        <v>0.21375921375921381</v>
      </c>
      <c r="J37" s="77" t="s">
        <v>86</v>
      </c>
    </row>
    <row r="38" spans="5:15" ht="15.75" x14ac:dyDescent="0.25">
      <c r="E38" s="59" t="s">
        <v>45</v>
      </c>
      <c r="F38" s="70" t="e">
        <f>VLOOKUP(E38,Соответствие!$A$2:$B$14,2,FALSE)</f>
        <v>#N/A</v>
      </c>
      <c r="G38" s="71" t="e">
        <f>VLOOKUP(E38,'Автоматизированный расчет'!$A$55:$B$67,2,FALSE)</f>
        <v>#N/A</v>
      </c>
      <c r="H38" s="69">
        <v>290</v>
      </c>
      <c r="I38" s="73" t="e">
        <f t="shared" si="4"/>
        <v>#N/A</v>
      </c>
      <c r="J38" s="77" t="s">
        <v>83</v>
      </c>
    </row>
    <row r="39" spans="5:15" ht="15.75" x14ac:dyDescent="0.25">
      <c r="E39" s="59" t="s">
        <v>5</v>
      </c>
      <c r="F39" s="70" t="e">
        <f>VLOOKUP(E39,Соответствие!$A$2:$B$14,2,FALSE)</f>
        <v>#N/A</v>
      </c>
      <c r="G39" s="71" t="e">
        <f>VLOOKUP(E39,'Автоматизированный расчет'!$A$55:$B$67,2,FALSE)</f>
        <v>#N/A</v>
      </c>
      <c r="H39" s="74">
        <v>290</v>
      </c>
      <c r="I39" s="73" t="e">
        <f>1-G39/H39</f>
        <v>#N/A</v>
      </c>
      <c r="J39" s="77" t="s">
        <v>83</v>
      </c>
    </row>
    <row r="40" spans="5:15" ht="15.75" x14ac:dyDescent="0.25">
      <c r="E40" s="59" t="s">
        <v>6</v>
      </c>
      <c r="F40" s="70" t="e">
        <f>VLOOKUP(E40,Соответствие!$A$2:$B$14,2,FALSE)</f>
        <v>#N/A</v>
      </c>
      <c r="G40" s="71" t="e">
        <f>VLOOKUP(E40,'Автоматизированный расчет'!$A$55:$B$67,2,FALSE)</f>
        <v>#N/A</v>
      </c>
      <c r="H40" s="74">
        <v>264</v>
      </c>
      <c r="I40" s="73" t="e">
        <f>1-G40/H40</f>
        <v>#N/A</v>
      </c>
      <c r="J40" s="77" t="s">
        <v>83</v>
      </c>
      <c r="L40" s="76"/>
      <c r="O40" s="76"/>
    </row>
    <row r="41" spans="5:15" ht="15.75" x14ac:dyDescent="0.25">
      <c r="E41" s="59" t="s">
        <v>1</v>
      </c>
      <c r="F41" s="70" t="e">
        <f>VLOOKUP(E41,Соответствие!$A$2:$B$14,2,FALSE)</f>
        <v>#N/A</v>
      </c>
      <c r="G41" s="71" t="e">
        <f>VLOOKUP(E41,'Автоматизированный расчет'!$A$55:$B$67,2,FALSE)</f>
        <v>#N/A</v>
      </c>
      <c r="H41" s="74">
        <v>174</v>
      </c>
      <c r="I41" s="73" t="e">
        <f t="shared" ref="I41:I42" si="5">1-G41/H41</f>
        <v>#N/A</v>
      </c>
      <c r="J41" s="77" t="s">
        <v>83</v>
      </c>
    </row>
    <row r="42" spans="5:15" ht="15.75" x14ac:dyDescent="0.25">
      <c r="E42" s="59" t="s">
        <v>2</v>
      </c>
      <c r="F42" s="70" t="e">
        <f>VLOOKUP(E42,Соответствие!$A$2:$B$14,2,FALSE)</f>
        <v>#N/A</v>
      </c>
      <c r="G42" s="71" t="e">
        <f>VLOOKUP(E42,'Автоматизированный расчет'!$A$55:$B$67,2,FALSE)</f>
        <v>#N/A</v>
      </c>
      <c r="H42" s="74">
        <v>278</v>
      </c>
      <c r="I42" s="73" t="e">
        <f t="shared" si="5"/>
        <v>#N/A</v>
      </c>
      <c r="J42" s="77" t="s">
        <v>83</v>
      </c>
    </row>
    <row r="43" spans="5:15" ht="15.75" x14ac:dyDescent="0.25">
      <c r="E43" s="68" t="s">
        <v>7</v>
      </c>
      <c r="F43" s="70" t="e">
        <f>VLOOKUP(E43,Соответствие!$A$2:$B$14,2,FALSE)</f>
        <v>#N/A</v>
      </c>
      <c r="G43" s="71" t="e">
        <f>VLOOKUP(E43,'Автоматизированный расчет'!$A$55:$B$67,2,FALSE)</f>
        <v>#N/A</v>
      </c>
      <c r="H43" s="74">
        <v>78</v>
      </c>
      <c r="I43" s="73" t="e">
        <f>1-G43/H43</f>
        <v>#N/A</v>
      </c>
      <c r="J43" s="77" t="s">
        <v>83</v>
      </c>
    </row>
    <row r="44" spans="5:15" ht="15.75" x14ac:dyDescent="0.25">
      <c r="E44" s="59" t="s">
        <v>3</v>
      </c>
      <c r="F44" s="70" t="str">
        <f>VLOOKUP(E44,Соответствие!$A$2:$B$14,2,FALSE)</f>
        <v>Logout</v>
      </c>
      <c r="G44" s="71">
        <f>VLOOKUP(E44,'Автоматизированный расчет'!$A$55:$B$67,2,FALSE)</f>
        <v>200</v>
      </c>
      <c r="H44" s="74">
        <v>309</v>
      </c>
      <c r="I44" s="73">
        <f>1-G44/H44</f>
        <v>0.3527508090614887</v>
      </c>
      <c r="J44" s="77" t="s">
        <v>83</v>
      </c>
    </row>
    <row r="45" spans="5:15" ht="15.75" x14ac:dyDescent="0.25">
      <c r="E45" s="68" t="s">
        <v>41</v>
      </c>
      <c r="F45" s="70" t="e">
        <f>VLOOKUP(E45,Соответствие!$A$2:$B$14,2,FALSE)</f>
        <v>#N/A</v>
      </c>
      <c r="G45" s="71" t="e">
        <f>VLOOKUP(E45,'Автоматизированный расчет'!$A$55:$B$67,2,FALSE)</f>
        <v>#N/A</v>
      </c>
      <c r="H45" s="69">
        <v>100</v>
      </c>
      <c r="I45" s="73" t="e">
        <f t="shared" ref="I45:I47" si="6">1-G45/H45</f>
        <v>#N/A</v>
      </c>
      <c r="J45" s="77" t="s">
        <v>83</v>
      </c>
    </row>
    <row r="46" spans="5:15" ht="15.75" x14ac:dyDescent="0.25">
      <c r="E46" s="68" t="s">
        <v>40</v>
      </c>
      <c r="F46" s="70" t="e">
        <f>VLOOKUP(E46,Соответствие!$A$2:$B$14,2,FALSE)</f>
        <v>#N/A</v>
      </c>
      <c r="G46" s="71" t="e">
        <f>VLOOKUP(E46,'Автоматизированный расчет'!$A$55:$B$67,2,FALSE)</f>
        <v>#N/A</v>
      </c>
      <c r="H46" s="69">
        <v>100</v>
      </c>
      <c r="I46" s="73" t="e">
        <f t="shared" si="6"/>
        <v>#N/A</v>
      </c>
      <c r="J46" s="77" t="s">
        <v>83</v>
      </c>
      <c r="L46" s="76"/>
      <c r="O46" s="76"/>
    </row>
    <row r="47" spans="5:15" ht="15.75" x14ac:dyDescent="0.25">
      <c r="E47" s="68" t="s">
        <v>42</v>
      </c>
      <c r="F47" s="70" t="e">
        <f>VLOOKUP(E47,Соответствие!$A$2:$B$14,2,FALSE)</f>
        <v>#N/A</v>
      </c>
      <c r="G47" s="71" t="e">
        <f>VLOOKUP(E47,'Автоматизированный расчет'!$A$55:$B$67,2,FALSE)</f>
        <v>#N/A</v>
      </c>
      <c r="H47" s="69">
        <v>100</v>
      </c>
      <c r="I47" s="73" t="e">
        <f t="shared" si="6"/>
        <v>#N/A</v>
      </c>
      <c r="J47" s="77" t="s">
        <v>83</v>
      </c>
    </row>
    <row r="49" spans="5:10" x14ac:dyDescent="0.25">
      <c r="E49" s="96" t="s">
        <v>88</v>
      </c>
      <c r="F49" s="96"/>
      <c r="G49" s="96"/>
      <c r="H49" s="96"/>
      <c r="I49" s="96"/>
      <c r="J49" s="96"/>
    </row>
    <row r="51" spans="5:10" x14ac:dyDescent="0.25">
      <c r="E51" s="78" t="s">
        <v>8</v>
      </c>
      <c r="F51" s="78" t="s">
        <v>9</v>
      </c>
      <c r="G51" s="78" t="s">
        <v>10</v>
      </c>
      <c r="H51" s="78" t="s">
        <v>11</v>
      </c>
      <c r="I51" s="78" t="s">
        <v>12</v>
      </c>
      <c r="J51" s="78" t="s">
        <v>85</v>
      </c>
    </row>
    <row r="52" spans="5:10" ht="15.75" x14ac:dyDescent="0.25">
      <c r="E52" s="59" t="s">
        <v>39</v>
      </c>
      <c r="F52" s="70" t="e">
        <f>VLOOKUP(E52,Соответствие!$A$2:$B$14,2,FALSE)</f>
        <v>#N/A</v>
      </c>
      <c r="G52" s="71" t="e">
        <f>VLOOKUP(E52,'Автоматизированный расчет'!$A$55:$B$67,2,FALSE)</f>
        <v>#N/A</v>
      </c>
      <c r="H52" s="72">
        <f>(340/2)*3</f>
        <v>510</v>
      </c>
      <c r="I52" s="73" t="e">
        <f>1-G52/H52</f>
        <v>#N/A</v>
      </c>
      <c r="J52" s="77" t="s">
        <v>83</v>
      </c>
    </row>
    <row r="53" spans="5:10" ht="15.75" x14ac:dyDescent="0.25">
      <c r="E53" s="59" t="s">
        <v>0</v>
      </c>
      <c r="F53" s="70" t="str">
        <f>VLOOKUP(E53,Соответствие!$A$2:$B$14,2,FALSE)</f>
        <v>Login</v>
      </c>
      <c r="G53" s="71">
        <f>VLOOKUP(E53,'Автоматизированный расчет'!$A$55:$B$67,2,FALSE)</f>
        <v>320</v>
      </c>
      <c r="H53" s="74">
        <f>(271/2)*3</f>
        <v>406.5</v>
      </c>
      <c r="I53" s="73">
        <f t="shared" ref="I53:I54" si="7">1-G53/H53</f>
        <v>0.21279212792127922</v>
      </c>
      <c r="J53" s="77" t="s">
        <v>83</v>
      </c>
    </row>
    <row r="54" spans="5:10" ht="15.75" x14ac:dyDescent="0.25">
      <c r="E54" s="59" t="s">
        <v>45</v>
      </c>
      <c r="F54" s="70" t="e">
        <f>VLOOKUP(E54,Соответствие!$A$2:$B$14,2,FALSE)</f>
        <v>#N/A</v>
      </c>
      <c r="G54" s="71" t="e">
        <f>VLOOKUP(E54,'Автоматизированный расчет'!$A$55:$B$67,2,FALSE)</f>
        <v>#N/A</v>
      </c>
      <c r="H54" s="69">
        <f>(194/2)*3</f>
        <v>291</v>
      </c>
      <c r="I54" s="73" t="e">
        <f t="shared" si="7"/>
        <v>#N/A</v>
      </c>
      <c r="J54" s="77" t="s">
        <v>83</v>
      </c>
    </row>
    <row r="55" spans="5:10" ht="15.75" x14ac:dyDescent="0.25">
      <c r="E55" s="59" t="s">
        <v>5</v>
      </c>
      <c r="F55" s="70" t="e">
        <f>VLOOKUP(E55,Соответствие!$A$2:$B$14,2,FALSE)</f>
        <v>#N/A</v>
      </c>
      <c r="G55" s="71" t="e">
        <f>VLOOKUP(E55,'Автоматизированный расчет'!$A$55:$B$67,2,FALSE)</f>
        <v>#N/A</v>
      </c>
      <c r="H55" s="74">
        <f>(192/2)*3</f>
        <v>288</v>
      </c>
      <c r="I55" s="73" t="e">
        <f>1-G55/H55</f>
        <v>#N/A</v>
      </c>
      <c r="J55" s="77" t="s">
        <v>83</v>
      </c>
    </row>
    <row r="56" spans="5:10" ht="15.75" x14ac:dyDescent="0.25">
      <c r="E56" s="59" t="s">
        <v>6</v>
      </c>
      <c r="F56" s="70" t="e">
        <f>VLOOKUP(E56,Соответствие!$A$2:$B$14,2,FALSE)</f>
        <v>#N/A</v>
      </c>
      <c r="G56" s="71" t="e">
        <f>VLOOKUP(E56,'Автоматизированный расчет'!$A$55:$B$67,2,FALSE)</f>
        <v>#N/A</v>
      </c>
      <c r="H56" s="74">
        <f>(175/2)*3</f>
        <v>262.5</v>
      </c>
      <c r="I56" s="73" t="e">
        <f>1-G56/H56</f>
        <v>#N/A</v>
      </c>
      <c r="J56" s="77" t="s">
        <v>83</v>
      </c>
    </row>
    <row r="57" spans="5:10" ht="15.75" x14ac:dyDescent="0.25">
      <c r="E57" s="59" t="s">
        <v>1</v>
      </c>
      <c r="F57" s="70" t="e">
        <f>VLOOKUP(E57,Соответствие!$A$2:$B$14,2,FALSE)</f>
        <v>#N/A</v>
      </c>
      <c r="G57" s="71" t="e">
        <f>VLOOKUP(E57,'Автоматизированный расчет'!$A$55:$B$67,2,FALSE)</f>
        <v>#N/A</v>
      </c>
      <c r="H57" s="74">
        <f>(115/2)*3</f>
        <v>172.5</v>
      </c>
      <c r="I57" s="73" t="e">
        <f t="shared" ref="I57:I58" si="8">1-G57/H57</f>
        <v>#N/A</v>
      </c>
      <c r="J57" s="77" t="s">
        <v>83</v>
      </c>
    </row>
    <row r="58" spans="5:10" ht="15.75" x14ac:dyDescent="0.25">
      <c r="E58" s="59" t="s">
        <v>2</v>
      </c>
      <c r="F58" s="70" t="e">
        <f>VLOOKUP(E58,Соответствие!$A$2:$B$14,2,FALSE)</f>
        <v>#N/A</v>
      </c>
      <c r="G58" s="71" t="e">
        <f>VLOOKUP(E58,'Автоматизированный расчет'!$A$55:$B$67,2,FALSE)</f>
        <v>#N/A</v>
      </c>
      <c r="H58" s="74">
        <f>(183/2)*3</f>
        <v>274.5</v>
      </c>
      <c r="I58" s="73" t="e">
        <f t="shared" si="8"/>
        <v>#N/A</v>
      </c>
      <c r="J58" s="77" t="s">
        <v>83</v>
      </c>
    </row>
    <row r="59" spans="5:10" ht="15.75" x14ac:dyDescent="0.25">
      <c r="E59" s="68" t="s">
        <v>7</v>
      </c>
      <c r="F59" s="70" t="e">
        <f>VLOOKUP(E59,Соответствие!$A$2:$B$14,2,FALSE)</f>
        <v>#N/A</v>
      </c>
      <c r="G59" s="71" t="e">
        <f>VLOOKUP(E59,'Автоматизированный расчет'!$A$55:$B$67,2,FALSE)</f>
        <v>#N/A</v>
      </c>
      <c r="H59" s="74">
        <f>(51/2)*3</f>
        <v>76.5</v>
      </c>
      <c r="I59" s="73" t="e">
        <f>1-G59/H59</f>
        <v>#N/A</v>
      </c>
      <c r="J59" s="77" t="s">
        <v>83</v>
      </c>
    </row>
    <row r="60" spans="5:10" ht="15.75" x14ac:dyDescent="0.25">
      <c r="E60" s="59" t="s">
        <v>3</v>
      </c>
      <c r="F60" s="70" t="str">
        <f>VLOOKUP(E60,Соответствие!$A$2:$B$14,2,FALSE)</f>
        <v>Logout</v>
      </c>
      <c r="G60" s="71">
        <f>VLOOKUP(E60,'Автоматизированный расчет'!$A$55:$B$67,2,FALSE)</f>
        <v>200</v>
      </c>
      <c r="H60" s="74">
        <f>(206/2)*3</f>
        <v>309</v>
      </c>
      <c r="I60" s="73">
        <f>1-G60/H60</f>
        <v>0.3527508090614887</v>
      </c>
      <c r="J60" s="77" t="s">
        <v>83</v>
      </c>
    </row>
    <row r="61" spans="5:10" ht="15.75" x14ac:dyDescent="0.25">
      <c r="E61" s="68" t="s">
        <v>41</v>
      </c>
      <c r="F61" s="70" t="e">
        <f>VLOOKUP(E61,Соответствие!$A$2:$B$14,2,FALSE)</f>
        <v>#N/A</v>
      </c>
      <c r="G61" s="71" t="e">
        <f>VLOOKUP(E61,'Автоматизированный расчет'!$A$55:$B$67,2,FALSE)</f>
        <v>#N/A</v>
      </c>
      <c r="H61" s="69">
        <f>(67/2)*3</f>
        <v>100.5</v>
      </c>
      <c r="I61" s="73" t="e">
        <f t="shared" ref="I61:I63" si="9">1-G61/H61</f>
        <v>#N/A</v>
      </c>
      <c r="J61" s="77" t="s">
        <v>83</v>
      </c>
    </row>
    <row r="62" spans="5:10" ht="15.75" x14ac:dyDescent="0.25">
      <c r="E62" s="68" t="s">
        <v>40</v>
      </c>
      <c r="F62" s="70" t="e">
        <f>VLOOKUP(E62,Соответствие!$A$2:$B$14,2,FALSE)</f>
        <v>#N/A</v>
      </c>
      <c r="G62" s="71" t="e">
        <f>VLOOKUP(E62,'Автоматизированный расчет'!$A$55:$B$67,2,FALSE)</f>
        <v>#N/A</v>
      </c>
      <c r="H62" s="69">
        <f>(67/2)*3</f>
        <v>100.5</v>
      </c>
      <c r="I62" s="73" t="e">
        <f t="shared" si="9"/>
        <v>#N/A</v>
      </c>
      <c r="J62" s="77" t="s">
        <v>83</v>
      </c>
    </row>
    <row r="63" spans="5:10" ht="15.75" x14ac:dyDescent="0.25">
      <c r="E63" s="68" t="s">
        <v>42</v>
      </c>
      <c r="F63" s="70" t="e">
        <f>VLOOKUP(E63,Соответствие!$A$2:$B$14,2,FALSE)</f>
        <v>#N/A</v>
      </c>
      <c r="G63" s="71" t="e">
        <f>VLOOKUP(E63,'Автоматизированный расчет'!$A$55:$B$67,2,FALSE)</f>
        <v>#N/A</v>
      </c>
      <c r="H63" s="69">
        <f>(67/2)*3</f>
        <v>100.5</v>
      </c>
      <c r="I63" s="73" t="e">
        <f t="shared" si="9"/>
        <v>#N/A</v>
      </c>
      <c r="J63" s="77" t="s">
        <v>83</v>
      </c>
    </row>
    <row r="65" spans="5:10" x14ac:dyDescent="0.25">
      <c r="E65" s="96" t="s">
        <v>82</v>
      </c>
      <c r="F65" s="96"/>
      <c r="G65" s="96"/>
      <c r="H65" s="96"/>
      <c r="I65" s="96"/>
      <c r="J65" s="96"/>
    </row>
    <row r="67" spans="5:10" x14ac:dyDescent="0.25">
      <c r="E67" s="78" t="s">
        <v>8</v>
      </c>
      <c r="F67" s="78" t="s">
        <v>9</v>
      </c>
      <c r="G67" s="78" t="s">
        <v>10</v>
      </c>
      <c r="H67" s="78" t="s">
        <v>11</v>
      </c>
      <c r="I67" s="78" t="s">
        <v>12</v>
      </c>
      <c r="J67" s="78" t="s">
        <v>85</v>
      </c>
    </row>
    <row r="68" spans="5:10" ht="15.75" x14ac:dyDescent="0.25">
      <c r="E68" s="59" t="s">
        <v>39</v>
      </c>
      <c r="F68" s="70" t="e">
        <f>VLOOKUP(E68,Соответствие!$A$2:$B$14,2,FALSE)</f>
        <v>#N/A</v>
      </c>
      <c r="G68" s="71" t="e">
        <f>VLOOKUP(E68,'Автоматизированный расчет'!$A$55:$B$67,2,FALSE)</f>
        <v>#N/A</v>
      </c>
      <c r="H68" s="72">
        <f>183*3</f>
        <v>549</v>
      </c>
      <c r="I68" s="73" t="e">
        <f>1-G68/H68</f>
        <v>#N/A</v>
      </c>
      <c r="J68" s="77" t="s">
        <v>83</v>
      </c>
    </row>
    <row r="69" spans="5:10" ht="15.75" x14ac:dyDescent="0.25">
      <c r="E69" s="59" t="s">
        <v>0</v>
      </c>
      <c r="F69" s="70" t="str">
        <f>VLOOKUP(E69,Соответствие!$A$2:$B$14,2,FALSE)</f>
        <v>Login</v>
      </c>
      <c r="G69" s="71">
        <f>VLOOKUP(E69,'Автоматизированный расчет'!$A$55:$B$67,2,FALSE)</f>
        <v>320</v>
      </c>
      <c r="H69" s="74">
        <f>146*3</f>
        <v>438</v>
      </c>
      <c r="I69" s="73">
        <f t="shared" ref="I69:I70" si="10">1-G69/H69</f>
        <v>0.26940639269406397</v>
      </c>
      <c r="J69" s="77" t="s">
        <v>83</v>
      </c>
    </row>
    <row r="70" spans="5:10" ht="15.75" x14ac:dyDescent="0.25">
      <c r="E70" s="59" t="s">
        <v>45</v>
      </c>
      <c r="F70" s="70" t="e">
        <f>VLOOKUP(E70,Соответствие!$A$2:$B$14,2,FALSE)</f>
        <v>#N/A</v>
      </c>
      <c r="G70" s="71" t="e">
        <f>VLOOKUP(E70,'Автоматизированный расчет'!$A$55:$B$67,2,FALSE)</f>
        <v>#N/A</v>
      </c>
      <c r="H70" s="69">
        <f>103*3</f>
        <v>309</v>
      </c>
      <c r="I70" s="73" t="e">
        <f t="shared" si="10"/>
        <v>#N/A</v>
      </c>
      <c r="J70" s="77" t="s">
        <v>83</v>
      </c>
    </row>
    <row r="71" spans="5:10" ht="15.75" x14ac:dyDescent="0.25">
      <c r="E71" s="59" t="s">
        <v>5</v>
      </c>
      <c r="F71" s="70" t="e">
        <f>VLOOKUP(E71,Соответствие!$A$2:$B$14,2,FALSE)</f>
        <v>#N/A</v>
      </c>
      <c r="G71" s="71" t="e">
        <f>VLOOKUP(E71,'Автоматизированный расчет'!$A$55:$B$67,2,FALSE)</f>
        <v>#N/A</v>
      </c>
      <c r="H71" s="74">
        <f>101*3</f>
        <v>303</v>
      </c>
      <c r="I71" s="73" t="e">
        <f>1-G71/H71</f>
        <v>#N/A</v>
      </c>
      <c r="J71" s="77" t="s">
        <v>83</v>
      </c>
    </row>
    <row r="72" spans="5:10" ht="15.75" x14ac:dyDescent="0.25">
      <c r="E72" s="59" t="s">
        <v>6</v>
      </c>
      <c r="F72" s="70" t="e">
        <f>VLOOKUP(E72,Соответствие!$A$2:$B$14,2,FALSE)</f>
        <v>#N/A</v>
      </c>
      <c r="G72" s="71" t="e">
        <f>VLOOKUP(E72,'Автоматизированный расчет'!$A$55:$B$67,2,FALSE)</f>
        <v>#N/A</v>
      </c>
      <c r="H72" s="74">
        <f>91*3</f>
        <v>273</v>
      </c>
      <c r="I72" s="73" t="e">
        <f>1-G72/H72</f>
        <v>#N/A</v>
      </c>
      <c r="J72" s="77" t="s">
        <v>83</v>
      </c>
    </row>
    <row r="73" spans="5:10" ht="15.75" x14ac:dyDescent="0.25">
      <c r="E73" s="59" t="s">
        <v>1</v>
      </c>
      <c r="F73" s="70" t="e">
        <f>VLOOKUP(E73,Соответствие!$A$2:$B$14,2,FALSE)</f>
        <v>#N/A</v>
      </c>
      <c r="G73" s="71" t="e">
        <f>VLOOKUP(E73,'Автоматизированный расчет'!$A$55:$B$67,2,FALSE)</f>
        <v>#N/A</v>
      </c>
      <c r="H73" s="74">
        <f>60*3</f>
        <v>180</v>
      </c>
      <c r="I73" s="73" t="e">
        <f t="shared" ref="I73:I74" si="11">1-G73/H73</f>
        <v>#N/A</v>
      </c>
      <c r="J73" s="77" t="s">
        <v>83</v>
      </c>
    </row>
    <row r="74" spans="5:10" ht="15.75" x14ac:dyDescent="0.25">
      <c r="E74" s="59" t="s">
        <v>2</v>
      </c>
      <c r="F74" s="70" t="e">
        <f>VLOOKUP(E74,Соответствие!$A$2:$B$14,2,FALSE)</f>
        <v>#N/A</v>
      </c>
      <c r="G74" s="71" t="e">
        <f>VLOOKUP(E74,'Автоматизированный расчет'!$A$55:$B$67,2,FALSE)</f>
        <v>#N/A</v>
      </c>
      <c r="H74" s="74">
        <f>102*3</f>
        <v>306</v>
      </c>
      <c r="I74" s="73" t="e">
        <f t="shared" si="11"/>
        <v>#N/A</v>
      </c>
      <c r="J74" s="77" t="s">
        <v>83</v>
      </c>
    </row>
    <row r="75" spans="5:10" ht="15.75" x14ac:dyDescent="0.25">
      <c r="E75" s="68" t="s">
        <v>7</v>
      </c>
      <c r="F75" s="70" t="e">
        <f>VLOOKUP(E75,Соответствие!$A$2:$B$14,2,FALSE)</f>
        <v>#N/A</v>
      </c>
      <c r="G75" s="71" t="e">
        <f>VLOOKUP(E75,'Автоматизированный расчет'!$A$55:$B$67,2,FALSE)</f>
        <v>#N/A</v>
      </c>
      <c r="H75" s="74">
        <f>30*3</f>
        <v>90</v>
      </c>
      <c r="I75" s="73" t="e">
        <f>1-G75/H75</f>
        <v>#N/A</v>
      </c>
      <c r="J75" s="77" t="s">
        <v>83</v>
      </c>
    </row>
    <row r="76" spans="5:10" ht="15.75" x14ac:dyDescent="0.25">
      <c r="E76" s="59" t="s">
        <v>3</v>
      </c>
      <c r="F76" s="70" t="str">
        <f>VLOOKUP(E76,Соответствие!$A$2:$B$14,2,FALSE)</f>
        <v>Logout</v>
      </c>
      <c r="G76" s="71">
        <f>VLOOKUP(E76,'Автоматизированный расчет'!$A$55:$B$67,2,FALSE)</f>
        <v>200</v>
      </c>
      <c r="H76" s="74">
        <f>108*3</f>
        <v>324</v>
      </c>
      <c r="I76" s="73">
        <f>1-G76/H76</f>
        <v>0.38271604938271608</v>
      </c>
      <c r="J76" s="77" t="s">
        <v>83</v>
      </c>
    </row>
    <row r="77" spans="5:10" ht="15.75" x14ac:dyDescent="0.25">
      <c r="E77" s="68" t="s">
        <v>41</v>
      </c>
      <c r="F77" s="70" t="e">
        <f>VLOOKUP(E77,Соответствие!$A$2:$B$14,2,FALSE)</f>
        <v>#N/A</v>
      </c>
      <c r="G77" s="71" t="e">
        <f>VLOOKUP(E77,'Автоматизированный расчет'!$A$55:$B$67,2,FALSE)</f>
        <v>#N/A</v>
      </c>
      <c r="H77" s="69">
        <f>36*3</f>
        <v>108</v>
      </c>
      <c r="I77" s="73" t="e">
        <f t="shared" ref="I77:I79" si="12">1-G77/H77</f>
        <v>#N/A</v>
      </c>
      <c r="J77" s="77" t="s">
        <v>83</v>
      </c>
    </row>
    <row r="78" spans="5:10" ht="15.75" x14ac:dyDescent="0.25">
      <c r="E78" s="68" t="s">
        <v>40</v>
      </c>
      <c r="F78" s="70" t="e">
        <f>VLOOKUP(E78,Соответствие!$A$2:$B$14,2,FALSE)</f>
        <v>#N/A</v>
      </c>
      <c r="G78" s="71" t="e">
        <f>VLOOKUP(E78,'Автоматизированный расчет'!$A$55:$B$67,2,FALSE)</f>
        <v>#N/A</v>
      </c>
      <c r="H78" s="69">
        <f t="shared" ref="H78" si="13">36*3</f>
        <v>108</v>
      </c>
      <c r="I78" s="73" t="e">
        <f t="shared" si="12"/>
        <v>#N/A</v>
      </c>
      <c r="J78" s="77" t="s">
        <v>83</v>
      </c>
    </row>
    <row r="79" spans="5:10" ht="15.75" x14ac:dyDescent="0.25">
      <c r="E79" s="68" t="s">
        <v>42</v>
      </c>
      <c r="F79" s="70" t="e">
        <f>VLOOKUP(E79,Соответствие!$A$2:$B$14,2,FALSE)</f>
        <v>#N/A</v>
      </c>
      <c r="G79" s="71" t="e">
        <f>VLOOKUP(E79,'Автоматизированный расчет'!$A$55:$B$67,2,FALSE)</f>
        <v>#N/A</v>
      </c>
      <c r="H79" s="69">
        <f>35*3</f>
        <v>105</v>
      </c>
      <c r="I79" s="73" t="e">
        <f t="shared" si="12"/>
        <v>#N/A</v>
      </c>
      <c r="J79" s="77" t="s">
        <v>83</v>
      </c>
    </row>
    <row r="80" spans="5:10" ht="15.75" x14ac:dyDescent="0.25">
      <c r="H80" s="79"/>
    </row>
  </sheetData>
  <mergeCells count="5">
    <mergeCell ref="E33:J33"/>
    <mergeCell ref="E49:J49"/>
    <mergeCell ref="E65:J65"/>
    <mergeCell ref="E1:J1"/>
    <mergeCell ref="E17:J17"/>
  </mergeCells>
  <conditionalFormatting sqref="I4:I15">
    <cfRule type="cellIs" dxfId="20" priority="76" operator="lessThan">
      <formula>-0.05</formula>
    </cfRule>
  </conditionalFormatting>
  <conditionalFormatting sqref="I20:I31">
    <cfRule type="cellIs" dxfId="19" priority="28" operator="lessThan">
      <formula>-0.05</formula>
    </cfRule>
  </conditionalFormatting>
  <conditionalFormatting sqref="I36:I47">
    <cfRule type="cellIs" dxfId="18" priority="21" operator="lessThan">
      <formula>-0.05</formula>
    </cfRule>
  </conditionalFormatting>
  <conditionalFormatting sqref="I52:I63">
    <cfRule type="cellIs" dxfId="17" priority="14" operator="lessThan">
      <formula>-0.05</formula>
    </cfRule>
  </conditionalFormatting>
  <conditionalFormatting sqref="I68:I79">
    <cfRule type="cellIs" dxfId="16" priority="7" operator="lessThan">
      <formula>-0.05</formula>
    </cfRule>
  </conditionalFormatting>
  <conditionalFormatting sqref="J4:J15">
    <cfRule type="cellIs" dxfId="15" priority="29" operator="equal">
      <formula>"Passed"</formula>
    </cfRule>
    <cfRule type="containsText" dxfId="14" priority="70" operator="containsText" text="Failed">
      <formula>NOT(ISERROR(SEARCH("Failed",J4)))</formula>
    </cfRule>
  </conditionalFormatting>
  <conditionalFormatting sqref="J20:J31">
    <cfRule type="cellIs" dxfId="13" priority="22" operator="equal">
      <formula>"Passed"</formula>
    </cfRule>
    <cfRule type="containsText" dxfId="12" priority="23" operator="containsText" text="Failed">
      <formula>NOT(ISERROR(SEARCH("Failed",J20)))</formula>
    </cfRule>
  </conditionalFormatting>
  <conditionalFormatting sqref="J36:J47">
    <cfRule type="cellIs" dxfId="11" priority="15" operator="equal">
      <formula>"Passed"</formula>
    </cfRule>
    <cfRule type="containsText" dxfId="10" priority="16" operator="containsText" text="Failed">
      <formula>NOT(ISERROR(SEARCH("Failed",J36)))</formula>
    </cfRule>
  </conditionalFormatting>
  <conditionalFormatting sqref="J52:J63">
    <cfRule type="cellIs" dxfId="9" priority="8" operator="equal">
      <formula>"Passed"</formula>
    </cfRule>
    <cfRule type="containsText" dxfId="8" priority="9" operator="containsText" text="Failed">
      <formula>NOT(ISERROR(SEARCH("Failed",J52)))</formula>
    </cfRule>
  </conditionalFormatting>
  <conditionalFormatting sqref="J68:J79">
    <cfRule type="cellIs" dxfId="7" priority="1" operator="equal">
      <formula>"Passed"</formula>
    </cfRule>
    <cfRule type="containsText" dxfId="6" priority="2" operator="containsText" text="Failed">
      <formula>NOT(ISERROR(SEARCH("Failed",J68)))</formula>
    </cfRule>
  </conditionalFormatting>
  <conditionalFormatting sqref="L7:L10">
    <cfRule type="cellIs" dxfId="5" priority="79" operator="lessThan">
      <formula>-5</formula>
    </cfRule>
  </conditionalFormatting>
  <conditionalFormatting sqref="L21:L24 Q21:Q24 L31:L32 Q31:Q32">
    <cfRule type="cellIs" dxfId="4" priority="67" operator="lessThan">
      <formula>-5</formula>
    </cfRule>
  </conditionalFormatting>
  <conditionalFormatting sqref="L40 O40 L46 O46">
    <cfRule type="cellIs" dxfId="3" priority="60" operator="lessThan">
      <formula>-5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F15"/>
  <sheetViews>
    <sheetView workbookViewId="0">
      <selection activeCell="I15" sqref="I15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96" t="s">
        <v>89</v>
      </c>
      <c r="B1" s="96"/>
      <c r="C1" s="96"/>
      <c r="D1" s="96"/>
      <c r="E1" s="96"/>
      <c r="F1" s="96"/>
    </row>
    <row r="3" spans="1:6" x14ac:dyDescent="0.25">
      <c r="A3" s="78" t="s">
        <v>8</v>
      </c>
      <c r="B3" s="78" t="s">
        <v>9</v>
      </c>
      <c r="C3" s="78" t="s">
        <v>10</v>
      </c>
      <c r="D3" s="78" t="s">
        <v>11</v>
      </c>
      <c r="E3" s="78" t="s">
        <v>12</v>
      </c>
      <c r="F3" s="78" t="s">
        <v>85</v>
      </c>
    </row>
    <row r="4" spans="1:6" ht="15.75" x14ac:dyDescent="0.25">
      <c r="A4" s="59" t="s">
        <v>39</v>
      </c>
      <c r="B4" s="70" t="e">
        <f>VLOOKUP(A4,Соответствие!$A$2:$B$14,2,FALSE)</f>
        <v>#N/A</v>
      </c>
      <c r="C4" s="71" t="e">
        <f>VLOOKUP(A4,'Автоматизированный расчет'!$A$55:$B$67,2,FALSE)*2</f>
        <v>#N/A</v>
      </c>
      <c r="D4" s="72">
        <v>1054</v>
      </c>
      <c r="E4" s="73" t="e">
        <f>1-C4/D4</f>
        <v>#N/A</v>
      </c>
      <c r="F4" s="77" t="s">
        <v>83</v>
      </c>
    </row>
    <row r="5" spans="1:6" ht="15.75" x14ac:dyDescent="0.25">
      <c r="A5" s="59" t="s">
        <v>0</v>
      </c>
      <c r="B5" s="70" t="str">
        <f>VLOOKUP(A5,Соответствие!$A$2:$B$14,2,FALSE)</f>
        <v>Login</v>
      </c>
      <c r="C5" s="71">
        <f>VLOOKUP(A5,'Автоматизированный расчет'!$A$55:$B$67,2,FALSE)*2</f>
        <v>640</v>
      </c>
      <c r="D5" s="74">
        <v>852</v>
      </c>
      <c r="E5" s="73">
        <f t="shared" ref="E5:E6" si="0">1-C5/D5</f>
        <v>0.24882629107981225</v>
      </c>
      <c r="F5" s="77" t="s">
        <v>83</v>
      </c>
    </row>
    <row r="6" spans="1:6" ht="15.75" x14ac:dyDescent="0.25">
      <c r="A6" s="59" t="s">
        <v>45</v>
      </c>
      <c r="B6" s="70" t="e">
        <f>VLOOKUP(A6,Соответствие!$A$2:$B$14,2,FALSE)</f>
        <v>#N/A</v>
      </c>
      <c r="C6" s="71" t="e">
        <f>VLOOKUP(A6,'Автоматизированный расчет'!$A$55:$B$67,2,FALSE)*2</f>
        <v>#N/A</v>
      </c>
      <c r="D6" s="69">
        <v>602</v>
      </c>
      <c r="E6" s="73" t="e">
        <f t="shared" si="0"/>
        <v>#N/A</v>
      </c>
      <c r="F6" s="77" t="s">
        <v>83</v>
      </c>
    </row>
    <row r="7" spans="1:6" ht="15.75" x14ac:dyDescent="0.25">
      <c r="A7" s="59" t="s">
        <v>5</v>
      </c>
      <c r="B7" s="70" t="e">
        <f>VLOOKUP(A7,Соответствие!$A$2:$B$14,2,FALSE)</f>
        <v>#N/A</v>
      </c>
      <c r="C7" s="71" t="e">
        <f>VLOOKUP(A7,'Автоматизированный расчет'!$A$55:$B$67,2,FALSE)*2</f>
        <v>#N/A</v>
      </c>
      <c r="D7" s="74">
        <v>602</v>
      </c>
      <c r="E7" s="73" t="e">
        <f>1-C7/D7</f>
        <v>#N/A</v>
      </c>
      <c r="F7" s="77" t="s">
        <v>83</v>
      </c>
    </row>
    <row r="8" spans="1:6" ht="15.75" x14ac:dyDescent="0.25">
      <c r="A8" s="59" t="s">
        <v>6</v>
      </c>
      <c r="B8" s="70" t="e">
        <f>VLOOKUP(A8,Соответствие!$A$2:$B$14,2,FALSE)</f>
        <v>#N/A</v>
      </c>
      <c r="C8" s="71" t="e">
        <f>VLOOKUP(A8,'Автоматизированный расчет'!$A$55:$B$67,2,FALSE)*2</f>
        <v>#N/A</v>
      </c>
      <c r="D8" s="74">
        <v>552</v>
      </c>
      <c r="E8" s="73" t="e">
        <f>1-C8/D8</f>
        <v>#N/A</v>
      </c>
      <c r="F8" s="77" t="s">
        <v>83</v>
      </c>
    </row>
    <row r="9" spans="1:6" ht="15.75" x14ac:dyDescent="0.25">
      <c r="A9" s="59" t="s">
        <v>1</v>
      </c>
      <c r="B9" s="70" t="e">
        <f>VLOOKUP(A9,Соответствие!$A$2:$B$14,2,FALSE)</f>
        <v>#N/A</v>
      </c>
      <c r="C9" s="71" t="e">
        <f>VLOOKUP(A9,'Автоматизированный расчет'!$A$55:$B$67,2,FALSE)*2</f>
        <v>#N/A</v>
      </c>
      <c r="D9" s="74">
        <v>360</v>
      </c>
      <c r="E9" s="73" t="e">
        <f t="shared" ref="E9:E10" si="1">1-C9/D9</f>
        <v>#N/A</v>
      </c>
      <c r="F9" s="77" t="s">
        <v>83</v>
      </c>
    </row>
    <row r="10" spans="1:6" ht="15.75" x14ac:dyDescent="0.25">
      <c r="A10" s="59" t="s">
        <v>2</v>
      </c>
      <c r="B10" s="70" t="e">
        <f>VLOOKUP(A10,Соответствие!$A$2:$B$14,2,FALSE)</f>
        <v>#N/A</v>
      </c>
      <c r="C10" s="71" t="e">
        <f>VLOOKUP(A10,'Автоматизированный расчет'!$A$55:$B$67,2,FALSE)*2</f>
        <v>#N/A</v>
      </c>
      <c r="D10" s="74">
        <v>555</v>
      </c>
      <c r="E10" s="73" t="e">
        <f t="shared" si="1"/>
        <v>#N/A</v>
      </c>
      <c r="F10" s="77" t="s">
        <v>83</v>
      </c>
    </row>
    <row r="11" spans="1:6" ht="15.75" x14ac:dyDescent="0.25">
      <c r="A11" s="68" t="s">
        <v>7</v>
      </c>
      <c r="B11" s="70" t="e">
        <f>VLOOKUP(A11,Соответствие!$A$2:$B$14,2,FALSE)</f>
        <v>#N/A</v>
      </c>
      <c r="C11" s="71" t="e">
        <f>VLOOKUP(A11,'Автоматизированный расчет'!$A$55:$B$67,2,FALSE)*2</f>
        <v>#N/A</v>
      </c>
      <c r="D11" s="74">
        <v>147</v>
      </c>
      <c r="E11" s="73" t="e">
        <f>1-C11/D11</f>
        <v>#N/A</v>
      </c>
      <c r="F11" s="77" t="s">
        <v>83</v>
      </c>
    </row>
    <row r="12" spans="1:6" ht="15.75" x14ac:dyDescent="0.25">
      <c r="A12" s="59" t="s">
        <v>3</v>
      </c>
      <c r="B12" s="70" t="str">
        <f>VLOOKUP(A12,Соответствие!$A$2:$B$14,2,FALSE)</f>
        <v>Logout</v>
      </c>
      <c r="C12" s="71">
        <f>VLOOKUP(A12,'Автоматизированный расчет'!$A$55:$B$67,2,FALSE)*2</f>
        <v>400</v>
      </c>
      <c r="D12" s="74">
        <v>633</v>
      </c>
      <c r="E12" s="73">
        <f>1-C12/D12</f>
        <v>0.36808846761453395</v>
      </c>
      <c r="F12" s="77" t="s">
        <v>83</v>
      </c>
    </row>
    <row r="13" spans="1:6" ht="15.75" x14ac:dyDescent="0.25">
      <c r="A13" s="68" t="s">
        <v>41</v>
      </c>
      <c r="B13" s="70" t="e">
        <f>VLOOKUP(A13,Соответствие!$A$2:$B$14,2,FALSE)</f>
        <v>#N/A</v>
      </c>
      <c r="C13" s="71" t="e">
        <f>VLOOKUP(A13,'Автоматизированный расчет'!$A$55:$B$67,2,FALSE)*2</f>
        <v>#N/A</v>
      </c>
      <c r="D13" s="69">
        <v>196</v>
      </c>
      <c r="E13" s="73" t="e">
        <f t="shared" ref="E13:E15" si="2">1-C13/D13</f>
        <v>#N/A</v>
      </c>
      <c r="F13" s="77" t="s">
        <v>83</v>
      </c>
    </row>
    <row r="14" spans="1:6" ht="15.75" x14ac:dyDescent="0.25">
      <c r="A14" s="68" t="s">
        <v>40</v>
      </c>
      <c r="B14" s="70" t="e">
        <f>VLOOKUP(A14,Соответствие!$A$2:$B$14,2,FALSE)</f>
        <v>#N/A</v>
      </c>
      <c r="C14" s="71" t="e">
        <f>VLOOKUP(A14,'Автоматизированный расчет'!$A$55:$B$67,2,FALSE)*2</f>
        <v>#N/A</v>
      </c>
      <c r="D14" s="69">
        <v>195</v>
      </c>
      <c r="E14" s="73" t="e">
        <f t="shared" si="2"/>
        <v>#N/A</v>
      </c>
      <c r="F14" s="77" t="s">
        <v>83</v>
      </c>
    </row>
    <row r="15" spans="1:6" ht="15.75" x14ac:dyDescent="0.25">
      <c r="A15" s="68" t="s">
        <v>42</v>
      </c>
      <c r="B15" s="70" t="e">
        <f>VLOOKUP(A15,Соответствие!$A$2:$B$14,2,FALSE)</f>
        <v>#N/A</v>
      </c>
      <c r="C15" s="71" t="e">
        <f>VLOOKUP(A15,'Автоматизированный расчет'!$A$55:$B$67,2,FALSE)*2</f>
        <v>#N/A</v>
      </c>
      <c r="D15" s="69">
        <v>195</v>
      </c>
      <c r="E15" s="73" t="e">
        <f t="shared" si="2"/>
        <v>#N/A</v>
      </c>
      <c r="F15" s="77" t="s">
        <v>83</v>
      </c>
    </row>
  </sheetData>
  <mergeCells count="1">
    <mergeCell ref="A1:F1"/>
  </mergeCells>
  <conditionalFormatting sqref="E4:E15">
    <cfRule type="cellIs" dxfId="2" priority="7" operator="lessThan">
      <formula>-0.05</formula>
    </cfRule>
  </conditionalFormatting>
  <conditionalFormatting sqref="F4:F15">
    <cfRule type="cellIs" dxfId="1" priority="1" operator="equal">
      <formula>"Passed"</formula>
    </cfRule>
    <cfRule type="containsText" dxfId="0" priority="2" operator="containsText" text="Failed">
      <formula>NOT(ISERROR(SEARCH("Failed",F4)))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2025-01-12T14:54:23Z</dcterms:modified>
</cp:coreProperties>
</file>