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734979DF-28D2-4FB9-9260-64F593721AD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N9" i="2"/>
  <c r="N8" i="2"/>
  <c r="N7" i="2"/>
  <c r="N6" i="2"/>
  <c r="N5" i="2"/>
  <c r="N4" i="2"/>
  <c r="H20" i="5"/>
  <c r="O11" i="2"/>
  <c r="H21" i="2"/>
  <c r="I21" i="2" s="1"/>
  <c r="H20" i="2"/>
  <c r="I20" i="2"/>
  <c r="H19" i="2"/>
  <c r="I19" i="2"/>
  <c r="H18" i="2"/>
  <c r="I18" i="2" s="1"/>
  <c r="H17" i="2"/>
  <c r="H16" i="2"/>
  <c r="I16" i="2"/>
  <c r="H15" i="2"/>
  <c r="I15" i="2" s="1"/>
  <c r="H52" i="2"/>
  <c r="G53" i="2"/>
  <c r="I53" i="2" s="1"/>
  <c r="H53" i="2"/>
  <c r="H54" i="2"/>
  <c r="H51" i="2"/>
  <c r="I51" i="2" s="1"/>
  <c r="H50" i="2"/>
  <c r="H49" i="2"/>
  <c r="H48" i="2"/>
  <c r="G54" i="2"/>
  <c r="G52" i="2"/>
  <c r="G51" i="2"/>
  <c r="G50" i="2"/>
  <c r="G49" i="2"/>
  <c r="I49" i="2" s="1"/>
  <c r="I48" i="2"/>
  <c r="H43" i="2"/>
  <c r="H42" i="2"/>
  <c r="I42" i="2" s="1"/>
  <c r="H41" i="2"/>
  <c r="H40" i="2"/>
  <c r="H39" i="2"/>
  <c r="I39" i="2" s="1"/>
  <c r="H38" i="2"/>
  <c r="H37" i="2"/>
  <c r="G43" i="2"/>
  <c r="I43" i="2" s="1"/>
  <c r="G42" i="2"/>
  <c r="G41" i="2"/>
  <c r="G40" i="2"/>
  <c r="I40" i="2" s="1"/>
  <c r="G39" i="2"/>
  <c r="G38" i="2"/>
  <c r="I38" i="2" s="1"/>
  <c r="I37" i="2"/>
  <c r="H56" i="3"/>
  <c r="H57" i="3"/>
  <c r="H58" i="3"/>
  <c r="H59" i="3"/>
  <c r="H60" i="3"/>
  <c r="H61" i="3"/>
  <c r="H62" i="3"/>
  <c r="H63" i="3"/>
  <c r="H64" i="3"/>
  <c r="H65" i="3"/>
  <c r="H66" i="3"/>
  <c r="H55" i="3"/>
  <c r="H10" i="2"/>
  <c r="H9" i="2"/>
  <c r="H8" i="2"/>
  <c r="H7" i="2"/>
  <c r="H6" i="2"/>
  <c r="H5" i="2"/>
  <c r="H4" i="2"/>
  <c r="G10" i="2"/>
  <c r="G9" i="2"/>
  <c r="G8" i="2"/>
  <c r="G7" i="2"/>
  <c r="G6" i="2"/>
  <c r="G5" i="2"/>
  <c r="I17" i="2"/>
  <c r="G32" i="2"/>
  <c r="G31" i="2"/>
  <c r="G30" i="2"/>
  <c r="G29" i="2"/>
  <c r="G28" i="2"/>
  <c r="G27" i="2"/>
  <c r="G63" i="3"/>
  <c r="G61" i="3"/>
  <c r="O2" i="3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N11" i="2" l="1"/>
  <c r="P11" i="2" s="1"/>
  <c r="I41" i="2"/>
  <c r="I54" i="2"/>
  <c r="I50" i="2"/>
  <c r="I52" i="2"/>
  <c r="H21" i="3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G55" i="3" l="1"/>
  <c r="D55" i="3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l="1"/>
  <c r="F58" i="3"/>
  <c r="F57" i="3"/>
  <c r="I57" i="3" s="1"/>
  <c r="F66" i="3"/>
  <c r="F64" i="3"/>
  <c r="F59" i="3"/>
  <c r="F65" i="3"/>
  <c r="F60" i="3"/>
  <c r="F56" i="3"/>
  <c r="F63" i="3"/>
  <c r="F62" i="3"/>
  <c r="F61" i="3"/>
  <c r="T7" i="3"/>
  <c r="C64" i="3"/>
  <c r="C63" i="3"/>
  <c r="C60" i="3"/>
  <c r="C65" i="3"/>
  <c r="C66" i="3"/>
  <c r="I55" i="3" l="1"/>
  <c r="I62" i="3"/>
  <c r="I61" i="3"/>
  <c r="G59" i="3"/>
  <c r="I59" i="3" s="1"/>
  <c r="G56" i="3"/>
  <c r="I56" i="3" s="1"/>
  <c r="G62" i="3"/>
  <c r="I63" i="3"/>
  <c r="G60" i="3"/>
  <c r="I60" i="3" s="1"/>
  <c r="G64" i="3"/>
  <c r="I64" i="3" s="1"/>
  <c r="G66" i="3"/>
  <c r="I66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P9" i="2"/>
  <c r="P8" i="2"/>
  <c r="P5" i="2"/>
  <c r="P4" i="2"/>
  <c r="I4" i="2"/>
  <c r="I5" i="2"/>
  <c r="I6" i="2"/>
  <c r="I7" i="2"/>
  <c r="I8" i="2"/>
  <c r="I9" i="2"/>
  <c r="I10" i="2"/>
  <c r="V4" i="3" l="1"/>
  <c r="C67" i="3"/>
  <c r="D62" i="3"/>
  <c r="D63" i="3"/>
  <c r="D58" i="3"/>
  <c r="D60" i="3"/>
  <c r="D61" i="3"/>
  <c r="P6" i="2"/>
  <c r="P10" i="2"/>
  <c r="P7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<sst xmlns="http://schemas.openxmlformats.org/spreadsheetml/2006/main" count="310" uniqueCount="106">
  <si>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</si>
  <si>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</si>
  <si>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</si>
  <si>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</si>
  <si>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</si>
  <si>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</si>
  <si>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</si>
  <si>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</si>
  <si>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</si>
  <si>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</si>
  <si>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</si>
  <si>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</si>
  <si>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</si>
  <si>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</si>
  <si>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</si>
  <si>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</si>
  <si>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</si>
  <si>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</si>
  <si>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</si>
  <si>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</si>
  <si>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</si>
  <si>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</si>
  <si>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</si>
  <si>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</si>
  <si>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</si>
  <si>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</si>
  <si>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</si>
  <si>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</si>
  <si>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</si>
  <si>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</si>
  <si>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</si>
  <si>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</si>
  <si>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</si>
  <si>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</si>
  <si>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</si>
  <si>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</si>
  <si>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</si>
  <si>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</si>
  <si>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</si>
  <si>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</si>
  <si>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</si>
  <si>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</si>
  <si>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</si>
  <si>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</si>
  <si>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</si>
  <si>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</si>
  <si>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</si>
  <si>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</si>
  <si>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</si>
  <si>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</si>
  <si>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</si>
  <si>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</si>
  <si>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</si>
  <si>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</si>
  <si>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</si>
  <si>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</si>
  <si>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</si>
  <si>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</si>
  <si>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</si>
  <si>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</si>
  <si>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</si>
  <si>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</si>
  <si>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</si>
  <si>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</si>
  <si>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</si>
  <si>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</si>
  <si>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</si>
  <si>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</si>
  <si>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</si>
  <si>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</si>
  <si>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</si>
  <si>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</si>
  <si>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</si>
  <si>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</si>
  <si>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</si>
  <si>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</si>
  <si>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</si>
  <si>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</si>
  <si>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</si>
  <si>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</si>
  <si>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</si>
  <si>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</si>
  <si>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</si>
  <si>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</si>
  <si>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</si>
  <si>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</si>
  <si>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</si>
  <si>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</si>
  <si>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</si>
  <si>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</si>
  <si>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</si>
  <si>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</si>
  <si>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</si>
  <si>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</si>
  <si>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</si>
  <si>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</si>
  <si>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</si>
  <si>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</si>
  <si>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</si>
  <si>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Фактическая интенсивность в тесте</t>
  </si>
  <si>
    <t>Поиск максимума 5 ступень</t>
  </si>
  <si>
    <t>Поиск максимума 2 ступень</t>
  </si>
  <si>
    <t>Поиск максимума 1 ступень</t>
  </si>
  <si>
    <r>
      <t xml:space="preserve">Поиск максимума 4 ступень </t>
    </r>
    <r>
      <rPr>
        <i/>
        <sz val="11"/>
        <color rgb="FFFF0000"/>
        <rFont val="Calibri"/>
        <family val="2"/>
        <charset val="204"/>
        <scheme val="minor"/>
      </rPr>
      <t>(Выбрана как максимум)</t>
    </r>
  </si>
  <si>
    <t>Итог</t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</si>
  <si>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(40 vusers, 100% от L0)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</si>
</sst>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7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2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00">
    <xf numFmtId="0" fontId="0" fillId="0" borderId="0" xfId="0"/>
    <xf numFmtId="0" fontId="15" fillId="5" borderId="2" xfId="0" applyFont="1" applyFill="1" applyBorder="1" applyAlignment="1">
      <alignment horizontal="left" vertical="top"/>
    </xf>
    <xf numFmtId="0" fontId="6" fillId="0" borderId="2" xfId="42" applyBorder="1"/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4" xfId="0" applyFont="1" applyFill="1" applyBorder="1" applyAlignment="1">
      <alignment vertical="center" wrapText="1"/>
    </xf>
    <xf numFmtId="0" fontId="8" fillId="39" borderId="14" xfId="0" applyFont="1" applyFill="1" applyBorder="1" applyAlignment="1">
      <alignment horizontal="left" vertical="center" wrapText="1"/>
    </xf>
    <xf numFmtId="0" fontId="8" fillId="35" borderId="14" xfId="0" applyFont="1" applyFill="1" applyBorder="1" applyAlignment="1">
      <alignment horizontal="left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9" fillId="0" borderId="22" xfId="0" applyFont="1" applyBorder="1"/>
    <xf numFmtId="9" fontId="0" fillId="0" borderId="27" xfId="0" applyNumberFormat="1" applyBorder="1"/>
    <xf numFmtId="0" fontId="10" fillId="39" borderId="19" xfId="0" applyFont="1" applyFill="1" applyBorder="1" applyAlignment="1">
      <alignment vertical="center" wrapText="1"/>
    </xf>
    <xf numFmtId="0" fontId="8" fillId="39" borderId="19" xfId="0" applyFont="1" applyFill="1" applyBorder="1" applyAlignment="1">
      <alignment horizontal="center" vertical="center" wrapText="1"/>
    </xf>
    <xf numFmtId="0" fontId="8" fillId="39" borderId="30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33" fillId="0" borderId="25" xfId="0" applyFont="1" applyBorder="1"/>
    <xf numFmtId="0" fontId="33" fillId="42" borderId="22" xfId="0" applyFont="1" applyFill="1" applyBorder="1"/>
    <xf numFmtId="2" fontId="33" fillId="42" borderId="2" xfId="0" applyNumberFormat="1" applyFont="1" applyFill="1" applyBorder="1"/>
    <xf numFmtId="0" fontId="10" fillId="0" borderId="0" xfId="0" applyFont="1" applyAlignment="1">
      <alignment vertical="center" wrapText="1"/>
    </xf>
    <xf numFmtId="0" fontId="3" fillId="40" borderId="12" xfId="0" applyFont="1" applyFill="1" applyBorder="1"/>
    <xf numFmtId="0" fontId="3" fillId="40" borderId="14" xfId="0" applyFont="1" applyFill="1" applyBorder="1"/>
    <xf numFmtId="0" fontId="3" fillId="40" borderId="32" xfId="0" applyFont="1" applyFill="1" applyBorder="1"/>
    <xf numFmtId="0" fontId="3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3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2" fillId="40" borderId="12" xfId="0" applyFont="1" applyFill="1" applyBorder="1"/>
    <xf numFmtId="0" fontId="3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2" fillId="40" borderId="14" xfId="0" applyFont="1" applyFill="1" applyBorder="1"/>
    <xf numFmtId="0" fontId="2" fillId="40" borderId="15" xfId="0" applyFont="1" applyFill="1" applyBorder="1"/>
    <xf numFmtId="0" fontId="29" fillId="0" borderId="0" xfId="0" applyFont="1"/>
    <xf numFmtId="1" fontId="29" fillId="0" borderId="0" xfId="0" applyNumberFormat="1" applyFont="1"/>
    <xf numFmtId="0" fontId="0" fillId="0" borderId="2" xfId="0" quotePrefix="1" applyBorder="1"/>
    <xf numFmtId="1" fontId="0" fillId="40" borderId="2" xfId="0" applyNumberFormat="1" applyFill="1" applyBorder="1"/>
    <xf numFmtId="0" fontId="34" fillId="0" borderId="2" xfId="0" applyFont="1" applyBorder="1" applyAlignment="1">
      <alignment horizontal="left" vertical="top"/>
    </xf>
    <xf numFmtId="0" fontId="1" fillId="0" borderId="2" xfId="4" applyFont="1" applyBorder="1" applyAlignment="1">
      <alignment horizontal="left" vertical="top"/>
    </xf>
    <xf numFmtId="0" fontId="35" fillId="0" borderId="2" xfId="0" applyFont="1" applyBorder="1" applyAlignment="1">
      <alignment horizontal="left" vertical="top"/>
    </xf>
    <xf numFmtId="10" fontId="35" fillId="0" borderId="2" xfId="0" applyNumberFormat="1" applyFont="1" applyBorder="1" applyAlignment="1">
      <alignment horizontal="left" vertical="top"/>
    </xf>
    <xf numFmtId="10" fontId="36" fillId="0" borderId="2" xfId="0" applyNumberFormat="1" applyFont="1" applyBorder="1" applyAlignment="1">
      <alignment horizontal="left" vertical="top"/>
    </xf>
    <xf numFmtId="10" fontId="37" fillId="0" borderId="2" xfId="0" applyNumberFormat="1" applyFont="1" applyBorder="1" applyAlignment="1">
      <alignment horizontal="left" vertical="top"/>
    </xf>
    <xf numFmtId="0" fontId="1" fillId="0" borderId="2" xfId="42" applyFont="1" applyBorder="1"/>
    <xf numFmtId="0" fontId="6" fillId="0" borderId="2" xfId="42" applyBorder="1" applyAlignment="1">
      <alignment horizontal="left"/>
    </xf>
    <xf numFmtId="0" fontId="39" fillId="0" borderId="0" xfId="0" applyFont="1" applyAlignment="1">
      <alignment horizontal="left"/>
    </xf>
    <xf numFmtId="0" fontId="14" fillId="0" borderId="2" xfId="4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0" fontId="15" fillId="0" borderId="2" xfId="0" applyNumberFormat="1" applyFont="1" applyBorder="1" applyAlignment="1">
      <alignment horizontal="left" vertical="center"/>
    </xf>
    <xf numFmtId="0" fontId="0" fillId="42" borderId="2" xfId="0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opLeftCell="A46" zoomScale="85" zoomScaleNormal="85" workbookViewId="0">
      <selection activeCell="B61" sqref="B61:F61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12" t="s">
        <v>35</v>
      </c>
      <c r="B1" s="12" t="s">
        <v>36</v>
      </c>
      <c r="C1" s="12" t="s">
        <v>37</v>
      </c>
      <c r="D1" s="12" t="s">
        <v>39</v>
      </c>
      <c r="E1" s="12" t="s">
        <v>48</v>
      </c>
      <c r="F1" s="12" t="s">
        <v>49</v>
      </c>
      <c r="G1" s="12" t="s">
        <v>50</v>
      </c>
      <c r="H1" s="12" t="s">
        <v>7</v>
      </c>
      <c r="I1" s="4" t="s">
        <v>79</v>
      </c>
      <c r="J1" t="s">
        <v>47</v>
      </c>
      <c r="M1" s="26" t="s">
        <v>38</v>
      </c>
      <c r="N1" s="27" t="s">
        <v>40</v>
      </c>
      <c r="O1" s="27" t="s">
        <v>41</v>
      </c>
      <c r="P1" s="27" t="s">
        <v>76</v>
      </c>
      <c r="Q1" s="27" t="s">
        <v>42</v>
      </c>
      <c r="R1" s="27" t="s">
        <v>39</v>
      </c>
      <c r="S1" s="34" t="s">
        <v>45</v>
      </c>
      <c r="T1" s="44" t="s">
        <v>78</v>
      </c>
      <c r="U1" s="35" t="s">
        <v>43</v>
      </c>
      <c r="V1" s="35" t="s">
        <v>44</v>
      </c>
      <c r="W1" s="20" t="s">
        <v>46</v>
      </c>
    </row>
    <row r="2" spans="1:26" ht="15.75" thickBot="1" x14ac:dyDescent="0.3">
      <c r="A2" s="47" t="s">
        <v>8</v>
      </c>
      <c r="B2" s="34" t="s">
        <v>57</v>
      </c>
      <c r="C2" s="63">
        <v>1</v>
      </c>
      <c r="D2" s="65">
        <f>VLOOKUP(A2,$M$1:$X$8,6,FALSE)</f>
        <v>2</v>
      </c>
      <c r="E2">
        <f>VLOOKUP(A2,$M$1:$X$8,5,FALSE)</f>
        <v>101</v>
      </c>
      <c r="F2" s="7">
        <f>60/E2*C2</f>
        <v>0.59405940594059403</v>
      </c>
      <c r="G2">
        <f>VLOOKUP(A2,$M$1:$X$8,9,FALSE)</f>
        <v>20</v>
      </c>
      <c r="H2" s="6">
        <f>D2*F2*G2</f>
        <v>23.762376237623762</v>
      </c>
      <c r="I2" s="5" t="s">
        <v>0</v>
      </c>
      <c r="J2" s="6">
        <v>136.61951909476662</v>
      </c>
      <c r="M2" s="29" t="s">
        <v>8</v>
      </c>
      <c r="N2" s="8">
        <v>1.9</v>
      </c>
      <c r="O2" s="23">
        <f>5*6</f>
        <v>30</v>
      </c>
      <c r="P2" s="24">
        <f>N2+O2</f>
        <v>31.9</v>
      </c>
      <c r="Q2" s="13">
        <v>101</v>
      </c>
      <c r="R2" s="32">
        <v>2</v>
      </c>
      <c r="S2" s="33">
        <f>R2/W$2</f>
        <v>0.2</v>
      </c>
      <c r="T2" s="45">
        <f t="shared" ref="T2:T7" si="0">60/(Q2)</f>
        <v>0.59405940594059403</v>
      </c>
      <c r="U2" s="78">
        <v>20</v>
      </c>
      <c r="V2" s="79">
        <f>ROUND(R2*T2*U2,0)</f>
        <v>24</v>
      </c>
      <c r="W2" s="18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48" t="s">
        <v>8</v>
      </c>
      <c r="B3" s="42" t="s">
        <v>0</v>
      </c>
      <c r="C3" s="63">
        <v>1</v>
      </c>
      <c r="D3" s="65">
        <f t="shared" ref="D3:D8" si="1">VLOOKUP(A3,$M$1:$X$8,6,FALSE)</f>
        <v>2</v>
      </c>
      <c r="E3">
        <f t="shared" ref="E3:E8" si="2">VLOOKUP(A3,$M$1:$X$8,5,FALSE)</f>
        <v>101</v>
      </c>
      <c r="F3" s="7">
        <f t="shared" ref="F3:F8" si="3">60/E3*C3</f>
        <v>0.59405940594059403</v>
      </c>
      <c r="G3">
        <f t="shared" ref="G3:G8" si="4">VLOOKUP(A3,$M$1:$X$8,9,FALSE)</f>
        <v>20</v>
      </c>
      <c r="H3" s="6">
        <f t="shared" ref="H3:H8" si="5">D3*F3*G3</f>
        <v>23.762376237623762</v>
      </c>
      <c r="I3" s="5" t="s">
        <v>12</v>
      </c>
      <c r="J3" s="6">
        <v>88.048090523338047</v>
      </c>
      <c r="M3" s="29" t="s">
        <v>9</v>
      </c>
      <c r="N3" s="8">
        <v>1.5</v>
      </c>
      <c r="O3" s="23">
        <f>2*10</f>
        <v>20</v>
      </c>
      <c r="P3" s="24">
        <f t="shared" ref="P3:P7" si="6">N3+O3</f>
        <v>21.5</v>
      </c>
      <c r="Q3" s="13">
        <v>140</v>
      </c>
      <c r="R3" s="32">
        <v>1</v>
      </c>
      <c r="S3" s="33">
        <f t="shared" ref="S3:S6" si="7">R3/W$2</f>
        <v>0.1</v>
      </c>
      <c r="T3" s="45">
        <f t="shared" si="0"/>
        <v>0.42857142857142855</v>
      </c>
      <c r="U3" s="78">
        <v>20</v>
      </c>
      <c r="V3" s="79">
        <f>ROUND(R3*T3*U3,0)</f>
        <v>9</v>
      </c>
      <c r="W3" s="18"/>
      <c r="Y3">
        <v>10</v>
      </c>
      <c r="Z3">
        <f t="shared" ref="Z3:Z7" si="8">Q3+((Q3/100)*Y3)</f>
        <v>154</v>
      </c>
    </row>
    <row r="4" spans="1:26" ht="15.75" thickBot="1" x14ac:dyDescent="0.3">
      <c r="A4" s="48" t="s">
        <v>8</v>
      </c>
      <c r="B4" s="42" t="s">
        <v>64</v>
      </c>
      <c r="C4" s="63">
        <v>1</v>
      </c>
      <c r="D4" s="65">
        <f t="shared" si="1"/>
        <v>2</v>
      </c>
      <c r="E4">
        <f t="shared" si="2"/>
        <v>101</v>
      </c>
      <c r="F4" s="7">
        <f t="shared" si="3"/>
        <v>0.59405940594059403</v>
      </c>
      <c r="G4">
        <f t="shared" si="4"/>
        <v>20</v>
      </c>
      <c r="H4" s="6">
        <f t="shared" si="5"/>
        <v>23.762376237623762</v>
      </c>
      <c r="I4" s="5" t="s">
        <v>6</v>
      </c>
      <c r="J4" s="6">
        <v>103.33333333333334</v>
      </c>
      <c r="M4" s="29" t="s">
        <v>56</v>
      </c>
      <c r="N4" s="8">
        <v>1</v>
      </c>
      <c r="O4" s="23">
        <f>4*4</f>
        <v>16</v>
      </c>
      <c r="P4" s="24">
        <f t="shared" si="6"/>
        <v>17</v>
      </c>
      <c r="Q4" s="13">
        <v>36</v>
      </c>
      <c r="R4" s="32">
        <v>1</v>
      </c>
      <c r="S4" s="33">
        <f t="shared" si="7"/>
        <v>0.1</v>
      </c>
      <c r="T4" s="45">
        <f t="shared" si="0"/>
        <v>1.6666666666666667</v>
      </c>
      <c r="U4" s="78">
        <v>20</v>
      </c>
      <c r="V4" s="79">
        <f>ROUND(R4*T4*U4,0)</f>
        <v>33</v>
      </c>
      <c r="W4" s="18"/>
      <c r="Y4">
        <v>10</v>
      </c>
      <c r="Z4">
        <f t="shared" si="8"/>
        <v>39.6</v>
      </c>
    </row>
    <row r="5" spans="1:26" ht="15.75" thickBot="1" x14ac:dyDescent="0.3">
      <c r="A5" s="48" t="s">
        <v>8</v>
      </c>
      <c r="B5" s="42" t="s">
        <v>11</v>
      </c>
      <c r="C5" s="63">
        <v>1</v>
      </c>
      <c r="D5" s="65">
        <f t="shared" si="1"/>
        <v>2</v>
      </c>
      <c r="E5">
        <f t="shared" si="2"/>
        <v>101</v>
      </c>
      <c r="F5" s="7">
        <f t="shared" si="3"/>
        <v>0.59405940594059403</v>
      </c>
      <c r="G5">
        <f t="shared" si="4"/>
        <v>20</v>
      </c>
      <c r="H5" s="6">
        <f t="shared" si="5"/>
        <v>23.762376237623762</v>
      </c>
      <c r="I5" s="5" t="s">
        <v>11</v>
      </c>
      <c r="J5" s="6">
        <v>96.619519094766616</v>
      </c>
      <c r="M5" s="29" t="s">
        <v>61</v>
      </c>
      <c r="N5" s="8">
        <v>1.7</v>
      </c>
      <c r="O5" s="51">
        <f>5*5</f>
        <v>25</v>
      </c>
      <c r="P5" s="52">
        <f>N5+O5</f>
        <v>26.7</v>
      </c>
      <c r="Q5" s="53">
        <v>80</v>
      </c>
      <c r="R5" s="54">
        <v>2</v>
      </c>
      <c r="S5" s="33">
        <f t="shared" si="7"/>
        <v>0.2</v>
      </c>
      <c r="T5" s="45">
        <f t="shared" si="0"/>
        <v>0.75</v>
      </c>
      <c r="U5" s="78">
        <v>20</v>
      </c>
      <c r="V5" s="79">
        <f>ROUND(R5*T5*U5,0)</f>
        <v>30</v>
      </c>
      <c r="W5" s="18"/>
      <c r="Y5">
        <v>10</v>
      </c>
      <c r="Z5">
        <f t="shared" si="8"/>
        <v>88</v>
      </c>
    </row>
    <row r="6" spans="1:26" ht="15.75" thickBot="1" x14ac:dyDescent="0.3">
      <c r="A6" s="48" t="s">
        <v>8</v>
      </c>
      <c r="B6" s="42" t="s">
        <v>12</v>
      </c>
      <c r="C6" s="63">
        <v>1</v>
      </c>
      <c r="D6" s="65">
        <f t="shared" si="1"/>
        <v>2</v>
      </c>
      <c r="E6">
        <f t="shared" si="2"/>
        <v>101</v>
      </c>
      <c r="F6" s="7">
        <f t="shared" si="3"/>
        <v>0.59405940594059403</v>
      </c>
      <c r="G6">
        <f t="shared" si="4"/>
        <v>20</v>
      </c>
      <c r="H6" s="6">
        <f t="shared" si="5"/>
        <v>23.762376237623762</v>
      </c>
      <c r="I6" s="5" t="s">
        <v>3</v>
      </c>
      <c r="J6" s="6">
        <v>58.048090523338047</v>
      </c>
      <c r="M6" s="29" t="s">
        <v>10</v>
      </c>
      <c r="N6" s="8">
        <v>0.9</v>
      </c>
      <c r="O6" s="23">
        <f>4*7</f>
        <v>28</v>
      </c>
      <c r="P6" s="24">
        <f>N6+O6</f>
        <v>28.9</v>
      </c>
      <c r="Q6" s="13">
        <v>70</v>
      </c>
      <c r="R6" s="59">
        <v>2</v>
      </c>
      <c r="S6" s="33">
        <f t="shared" si="7"/>
        <v>0.2</v>
      </c>
      <c r="T6" s="45">
        <f t="shared" si="0"/>
        <v>0.8571428571428571</v>
      </c>
      <c r="U6" s="78">
        <v>20</v>
      </c>
      <c r="V6" s="79">
        <f>ROUND(R6*T6*U6,0)</f>
        <v>34</v>
      </c>
      <c r="W6" s="18"/>
      <c r="Y6">
        <v>10</v>
      </c>
      <c r="Z6">
        <f t="shared" si="8"/>
        <v>77</v>
      </c>
    </row>
    <row r="7" spans="1:26" ht="15.75" thickBot="1" x14ac:dyDescent="0.3">
      <c r="A7" s="49" t="s">
        <v>8</v>
      </c>
      <c r="B7" s="42" t="s">
        <v>3</v>
      </c>
      <c r="C7" s="63">
        <v>1</v>
      </c>
      <c r="D7" s="65">
        <f t="shared" si="1"/>
        <v>2</v>
      </c>
      <c r="E7">
        <f t="shared" si="2"/>
        <v>101</v>
      </c>
      <c r="F7" s="7">
        <f t="shared" si="3"/>
        <v>0.59405940594059403</v>
      </c>
      <c r="G7">
        <f t="shared" si="4"/>
        <v>20</v>
      </c>
      <c r="H7" s="6">
        <f t="shared" si="5"/>
        <v>23.762376237623762</v>
      </c>
      <c r="I7" s="5" t="s">
        <v>13</v>
      </c>
      <c r="J7" s="6">
        <v>25.714285714285712</v>
      </c>
      <c r="M7" s="29" t="s">
        <v>62</v>
      </c>
      <c r="N7" s="8">
        <v>0.9</v>
      </c>
      <c r="O7" s="55">
        <f>5*2</f>
        <v>10</v>
      </c>
      <c r="P7" s="56">
        <f t="shared" si="6"/>
        <v>10.9</v>
      </c>
      <c r="Q7" s="57">
        <v>60</v>
      </c>
      <c r="R7" s="58">
        <v>2</v>
      </c>
      <c r="S7" s="33">
        <f>R7/W$2</f>
        <v>0.2</v>
      </c>
      <c r="T7" s="45">
        <f t="shared" si="0"/>
        <v>1</v>
      </c>
      <c r="U7" s="78">
        <v>20</v>
      </c>
      <c r="V7" s="79">
        <f>SUM(V2:V6)</f>
        <v>130</v>
      </c>
      <c r="W7" s="18"/>
      <c r="Y7">
        <v>10</v>
      </c>
      <c r="Z7">
        <f t="shared" si="8"/>
        <v>66</v>
      </c>
    </row>
    <row r="8" spans="1:26" ht="15.75" thickBot="1" x14ac:dyDescent="0.3">
      <c r="A8" s="67" t="s">
        <v>8</v>
      </c>
      <c r="B8" s="68" t="s">
        <v>4</v>
      </c>
      <c r="C8" s="73">
        <v>1</v>
      </c>
      <c r="D8" s="65">
        <f t="shared" si="1"/>
        <v>2</v>
      </c>
      <c r="E8">
        <f t="shared" si="2"/>
        <v>101</v>
      </c>
      <c r="F8" s="7">
        <f t="shared" si="3"/>
        <v>0.59405940594059403</v>
      </c>
      <c r="G8">
        <f t="shared" si="4"/>
        <v>20</v>
      </c>
      <c r="H8" s="6">
        <f t="shared" si="5"/>
        <v>23.762376237623762</v>
      </c>
      <c r="I8" s="61" t="s">
        <v>4</v>
      </c>
      <c r="J8" s="6">
        <v>92.333804809052339</v>
      </c>
      <c r="M8" s="30"/>
      <c r="N8" s="31"/>
      <c r="O8" s="31"/>
      <c r="P8" s="31"/>
      <c r="Q8" s="31"/>
      <c r="R8" s="31"/>
      <c r="S8" s="36">
        <f>SUM(S2:S7)</f>
        <v>1</v>
      </c>
      <c r="T8" s="43"/>
      <c r="U8" s="31"/>
      <c r="V8" s="31"/>
      <c r="W8" s="19"/>
    </row>
    <row r="9" spans="1:26" ht="15.75" thickBot="1" x14ac:dyDescent="0.3">
      <c r="A9" s="66" t="s">
        <v>62</v>
      </c>
      <c r="B9" s="34" t="s">
        <v>57</v>
      </c>
      <c r="C9" s="75">
        <v>1</v>
      </c>
      <c r="D9" s="70">
        <f t="shared" ref="D9:D21" si="9">VLOOKUP(A9,$M$1:$X$8,6,FALSE)</f>
        <v>2</v>
      </c>
      <c r="E9">
        <f t="shared" ref="E9:E20" si="10">VLOOKUP(A9,$M$1:$X$8,5,FALSE)</f>
        <v>60</v>
      </c>
      <c r="F9" s="7">
        <f t="shared" ref="F9:F20" si="11">60/E9*C9</f>
        <v>1</v>
      </c>
      <c r="G9">
        <f t="shared" ref="G9:G20" si="12">VLOOKUP(A9,$M$1:$X$8,9,FALSE)</f>
        <v>20</v>
      </c>
      <c r="H9" s="6">
        <f t="shared" ref="H9:H21" si="13">D9*F9*G9</f>
        <v>40</v>
      </c>
      <c r="I9" s="5" t="s">
        <v>57</v>
      </c>
      <c r="J9" s="6">
        <v>169.95285242809996</v>
      </c>
    </row>
    <row r="10" spans="1:26" ht="15.75" thickBot="1" x14ac:dyDescent="0.3">
      <c r="A10" s="76" t="s">
        <v>62</v>
      </c>
      <c r="B10" s="42" t="s">
        <v>0</v>
      </c>
      <c r="C10" s="74">
        <v>1</v>
      </c>
      <c r="D10" s="70">
        <f t="shared" si="9"/>
        <v>2</v>
      </c>
      <c r="E10">
        <f t="shared" si="10"/>
        <v>60</v>
      </c>
      <c r="F10" s="7">
        <f t="shared" si="11"/>
        <v>1</v>
      </c>
      <c r="G10">
        <f t="shared" si="12"/>
        <v>20</v>
      </c>
      <c r="H10" s="6">
        <f t="shared" si="13"/>
        <v>40</v>
      </c>
      <c r="I10" s="5" t="s">
        <v>59</v>
      </c>
      <c r="J10" s="6">
        <v>33.333333333333336</v>
      </c>
      <c r="Q10" s="6"/>
    </row>
    <row r="11" spans="1:26" ht="15.75" thickBot="1" x14ac:dyDescent="0.3">
      <c r="A11" s="77" t="s">
        <v>62</v>
      </c>
      <c r="B11" s="64" t="s">
        <v>6</v>
      </c>
      <c r="C11" s="74">
        <v>1</v>
      </c>
      <c r="D11" s="70">
        <f t="shared" si="9"/>
        <v>2</v>
      </c>
      <c r="E11">
        <f t="shared" si="10"/>
        <v>60</v>
      </c>
      <c r="F11" s="7">
        <f t="shared" si="11"/>
        <v>1</v>
      </c>
      <c r="G11">
        <f t="shared" si="12"/>
        <v>20</v>
      </c>
      <c r="H11" s="6">
        <f t="shared" si="13"/>
        <v>40</v>
      </c>
      <c r="I11" s="5" t="s">
        <v>58</v>
      </c>
      <c r="J11" s="6">
        <v>33.333333333333336</v>
      </c>
      <c r="P11" s="6"/>
    </row>
    <row r="12" spans="1:26" ht="15.75" thickBot="1" x14ac:dyDescent="0.3">
      <c r="A12" s="47" t="s">
        <v>56</v>
      </c>
      <c r="B12" s="34" t="s">
        <v>57</v>
      </c>
      <c r="C12" s="75">
        <v>1</v>
      </c>
      <c r="D12" s="70">
        <f t="shared" si="9"/>
        <v>1</v>
      </c>
      <c r="E12">
        <f t="shared" si="10"/>
        <v>36</v>
      </c>
      <c r="F12" s="7">
        <f t="shared" si="11"/>
        <v>1.6666666666666667</v>
      </c>
      <c r="G12">
        <f t="shared" si="12"/>
        <v>20</v>
      </c>
      <c r="H12" s="6">
        <f t="shared" si="13"/>
        <v>33.333333333333336</v>
      </c>
      <c r="I12" s="5" t="s">
        <v>60</v>
      </c>
      <c r="J12" s="6">
        <v>33.333333333333336</v>
      </c>
      <c r="P12" s="6"/>
    </row>
    <row r="13" spans="1:26" ht="15.75" thickBot="1" x14ac:dyDescent="0.3">
      <c r="A13" s="48" t="s">
        <v>56</v>
      </c>
      <c r="B13" s="42" t="s">
        <v>59</v>
      </c>
      <c r="C13" s="71">
        <v>1</v>
      </c>
      <c r="D13" s="72">
        <f t="shared" si="9"/>
        <v>1</v>
      </c>
      <c r="E13">
        <f t="shared" si="10"/>
        <v>36</v>
      </c>
      <c r="F13" s="7">
        <f t="shared" si="11"/>
        <v>1.6666666666666667</v>
      </c>
      <c r="G13">
        <f t="shared" si="12"/>
        <v>20</v>
      </c>
      <c r="H13" s="6">
        <f t="shared" si="13"/>
        <v>33.333333333333336</v>
      </c>
      <c r="I13" s="5" t="s">
        <v>64</v>
      </c>
      <c r="J13" s="6">
        <v>96.619519094766616</v>
      </c>
      <c r="P13" s="6"/>
    </row>
    <row r="14" spans="1:26" ht="15.75" thickBot="1" x14ac:dyDescent="0.3">
      <c r="A14" s="48" t="s">
        <v>56</v>
      </c>
      <c r="B14" s="42" t="s">
        <v>58</v>
      </c>
      <c r="C14" s="63">
        <v>1</v>
      </c>
      <c r="D14" s="65">
        <f t="shared" si="9"/>
        <v>1</v>
      </c>
      <c r="E14">
        <f t="shared" si="10"/>
        <v>36</v>
      </c>
      <c r="F14" s="7">
        <f t="shared" si="11"/>
        <v>1.6666666666666667</v>
      </c>
      <c r="G14">
        <f t="shared" si="12"/>
        <v>20</v>
      </c>
      <c r="H14" s="6">
        <f t="shared" si="13"/>
        <v>33.333333333333336</v>
      </c>
      <c r="I14" s="5" t="s">
        <v>80</v>
      </c>
      <c r="J14" s="6">
        <v>967.28901461574731</v>
      </c>
      <c r="P14" s="6"/>
    </row>
    <row r="15" spans="1:26" ht="15.75" thickBot="1" x14ac:dyDescent="0.3">
      <c r="A15" s="48" t="s">
        <v>56</v>
      </c>
      <c r="B15" s="42" t="s">
        <v>60</v>
      </c>
      <c r="C15" s="63">
        <v>1</v>
      </c>
      <c r="D15" s="65">
        <f t="shared" si="9"/>
        <v>1</v>
      </c>
      <c r="E15">
        <f t="shared" si="10"/>
        <v>36</v>
      </c>
      <c r="F15" s="7">
        <f t="shared" si="11"/>
        <v>1.6666666666666667</v>
      </c>
      <c r="G15">
        <f t="shared" si="12"/>
        <v>20</v>
      </c>
      <c r="H15" s="6">
        <f t="shared" si="13"/>
        <v>33.333333333333336</v>
      </c>
      <c r="P15" s="6"/>
    </row>
    <row r="16" spans="1:26" ht="15.75" thickBot="1" x14ac:dyDescent="0.3">
      <c r="A16" s="50" t="s">
        <v>56</v>
      </c>
      <c r="B16" s="64" t="s">
        <v>6</v>
      </c>
      <c r="C16" s="69">
        <v>1</v>
      </c>
      <c r="D16" s="70">
        <f t="shared" si="9"/>
        <v>1</v>
      </c>
      <c r="E16">
        <f t="shared" si="10"/>
        <v>36</v>
      </c>
      <c r="F16" s="7">
        <f t="shared" si="11"/>
        <v>1.6666666666666667</v>
      </c>
      <c r="G16">
        <f t="shared" si="12"/>
        <v>20</v>
      </c>
      <c r="H16" s="6">
        <f t="shared" si="13"/>
        <v>33.333333333333336</v>
      </c>
      <c r="P16" s="6"/>
    </row>
    <row r="17" spans="1:21" ht="15.75" thickBot="1" x14ac:dyDescent="0.3">
      <c r="A17" s="48" t="s">
        <v>9</v>
      </c>
      <c r="B17" s="34" t="s">
        <v>57</v>
      </c>
      <c r="C17" s="63">
        <v>1</v>
      </c>
      <c r="D17" s="65">
        <f t="shared" si="9"/>
        <v>1</v>
      </c>
      <c r="E17">
        <f t="shared" si="10"/>
        <v>140</v>
      </c>
      <c r="F17" s="7">
        <f t="shared" si="11"/>
        <v>0.42857142857142855</v>
      </c>
      <c r="G17">
        <f t="shared" si="12"/>
        <v>20</v>
      </c>
      <c r="H17" s="6">
        <f t="shared" si="13"/>
        <v>8.5714285714285712</v>
      </c>
    </row>
    <row r="18" spans="1:21" ht="15.75" thickBot="1" x14ac:dyDescent="0.3">
      <c r="A18" s="48" t="s">
        <v>9</v>
      </c>
      <c r="B18" s="42" t="s">
        <v>0</v>
      </c>
      <c r="C18" s="63">
        <v>1</v>
      </c>
      <c r="D18" s="65">
        <f t="shared" si="9"/>
        <v>1</v>
      </c>
      <c r="E18">
        <f t="shared" si="10"/>
        <v>140</v>
      </c>
      <c r="F18" s="7">
        <f t="shared" si="11"/>
        <v>0.42857142857142855</v>
      </c>
      <c r="G18">
        <f t="shared" si="12"/>
        <v>20</v>
      </c>
      <c r="H18" s="6">
        <f t="shared" si="13"/>
        <v>8.5714285714285712</v>
      </c>
      <c r="O18" s="6"/>
      <c r="P18" s="6"/>
      <c r="Q18" s="6"/>
    </row>
    <row r="19" spans="1:21" ht="15.75" thickBot="1" x14ac:dyDescent="0.3">
      <c r="A19" s="48" t="s">
        <v>9</v>
      </c>
      <c r="B19" s="42" t="s">
        <v>64</v>
      </c>
      <c r="C19" s="63">
        <v>1</v>
      </c>
      <c r="D19" s="65">
        <f t="shared" si="9"/>
        <v>1</v>
      </c>
      <c r="E19">
        <f t="shared" si="10"/>
        <v>140</v>
      </c>
      <c r="F19" s="7">
        <f t="shared" si="11"/>
        <v>0.42857142857142855</v>
      </c>
      <c r="G19">
        <f t="shared" si="12"/>
        <v>20</v>
      </c>
      <c r="H19" s="6">
        <f t="shared" si="13"/>
        <v>8.5714285714285712</v>
      </c>
      <c r="P19" s="6"/>
    </row>
    <row r="20" spans="1:21" ht="15.75" thickBot="1" x14ac:dyDescent="0.3">
      <c r="A20" s="48" t="s">
        <v>9</v>
      </c>
      <c r="B20" s="42" t="s">
        <v>11</v>
      </c>
      <c r="C20" s="63">
        <v>1</v>
      </c>
      <c r="D20" s="65">
        <f t="shared" si="9"/>
        <v>1</v>
      </c>
      <c r="E20">
        <f t="shared" si="10"/>
        <v>140</v>
      </c>
      <c r="F20" s="7">
        <f t="shared" si="11"/>
        <v>0.42857142857142855</v>
      </c>
      <c r="G20">
        <f t="shared" si="12"/>
        <v>20</v>
      </c>
      <c r="H20" s="6">
        <f t="shared" si="13"/>
        <v>8.5714285714285712</v>
      </c>
      <c r="P20" s="6"/>
    </row>
    <row r="21" spans="1:21" ht="15.75" thickBot="1" x14ac:dyDescent="0.3">
      <c r="A21" s="48" t="s">
        <v>9</v>
      </c>
      <c r="B21" s="42" t="s">
        <v>4</v>
      </c>
      <c r="C21" s="63">
        <v>4</v>
      </c>
      <c r="D21" s="65">
        <f t="shared" si="9"/>
        <v>1</v>
      </c>
      <c r="E21">
        <f t="shared" ref="E21" si="14">VLOOKUP(A21,$M$1:$X$8,5,FALSE)</f>
        <v>140</v>
      </c>
      <c r="F21" s="7">
        <f t="shared" ref="F21" si="15">60/E21*C21</f>
        <v>1.7142857142857142</v>
      </c>
      <c r="G21">
        <f t="shared" ref="G21" si="16">VLOOKUP(A21,$M$1:$X$8,9,FALSE)</f>
        <v>20</v>
      </c>
      <c r="H21" s="6">
        <f t="shared" si="13"/>
        <v>34.285714285714285</v>
      </c>
    </row>
    <row r="22" spans="1:21" ht="15.75" thickBot="1" x14ac:dyDescent="0.3">
      <c r="A22" s="48" t="s">
        <v>9</v>
      </c>
      <c r="B22" s="42" t="s">
        <v>13</v>
      </c>
      <c r="C22" s="63">
        <v>3</v>
      </c>
      <c r="D22" s="65">
        <f t="shared" ref="D22" si="17">VLOOKUP(A22,$M$1:$X$8,6,FALSE)</f>
        <v>1</v>
      </c>
      <c r="E22">
        <f t="shared" ref="E22" si="18">VLOOKUP(A22,$M$1:$X$8,5,FALSE)</f>
        <v>140</v>
      </c>
      <c r="F22" s="7">
        <f t="shared" ref="F22" si="19">60/E22*C22</f>
        <v>1.2857142857142856</v>
      </c>
      <c r="G22">
        <f t="shared" ref="G22" si="20">VLOOKUP(A22,$M$1:$X$8,9,FALSE)</f>
        <v>20</v>
      </c>
      <c r="H22" s="6">
        <f t="shared" ref="H22" si="21">D22*F22*G22</f>
        <v>25.714285714285712</v>
      </c>
      <c r="P22" s="6"/>
    </row>
    <row r="23" spans="1:21" ht="15.75" thickBot="1" x14ac:dyDescent="0.3">
      <c r="A23" s="47" t="s">
        <v>61</v>
      </c>
      <c r="B23" s="34" t="s">
        <v>57</v>
      </c>
      <c r="C23" s="63">
        <v>1</v>
      </c>
      <c r="D23" s="65">
        <f t="shared" ref="D23:D33" si="22">VLOOKUP(A23,$M$1:$X$8,6,FALSE)</f>
        <v>2</v>
      </c>
      <c r="E23">
        <f t="shared" ref="E23:E35" si="23">VLOOKUP(A23,$M$1:$X$8,5,FALSE)</f>
        <v>80</v>
      </c>
      <c r="F23" s="7">
        <f t="shared" ref="F23:F33" si="24">60/E23*C23</f>
        <v>0.75</v>
      </c>
      <c r="G23">
        <f t="shared" ref="G23:G35" si="25">VLOOKUP(A23,$M$1:$X$8,9,FALSE)</f>
        <v>20</v>
      </c>
      <c r="H23" s="6">
        <f t="shared" ref="H23:H35" si="26">D23*F23*G23</f>
        <v>30</v>
      </c>
      <c r="P23" s="6"/>
    </row>
    <row r="24" spans="1:21" ht="15.75" thickBot="1" x14ac:dyDescent="0.3">
      <c r="A24" s="48" t="s">
        <v>61</v>
      </c>
      <c r="B24" s="42" t="s">
        <v>0</v>
      </c>
      <c r="C24" s="63">
        <v>1</v>
      </c>
      <c r="D24" s="65">
        <f t="shared" si="22"/>
        <v>2</v>
      </c>
      <c r="E24">
        <f t="shared" si="23"/>
        <v>80</v>
      </c>
      <c r="F24" s="7">
        <f t="shared" si="24"/>
        <v>0.75</v>
      </c>
      <c r="G24">
        <f t="shared" si="25"/>
        <v>20</v>
      </c>
      <c r="H24" s="6">
        <f t="shared" si="26"/>
        <v>30</v>
      </c>
      <c r="P24" s="6"/>
    </row>
    <row r="25" spans="1:21" ht="15.75" thickBot="1" x14ac:dyDescent="0.3">
      <c r="A25" s="48" t="s">
        <v>61</v>
      </c>
      <c r="B25" t="s">
        <v>64</v>
      </c>
      <c r="C25" s="63">
        <v>1</v>
      </c>
      <c r="D25" s="65">
        <f t="shared" si="22"/>
        <v>2</v>
      </c>
      <c r="E25">
        <f t="shared" si="23"/>
        <v>80</v>
      </c>
      <c r="F25" s="7">
        <f t="shared" si="24"/>
        <v>0.75</v>
      </c>
      <c r="G25">
        <f t="shared" si="25"/>
        <v>20</v>
      </c>
      <c r="H25" s="6">
        <f t="shared" si="26"/>
        <v>30</v>
      </c>
      <c r="I25" s="62"/>
      <c r="N25" s="7"/>
      <c r="P25" s="6"/>
    </row>
    <row r="26" spans="1:21" ht="15.75" thickBot="1" x14ac:dyDescent="0.3">
      <c r="A26" s="48" t="s">
        <v>61</v>
      </c>
      <c r="B26" s="42" t="s">
        <v>11</v>
      </c>
      <c r="C26" s="63">
        <v>1</v>
      </c>
      <c r="D26" s="65">
        <f t="shared" si="22"/>
        <v>2</v>
      </c>
      <c r="E26">
        <f t="shared" si="23"/>
        <v>80</v>
      </c>
      <c r="F26" s="7">
        <f t="shared" si="24"/>
        <v>0.75</v>
      </c>
      <c r="G26">
        <f t="shared" si="25"/>
        <v>20</v>
      </c>
      <c r="H26" s="6">
        <f t="shared" si="26"/>
        <v>30</v>
      </c>
    </row>
    <row r="27" spans="1:21" ht="15.75" thickBot="1" x14ac:dyDescent="0.3">
      <c r="A27" s="48" t="s">
        <v>61</v>
      </c>
      <c r="B27" s="42" t="s">
        <v>12</v>
      </c>
      <c r="C27" s="63">
        <v>1</v>
      </c>
      <c r="D27" s="65">
        <f t="shared" si="22"/>
        <v>2</v>
      </c>
      <c r="E27">
        <f t="shared" si="23"/>
        <v>80</v>
      </c>
      <c r="F27" s="7">
        <f t="shared" si="24"/>
        <v>0.75</v>
      </c>
      <c r="G27">
        <f t="shared" si="25"/>
        <v>20</v>
      </c>
      <c r="H27" s="6">
        <f t="shared" si="26"/>
        <v>30</v>
      </c>
    </row>
    <row r="28" spans="1:21" ht="15.75" thickBot="1" x14ac:dyDescent="0.3">
      <c r="A28" s="50" t="s">
        <v>61</v>
      </c>
      <c r="B28" s="64" t="s">
        <v>6</v>
      </c>
      <c r="C28" s="63">
        <v>1</v>
      </c>
      <c r="D28" s="65">
        <f t="shared" si="22"/>
        <v>2</v>
      </c>
      <c r="E28">
        <f t="shared" si="23"/>
        <v>80</v>
      </c>
      <c r="F28" s="7">
        <f t="shared" si="24"/>
        <v>0.75</v>
      </c>
      <c r="G28">
        <f t="shared" si="25"/>
        <v>20</v>
      </c>
      <c r="H28" s="6">
        <f t="shared" si="26"/>
        <v>30</v>
      </c>
    </row>
    <row r="29" spans="1:21" ht="15.75" thickBot="1" x14ac:dyDescent="0.3">
      <c r="A29" s="47" t="s">
        <v>10</v>
      </c>
      <c r="B29" s="34" t="s">
        <v>57</v>
      </c>
      <c r="C29" s="63">
        <v>1</v>
      </c>
      <c r="D29" s="65">
        <f t="shared" si="22"/>
        <v>2</v>
      </c>
      <c r="E29">
        <f t="shared" si="23"/>
        <v>70</v>
      </c>
      <c r="F29" s="7">
        <f t="shared" si="24"/>
        <v>0.8571428571428571</v>
      </c>
      <c r="G29">
        <f t="shared" si="25"/>
        <v>20</v>
      </c>
      <c r="H29" s="6">
        <f t="shared" si="26"/>
        <v>34.285714285714285</v>
      </c>
    </row>
    <row r="30" spans="1:21" ht="15.75" thickBot="1" x14ac:dyDescent="0.3">
      <c r="A30" s="48" t="s">
        <v>10</v>
      </c>
      <c r="B30" s="42" t="s">
        <v>0</v>
      </c>
      <c r="C30" s="63">
        <v>1</v>
      </c>
      <c r="D30" s="65">
        <f t="shared" si="22"/>
        <v>2</v>
      </c>
      <c r="E30">
        <f t="shared" si="23"/>
        <v>70</v>
      </c>
      <c r="F30" s="7">
        <f t="shared" si="24"/>
        <v>0.8571428571428571</v>
      </c>
      <c r="G30">
        <f t="shared" si="25"/>
        <v>20</v>
      </c>
      <c r="H30" s="6">
        <f t="shared" si="26"/>
        <v>34.285714285714285</v>
      </c>
      <c r="P30" s="6"/>
    </row>
    <row r="31" spans="1:21" ht="15.75" thickBot="1" x14ac:dyDescent="0.3">
      <c r="A31" s="48" t="s">
        <v>10</v>
      </c>
      <c r="B31" t="s">
        <v>64</v>
      </c>
      <c r="C31" s="63">
        <v>1</v>
      </c>
      <c r="D31" s="65">
        <f t="shared" si="22"/>
        <v>2</v>
      </c>
      <c r="E31">
        <f t="shared" si="23"/>
        <v>70</v>
      </c>
      <c r="F31" s="7">
        <f t="shared" si="24"/>
        <v>0.8571428571428571</v>
      </c>
      <c r="G31">
        <f t="shared" si="25"/>
        <v>20</v>
      </c>
      <c r="H31" s="6">
        <f t="shared" si="26"/>
        <v>34.285714285714285</v>
      </c>
      <c r="P31" s="6"/>
      <c r="T31" s="6"/>
    </row>
    <row r="32" spans="1:21" ht="15.75" thickBot="1" x14ac:dyDescent="0.3">
      <c r="A32" s="48" t="s">
        <v>10</v>
      </c>
      <c r="B32" s="42" t="s">
        <v>11</v>
      </c>
      <c r="C32" s="63">
        <v>1</v>
      </c>
      <c r="D32" s="65">
        <f t="shared" si="22"/>
        <v>2</v>
      </c>
      <c r="E32">
        <f t="shared" si="23"/>
        <v>70</v>
      </c>
      <c r="F32" s="7">
        <f t="shared" si="24"/>
        <v>0.8571428571428571</v>
      </c>
      <c r="G32">
        <f t="shared" si="25"/>
        <v>20</v>
      </c>
      <c r="H32" s="6">
        <f t="shared" si="26"/>
        <v>34.285714285714285</v>
      </c>
      <c r="P32" s="6"/>
      <c r="T32" s="6"/>
    </row>
    <row r="33" spans="1:20" ht="15.75" thickBot="1" x14ac:dyDescent="0.3">
      <c r="A33" s="48" t="s">
        <v>10</v>
      </c>
      <c r="B33" s="42" t="s">
        <v>12</v>
      </c>
      <c r="C33" s="63">
        <v>1</v>
      </c>
      <c r="D33" s="65">
        <f t="shared" si="22"/>
        <v>2</v>
      </c>
      <c r="E33">
        <f t="shared" si="23"/>
        <v>70</v>
      </c>
      <c r="F33" s="7">
        <f t="shared" si="24"/>
        <v>0.8571428571428571</v>
      </c>
      <c r="G33">
        <f t="shared" si="25"/>
        <v>20</v>
      </c>
      <c r="H33" s="6">
        <f t="shared" si="26"/>
        <v>34.285714285714285</v>
      </c>
      <c r="P33" s="6"/>
      <c r="T33" s="6"/>
    </row>
    <row r="34" spans="1:20" ht="15.75" thickBot="1" x14ac:dyDescent="0.3">
      <c r="A34" s="48" t="s">
        <v>10</v>
      </c>
      <c r="B34" s="42" t="s">
        <v>3</v>
      </c>
      <c r="C34" s="63">
        <v>1</v>
      </c>
      <c r="D34" s="65">
        <f t="shared" ref="D34" si="27">VLOOKUP(A34,$M$1:$X$8,6,FALSE)</f>
        <v>2</v>
      </c>
      <c r="E34">
        <f t="shared" si="23"/>
        <v>70</v>
      </c>
      <c r="F34" s="7">
        <f t="shared" ref="F34" si="28">60/E34*C34</f>
        <v>0.8571428571428571</v>
      </c>
      <c r="G34">
        <f t="shared" si="25"/>
        <v>20</v>
      </c>
      <c r="H34" s="6">
        <f t="shared" si="26"/>
        <v>34.285714285714285</v>
      </c>
      <c r="P34" s="6"/>
      <c r="T34" s="6"/>
    </row>
    <row r="35" spans="1:20" ht="15.75" thickBot="1" x14ac:dyDescent="0.3">
      <c r="A35" s="50" t="s">
        <v>10</v>
      </c>
      <c r="B35" s="64" t="s">
        <v>4</v>
      </c>
      <c r="C35" s="69">
        <v>1</v>
      </c>
      <c r="D35" s="70">
        <f>VLOOKUP(A35,$M$1:$X$8,6,FALSE)</f>
        <v>2</v>
      </c>
      <c r="E35">
        <f t="shared" si="23"/>
        <v>70</v>
      </c>
      <c r="F35" s="7">
        <f>60/E35*C35</f>
        <v>0.8571428571428571</v>
      </c>
      <c r="G35">
        <f t="shared" si="25"/>
        <v>20</v>
      </c>
      <c r="H35" s="6">
        <f t="shared" si="26"/>
        <v>34.285714285714285</v>
      </c>
      <c r="P35" s="6"/>
      <c r="T35" s="6"/>
    </row>
    <row r="36" spans="1:20" x14ac:dyDescent="0.25">
      <c r="A36" s="62"/>
      <c r="F36" s="7"/>
      <c r="H36" s="6"/>
      <c r="T36" s="6"/>
    </row>
    <row r="44" spans="1:20" x14ac:dyDescent="0.25">
      <c r="Q44">
        <v>4</v>
      </c>
    </row>
    <row r="52" spans="1:9" ht="15.75" thickBot="1" x14ac:dyDescent="0.3"/>
    <row r="53" spans="1:9" x14ac:dyDescent="0.25">
      <c r="A53" s="95" t="s">
        <v>66</v>
      </c>
      <c r="B53" s="96"/>
      <c r="C53" s="97" t="s">
        <v>77</v>
      </c>
      <c r="D53" s="98"/>
    </row>
    <row r="54" spans="1:9" ht="93.75" x14ac:dyDescent="0.3">
      <c r="A54" s="14" t="s">
        <v>65</v>
      </c>
      <c r="B54" s="37" t="s">
        <v>54</v>
      </c>
      <c r="C54" s="11" t="s">
        <v>52</v>
      </c>
      <c r="D54" s="11" t="s">
        <v>53</v>
      </c>
      <c r="E54" s="46"/>
      <c r="F54" s="41" t="s">
        <v>75</v>
      </c>
      <c r="G54" s="11" t="s">
        <v>51</v>
      </c>
      <c r="H54" s="11" t="s">
        <v>99</v>
      </c>
      <c r="I54" s="11" t="s">
        <v>55</v>
      </c>
    </row>
    <row r="55" spans="1:9" ht="18.75" x14ac:dyDescent="0.25">
      <c r="A55" s="14" t="s">
        <v>57</v>
      </c>
      <c r="B55" s="38">
        <v>520</v>
      </c>
      <c r="C55" s="24">
        <f>GETPIVOTDATA("Итого",$I$1,"transaction rq",A55)*3</f>
        <v>509.85855728429988</v>
      </c>
      <c r="D55" s="60">
        <f>1-B55/C55</f>
        <v>-1.9890698255055961E-2</v>
      </c>
      <c r="E55" s="25"/>
      <c r="F55" s="42" t="str">
        <f>VLOOKUP(A55,Соответствие!A:B,2,FALSE)</f>
        <v>OpenLandingPage</v>
      </c>
      <c r="G55" s="21">
        <f>C55/3</f>
        <v>169.95285242809996</v>
      </c>
      <c r="H55" s="81">
        <f>VLOOKUP(F55,SummaryReport!A:J,8,FALSE)</f>
        <v>172</v>
      </c>
      <c r="I55" s="10">
        <f>1-G55/H55</f>
        <v>1.1902020766860755E-2</v>
      </c>
    </row>
    <row r="56" spans="1:9" ht="18.75" x14ac:dyDescent="0.25">
      <c r="A56" s="15" t="s">
        <v>0</v>
      </c>
      <c r="B56" s="38">
        <v>422</v>
      </c>
      <c r="C56" s="24">
        <f>GETPIVOTDATA("Итого",$I$1,"transaction rq",A56)*3</f>
        <v>409.85855728429988</v>
      </c>
      <c r="D56" s="60">
        <f>1-B56/C56</f>
        <v>-2.9623494495634395E-2</v>
      </c>
      <c r="E56" s="25"/>
      <c r="F56" s="42" t="str">
        <f>VLOOKUP(A56,Соответствие!A:B,2,FALSE)</f>
        <v>Login</v>
      </c>
      <c r="G56" s="21">
        <f t="shared" ref="G56:G66" si="29">C56/3</f>
        <v>136.61951909476662</v>
      </c>
      <c r="H56" s="81">
        <f>VLOOKUP(F56,SummaryReport!A:J,8,FALSE)</f>
        <v>138</v>
      </c>
      <c r="I56" s="10">
        <f t="shared" ref="I56:I66" si="30">1-G56/H56</f>
        <v>1.0003484820531816E-2</v>
      </c>
    </row>
    <row r="57" spans="1:9" ht="37.5" x14ac:dyDescent="0.25">
      <c r="A57" s="16" t="s">
        <v>64</v>
      </c>
      <c r="B57" s="38">
        <v>305</v>
      </c>
      <c r="C57" s="24">
        <f t="shared" ref="C57:C66" si="31">GETPIVOTDATA("Итого",$I$1,"transaction rq",A57)*3</f>
        <v>289.85855728429988</v>
      </c>
      <c r="D57" s="60">
        <f>1-B57/C57</f>
        <v>-5.2237349338798644E-2</v>
      </c>
      <c r="E57" s="25"/>
      <c r="F57" s="42" t="str">
        <f>VLOOKUP(A57,Соответствие!A:B,2,FALSE)</f>
        <v>OpenPage_FindFlight</v>
      </c>
      <c r="G57" s="21">
        <f t="shared" si="29"/>
        <v>96.61951909476663</v>
      </c>
      <c r="H57" s="81">
        <f>VLOOKUP(F57,SummaryReport!A:J,8,FALSE)</f>
        <v>99</v>
      </c>
      <c r="I57" s="10">
        <f t="shared" si="30"/>
        <v>2.4045261669023987E-2</v>
      </c>
    </row>
    <row r="58" spans="1:9" ht="37.5" x14ac:dyDescent="0.25">
      <c r="A58" s="15" t="s">
        <v>11</v>
      </c>
      <c r="B58" s="38">
        <v>282</v>
      </c>
      <c r="C58" s="24">
        <f t="shared" si="31"/>
        <v>289.85855728429988</v>
      </c>
      <c r="D58" s="60">
        <f t="shared" ref="D58:D67" si="32">1-B58/C58</f>
        <v>2.7111696676914154E-2</v>
      </c>
      <c r="E58" s="25"/>
      <c r="F58" s="42" t="str">
        <f>VLOOKUP(A58,Соответствие!A:B,2,FALSE)</f>
        <v>SubmitFlight</v>
      </c>
      <c r="G58" s="21">
        <f t="shared" si="29"/>
        <v>96.61951909476663</v>
      </c>
      <c r="H58" s="81">
        <f>VLOOKUP(F58,SummaryReport!A:J,8,FALSE)</f>
        <v>97</v>
      </c>
      <c r="I58" s="10">
        <f t="shared" si="30"/>
        <v>3.9224835591068485E-3</v>
      </c>
    </row>
    <row r="59" spans="1:9" ht="18.75" x14ac:dyDescent="0.25">
      <c r="A59" s="15" t="s">
        <v>12</v>
      </c>
      <c r="B59" s="38">
        <v>270</v>
      </c>
      <c r="C59" s="24">
        <f t="shared" si="31"/>
        <v>264.14427157001415</v>
      </c>
      <c r="D59" s="60">
        <f t="shared" si="32"/>
        <v>-2.2168674698795243E-2</v>
      </c>
      <c r="E59" s="25"/>
      <c r="F59" s="42" t="str">
        <f>VLOOKUP(A59,Соответствие!A:B,2,FALSE)</f>
        <v>СhooseDepartureTime</v>
      </c>
      <c r="G59" s="21">
        <f t="shared" si="29"/>
        <v>88.048090523338047</v>
      </c>
      <c r="H59" s="81">
        <f>VLOOKUP(F59,SummaryReport!A:J,8,FALSE)</f>
        <v>88</v>
      </c>
      <c r="I59" s="10">
        <f t="shared" si="30"/>
        <v>-5.4648321975059311E-4</v>
      </c>
    </row>
    <row r="60" spans="1:9" ht="18.75" x14ac:dyDescent="0.25">
      <c r="A60" s="15" t="s">
        <v>3</v>
      </c>
      <c r="B60" s="38">
        <v>175</v>
      </c>
      <c r="C60" s="24">
        <f t="shared" si="31"/>
        <v>174.14427157001415</v>
      </c>
      <c r="D60" s="60">
        <f t="shared" si="32"/>
        <v>-4.9139051332032224E-3</v>
      </c>
      <c r="E60" s="25"/>
      <c r="F60" s="42" t="str">
        <f>VLOOKUP(A60,Соответствие!A:B,2,FALSE)</f>
        <v>BuyingTicket</v>
      </c>
      <c r="G60" s="21">
        <f t="shared" si="29"/>
        <v>58.048090523338054</v>
      </c>
      <c r="H60" s="81">
        <f>VLOOKUP(F60,SummaryReport!A:J,8,FALSE)</f>
        <v>58</v>
      </c>
      <c r="I60" s="10">
        <f t="shared" si="30"/>
        <v>-8.2914695410440942E-4</v>
      </c>
    </row>
    <row r="61" spans="1:9" ht="18.75" x14ac:dyDescent="0.25">
      <c r="A61" s="15" t="s">
        <v>4</v>
      </c>
      <c r="B61" s="38">
        <v>280</v>
      </c>
      <c r="C61" s="24">
        <f t="shared" si="31"/>
        <v>277.00141442715699</v>
      </c>
      <c r="D61" s="60">
        <f t="shared" si="32"/>
        <v>-1.0825163398692883E-2</v>
      </c>
      <c r="E61" s="25"/>
      <c r="F61" s="42" t="str">
        <f>VLOOKUP(A61,Соответствие!A:B,2,FALSE)</f>
        <v>ViewTicketList</v>
      </c>
      <c r="G61" s="21">
        <f>C61/3</f>
        <v>92.333804809052324</v>
      </c>
      <c r="H61" s="81">
        <f>VLOOKUP(F61,SummaryReport!A:J,8,FALSE)</f>
        <v>94</v>
      </c>
      <c r="I61" s="10">
        <f t="shared" si="30"/>
        <v>1.7725480754762546E-2</v>
      </c>
    </row>
    <row r="62" spans="1:9" ht="18.75" x14ac:dyDescent="0.25">
      <c r="A62" s="15" t="s">
        <v>13</v>
      </c>
      <c r="B62" s="38">
        <v>73</v>
      </c>
      <c r="C62" s="24">
        <f t="shared" si="31"/>
        <v>77.142857142857139</v>
      </c>
      <c r="D62" s="60">
        <f t="shared" si="32"/>
        <v>5.3703703703703698E-2</v>
      </c>
      <c r="E62" s="25"/>
      <c r="F62" s="42" t="str">
        <f>VLOOKUP(A62,Соответствие!A:B,2,FALSE)</f>
        <v>DeleteTicket</v>
      </c>
      <c r="G62" s="21">
        <f t="shared" si="29"/>
        <v>25.714285714285712</v>
      </c>
      <c r="H62" s="81">
        <f>VLOOKUP(F62,SummaryReport!A:J,8,FALSE)</f>
        <v>27</v>
      </c>
      <c r="I62" s="10">
        <f>1-G62/H62</f>
        <v>4.7619047619047672E-2</v>
      </c>
    </row>
    <row r="63" spans="1:9" ht="18.75" x14ac:dyDescent="0.25">
      <c r="A63" s="15" t="s">
        <v>6</v>
      </c>
      <c r="B63" s="38">
        <v>326</v>
      </c>
      <c r="C63" s="24">
        <f t="shared" si="31"/>
        <v>310</v>
      </c>
      <c r="D63" s="60">
        <f t="shared" si="32"/>
        <v>-5.1612903225806361E-2</v>
      </c>
      <c r="E63" s="25"/>
      <c r="F63" s="42" t="str">
        <f>VLOOKUP(A63,Соответствие!A:B,2,FALSE)</f>
        <v>Logout</v>
      </c>
      <c r="G63" s="21">
        <f>C63/3</f>
        <v>103.33333333333333</v>
      </c>
      <c r="H63" s="81">
        <f>VLOOKUP(F63,SummaryReport!A:J,8,FALSE)</f>
        <v>102</v>
      </c>
      <c r="I63" s="10">
        <f t="shared" si="30"/>
        <v>-1.3071895424836555E-2</v>
      </c>
    </row>
    <row r="64" spans="1:9" ht="37.5" x14ac:dyDescent="0.25">
      <c r="A64" s="15" t="s">
        <v>59</v>
      </c>
      <c r="B64" s="38">
        <v>97</v>
      </c>
      <c r="C64" s="24">
        <f t="shared" si="31"/>
        <v>100</v>
      </c>
      <c r="D64" s="60">
        <f t="shared" si="32"/>
        <v>3.0000000000000027E-2</v>
      </c>
      <c r="E64" s="25"/>
      <c r="F64" s="42" t="str">
        <f>VLOOKUP(A64,Соответствие!A:B,2,FALSE)</f>
        <v>OpenRegistrationPage</v>
      </c>
      <c r="G64" s="21">
        <f t="shared" si="29"/>
        <v>33.333333333333336</v>
      </c>
      <c r="H64" s="81">
        <f>VLOOKUP(F64,SummaryReport!A:J,8,FALSE)</f>
        <v>34</v>
      </c>
      <c r="I64" s="10">
        <f t="shared" si="30"/>
        <v>1.9607843137254832E-2</v>
      </c>
    </row>
    <row r="65" spans="1:9" ht="37.5" x14ac:dyDescent="0.25">
      <c r="A65" s="15" t="s">
        <v>58</v>
      </c>
      <c r="B65" s="38">
        <v>97</v>
      </c>
      <c r="C65" s="24">
        <f t="shared" si="31"/>
        <v>100</v>
      </c>
      <c r="D65" s="60">
        <f t="shared" si="32"/>
        <v>3.0000000000000027E-2</v>
      </c>
      <c r="E65" s="25"/>
      <c r="F65" s="42" t="str">
        <f>VLOOKUP(A65,Соответствие!A:B,2,FALSE)</f>
        <v>UserRegistered</v>
      </c>
      <c r="G65" s="21">
        <f t="shared" si="29"/>
        <v>33.333333333333336</v>
      </c>
      <c r="H65" s="81">
        <f>VLOOKUP(F65,SummaryReport!A:J,8,FALSE)</f>
        <v>34</v>
      </c>
      <c r="I65" s="10">
        <f t="shared" si="30"/>
        <v>1.9607843137254832E-2</v>
      </c>
    </row>
    <row r="66" spans="1:9" ht="37.5" x14ac:dyDescent="0.25">
      <c r="A66" s="15" t="s">
        <v>60</v>
      </c>
      <c r="B66" s="38">
        <v>97</v>
      </c>
      <c r="C66" s="24">
        <f t="shared" si="31"/>
        <v>100</v>
      </c>
      <c r="D66" s="60">
        <f t="shared" si="32"/>
        <v>3.0000000000000027E-2</v>
      </c>
      <c r="E66" s="25"/>
      <c r="F66" s="42" t="str">
        <f>VLOOKUP(A66,Соответствие!A:B,2,FALSE)</f>
        <v>press continue</v>
      </c>
      <c r="G66" s="21">
        <f t="shared" si="29"/>
        <v>33.333333333333336</v>
      </c>
      <c r="H66" s="81">
        <f>VLOOKUP(F66,SummaryReport!A:J,8,FALSE)</f>
        <v>33</v>
      </c>
      <c r="I66" s="10">
        <f t="shared" si="30"/>
        <v>-1.0101010101010166E-2</v>
      </c>
    </row>
    <row r="67" spans="1:9" ht="19.5" thickBot="1" x14ac:dyDescent="0.3">
      <c r="A67" s="17" t="s">
        <v>7</v>
      </c>
      <c r="B67" s="39">
        <f>SUM(B55:B66)</f>
        <v>2944</v>
      </c>
      <c r="C67" s="40">
        <f>SUM(C55:C66)</f>
        <v>2901.8670438472423</v>
      </c>
      <c r="D67" s="9">
        <f t="shared" si="32"/>
        <v>-1.4519257952252174E-2</v>
      </c>
    </row>
    <row r="68" spans="1:9" ht="15.75" thickBot="1" x14ac:dyDescent="0.3">
      <c r="I68" s="12"/>
    </row>
    <row r="69" spans="1:9" x14ac:dyDescent="0.25">
      <c r="A69" s="26"/>
      <c r="B69" s="27"/>
      <c r="C69" s="28" t="s">
        <v>63</v>
      </c>
      <c r="D69" s="28"/>
      <c r="E69" s="28"/>
      <c r="F69" s="28"/>
      <c r="G69" s="28"/>
      <c r="H69" s="28"/>
      <c r="I69" s="20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39" sqref="B39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22" t="s">
        <v>67</v>
      </c>
      <c r="B1" s="22" t="s">
        <v>68</v>
      </c>
    </row>
    <row r="2" spans="1:2" x14ac:dyDescent="0.25">
      <c r="A2" s="42" t="str">
        <f>'Автоматизированный расчет'!A55</f>
        <v>Главная Welcome страница</v>
      </c>
      <c r="B2" s="42" t="s">
        <v>85</v>
      </c>
    </row>
    <row r="3" spans="1:2" x14ac:dyDescent="0.25">
      <c r="A3" s="42" t="str">
        <f>'Автоматизированный расчет'!A56</f>
        <v>Вход в систему</v>
      </c>
      <c r="B3" s="42" t="s">
        <v>83</v>
      </c>
    </row>
    <row r="4" spans="1:2" x14ac:dyDescent="0.25">
      <c r="A4" s="42" t="str">
        <f>'Автоматизированный расчет'!A57</f>
        <v>Переход на страницу поиска билетов</v>
      </c>
      <c r="B4" s="80" t="s">
        <v>86</v>
      </c>
    </row>
    <row r="5" spans="1:2" x14ac:dyDescent="0.25">
      <c r="A5" s="42" t="str">
        <f>'Автоматизированный расчет'!A58</f>
        <v xml:space="preserve">Заполнение полей для поиска билета </v>
      </c>
      <c r="B5" s="42" t="s">
        <v>89</v>
      </c>
    </row>
    <row r="6" spans="1:2" x14ac:dyDescent="0.25">
      <c r="A6" s="42" t="str">
        <f>'Автоматизированный расчет'!A59</f>
        <v xml:space="preserve">Выбор рейса из найденных </v>
      </c>
      <c r="B6" s="42" t="s">
        <v>96</v>
      </c>
    </row>
    <row r="7" spans="1:2" x14ac:dyDescent="0.25">
      <c r="A7" s="42" t="str">
        <f>'Автоматизированный расчет'!A60</f>
        <v>Оплата билета</v>
      </c>
      <c r="B7" s="42" t="s">
        <v>81</v>
      </c>
    </row>
    <row r="8" spans="1:2" x14ac:dyDescent="0.25">
      <c r="A8" s="42" t="str">
        <f>'Автоматизированный расчет'!A61</f>
        <v>Просмотр квитанций</v>
      </c>
      <c r="B8" s="42" t="s">
        <v>98</v>
      </c>
    </row>
    <row r="9" spans="1:2" x14ac:dyDescent="0.25">
      <c r="A9" s="42" t="str">
        <f>'Автоматизированный расчет'!A62</f>
        <v xml:space="preserve">Отмена бронирования </v>
      </c>
      <c r="B9" s="42" t="s">
        <v>82</v>
      </c>
    </row>
    <row r="10" spans="1:2" x14ac:dyDescent="0.25">
      <c r="A10" s="42" t="str">
        <f>'Автоматизированный расчет'!A63</f>
        <v>Выход из системы</v>
      </c>
      <c r="B10" s="42" t="s">
        <v>84</v>
      </c>
    </row>
    <row r="11" spans="1:2" x14ac:dyDescent="0.25">
      <c r="A11" s="42" t="str">
        <f>'Автоматизированный расчет'!A64</f>
        <v>Перход на страницу регистрации</v>
      </c>
      <c r="B11" s="42" t="s">
        <v>87</v>
      </c>
    </row>
    <row r="12" spans="1:2" x14ac:dyDescent="0.25">
      <c r="A12" s="42" t="str">
        <f>'Автоматизированный расчет'!A65</f>
        <v>Заполнение полей регистарции</v>
      </c>
      <c r="B12" s="42" t="s">
        <v>97</v>
      </c>
    </row>
    <row r="13" spans="1:2" x14ac:dyDescent="0.25">
      <c r="A13" s="42" t="str">
        <f>'Автоматизированный расчет'!A66</f>
        <v>Переход на следуюущий эран после регистарции</v>
      </c>
      <c r="B13" s="4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H21" sqref="H21"/>
    </sheetView>
  </sheetViews>
  <sheetFormatPr defaultColWidth="8.85546875" defaultRowHeight="15" x14ac:dyDescent="0.25"/>
  <cols>
    <col min="1" max="1" width="36.42578125" bestFit="1" customWidth="1"/>
    <col min="2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94" t="s">
        <v>27</v>
      </c>
      <c r="B1" s="94" t="s">
        <v>69</v>
      </c>
      <c r="C1" s="94" t="s">
        <v>70</v>
      </c>
      <c r="D1" s="94" t="s">
        <v>71</v>
      </c>
      <c r="E1" s="94" t="s">
        <v>72</v>
      </c>
      <c r="F1" s="94" t="s">
        <v>73</v>
      </c>
      <c r="G1" s="94" t="s">
        <v>74</v>
      </c>
      <c r="H1" s="94" t="s">
        <v>28</v>
      </c>
      <c r="I1" s="94" t="s">
        <v>29</v>
      </c>
      <c r="J1" s="94" t="s">
        <v>30</v>
      </c>
    </row>
    <row r="2" spans="1:10" x14ac:dyDescent="0.25">
      <c r="A2" s="42" t="s">
        <v>81</v>
      </c>
      <c r="B2" s="42"/>
      <c r="C2" s="42">
        <v>3.4000000000000002E-2</v>
      </c>
      <c r="D2" s="42">
        <v>3.6999999999999998E-2</v>
      </c>
      <c r="E2" s="42">
        <v>0.04</v>
      </c>
      <c r="F2" s="42">
        <v>1E-3</v>
      </c>
      <c r="G2" s="42">
        <v>3.9E-2</v>
      </c>
      <c r="H2" s="42">
        <v>58</v>
      </c>
      <c r="I2" s="42">
        <v>0</v>
      </c>
      <c r="J2" s="42">
        <v>0</v>
      </c>
    </row>
    <row r="3" spans="1:10" x14ac:dyDescent="0.25">
      <c r="A3" s="42" t="s">
        <v>82</v>
      </c>
      <c r="B3" s="42"/>
      <c r="C3" s="42">
        <v>4.2999999999999997E-2</v>
      </c>
      <c r="D3" s="42">
        <v>0.14899999999999999</v>
      </c>
      <c r="E3" s="42">
        <v>0.23499999999999999</v>
      </c>
      <c r="F3" s="42">
        <v>5.6000000000000001E-2</v>
      </c>
      <c r="G3" s="42">
        <v>0.23300000000000001</v>
      </c>
      <c r="H3" s="42">
        <v>27</v>
      </c>
      <c r="I3" s="42">
        <v>0</v>
      </c>
      <c r="J3" s="42">
        <v>0</v>
      </c>
    </row>
    <row r="4" spans="1:10" x14ac:dyDescent="0.25">
      <c r="A4" s="42" t="s">
        <v>83</v>
      </c>
      <c r="B4" s="42"/>
      <c r="C4" s="42">
        <v>7.5999999999999998E-2</v>
      </c>
      <c r="D4" s="42">
        <v>8.2000000000000003E-2</v>
      </c>
      <c r="E4" s="42">
        <v>0.126</v>
      </c>
      <c r="F4" s="42">
        <v>8.0000000000000002E-3</v>
      </c>
      <c r="G4" s="42">
        <v>9.0999999999999998E-2</v>
      </c>
      <c r="H4" s="42">
        <v>138</v>
      </c>
      <c r="I4" s="42">
        <v>0</v>
      </c>
      <c r="J4" s="42">
        <v>0</v>
      </c>
    </row>
    <row r="5" spans="1:10" x14ac:dyDescent="0.25">
      <c r="A5" s="42" t="s">
        <v>84</v>
      </c>
      <c r="B5" s="42"/>
      <c r="C5" s="42">
        <v>5.3999999999999999E-2</v>
      </c>
      <c r="D5" s="42">
        <v>5.6000000000000001E-2</v>
      </c>
      <c r="E5" s="42">
        <v>5.8000000000000003E-2</v>
      </c>
      <c r="F5" s="42">
        <v>1E-3</v>
      </c>
      <c r="G5" s="42">
        <v>5.8000000000000003E-2</v>
      </c>
      <c r="H5" s="42">
        <v>102</v>
      </c>
      <c r="I5" s="42">
        <v>0</v>
      </c>
      <c r="J5" s="42">
        <v>0</v>
      </c>
    </row>
    <row r="6" spans="1:10" x14ac:dyDescent="0.25">
      <c r="A6" s="42" t="s">
        <v>85</v>
      </c>
      <c r="B6" s="42"/>
      <c r="C6" s="42">
        <v>5.5E-2</v>
      </c>
      <c r="D6" s="42">
        <v>0.106</v>
      </c>
      <c r="E6" s="42">
        <v>0.216</v>
      </c>
      <c r="F6" s="42">
        <v>5.2999999999999999E-2</v>
      </c>
      <c r="G6" s="42">
        <v>0.16700000000000001</v>
      </c>
      <c r="H6" s="42">
        <v>172</v>
      </c>
      <c r="I6" s="42">
        <v>1</v>
      </c>
      <c r="J6" s="42">
        <v>0</v>
      </c>
    </row>
    <row r="7" spans="1:10" x14ac:dyDescent="0.25">
      <c r="A7" s="42" t="s">
        <v>86</v>
      </c>
      <c r="B7" s="42"/>
      <c r="C7" s="42">
        <v>7.5999999999999998E-2</v>
      </c>
      <c r="D7" s="42">
        <v>0.108</v>
      </c>
      <c r="E7" s="42">
        <v>0.112</v>
      </c>
      <c r="F7" s="42">
        <v>8.0000000000000002E-3</v>
      </c>
      <c r="G7" s="42">
        <v>0.112</v>
      </c>
      <c r="H7" s="42">
        <v>99</v>
      </c>
      <c r="I7" s="42">
        <v>0</v>
      </c>
      <c r="J7" s="42">
        <v>0</v>
      </c>
    </row>
    <row r="8" spans="1:10" x14ac:dyDescent="0.25">
      <c r="A8" s="42" t="s">
        <v>87</v>
      </c>
      <c r="B8" s="42"/>
      <c r="C8" s="42">
        <v>3.5000000000000003E-2</v>
      </c>
      <c r="D8" s="42">
        <v>3.5000000000000003E-2</v>
      </c>
      <c r="E8" s="42">
        <v>3.5999999999999997E-2</v>
      </c>
      <c r="F8" s="42">
        <v>0</v>
      </c>
      <c r="G8" s="42">
        <v>3.5000000000000003E-2</v>
      </c>
      <c r="H8" s="42">
        <v>34</v>
      </c>
      <c r="I8" s="42">
        <v>0</v>
      </c>
      <c r="J8" s="42">
        <v>0</v>
      </c>
    </row>
    <row r="9" spans="1:10" x14ac:dyDescent="0.25">
      <c r="A9" s="42" t="s">
        <v>88</v>
      </c>
      <c r="B9" s="42"/>
      <c r="C9" s="42">
        <v>7.6999999999999999E-2</v>
      </c>
      <c r="D9" s="42">
        <v>7.9000000000000001E-2</v>
      </c>
      <c r="E9" s="42">
        <v>8.1000000000000003E-2</v>
      </c>
      <c r="F9" s="42">
        <v>1E-3</v>
      </c>
      <c r="G9" s="42">
        <v>8.1000000000000003E-2</v>
      </c>
      <c r="H9" s="42">
        <v>33</v>
      </c>
      <c r="I9" s="42">
        <v>0</v>
      </c>
      <c r="J9" s="42">
        <v>0</v>
      </c>
    </row>
    <row r="10" spans="1:10" x14ac:dyDescent="0.25">
      <c r="A10" s="42" t="s">
        <v>89</v>
      </c>
      <c r="B10" s="42"/>
      <c r="C10" s="42">
        <v>3.4000000000000002E-2</v>
      </c>
      <c r="D10" s="42">
        <v>3.5999999999999997E-2</v>
      </c>
      <c r="E10" s="42">
        <v>0.04</v>
      </c>
      <c r="F10" s="42">
        <v>1E-3</v>
      </c>
      <c r="G10" s="42">
        <v>3.6999999999999998E-2</v>
      </c>
      <c r="H10" s="42">
        <v>97</v>
      </c>
      <c r="I10" s="42">
        <v>0</v>
      </c>
      <c r="J10" s="42">
        <v>0</v>
      </c>
    </row>
    <row r="11" spans="1:10" x14ac:dyDescent="0.25">
      <c r="A11" s="42" t="s">
        <v>90</v>
      </c>
      <c r="B11" s="42"/>
      <c r="C11" s="42">
        <v>0.29899999999999999</v>
      </c>
      <c r="D11" s="42">
        <v>0.308</v>
      </c>
      <c r="E11" s="42">
        <v>0.35099999999999998</v>
      </c>
      <c r="F11" s="42">
        <v>1.0999999999999999E-2</v>
      </c>
      <c r="G11" s="42">
        <v>0.315</v>
      </c>
      <c r="H11" s="42">
        <v>39</v>
      </c>
      <c r="I11" s="42">
        <v>1</v>
      </c>
      <c r="J11" s="42">
        <v>0</v>
      </c>
    </row>
    <row r="12" spans="1:10" x14ac:dyDescent="0.25">
      <c r="A12" s="42" t="s">
        <v>91</v>
      </c>
      <c r="B12" s="42"/>
      <c r="C12" s="42">
        <v>0.34200000000000003</v>
      </c>
      <c r="D12" s="42">
        <v>0.377</v>
      </c>
      <c r="E12" s="42">
        <v>0.438</v>
      </c>
      <c r="F12" s="42">
        <v>1.6E-2</v>
      </c>
      <c r="G12" s="42">
        <v>0.38500000000000001</v>
      </c>
      <c r="H12" s="42">
        <v>30</v>
      </c>
      <c r="I12" s="42">
        <v>0</v>
      </c>
      <c r="J12" s="42">
        <v>0</v>
      </c>
    </row>
    <row r="13" spans="1:10" x14ac:dyDescent="0.25">
      <c r="A13" s="42" t="s">
        <v>92</v>
      </c>
      <c r="B13" s="42"/>
      <c r="C13" s="42">
        <v>0.47599999999999998</v>
      </c>
      <c r="D13" s="42">
        <v>0.57299999999999995</v>
      </c>
      <c r="E13" s="42">
        <v>0.7</v>
      </c>
      <c r="F13" s="42">
        <v>0.05</v>
      </c>
      <c r="G13" s="42">
        <v>0.63100000000000001</v>
      </c>
      <c r="H13" s="42">
        <v>24</v>
      </c>
      <c r="I13" s="42">
        <v>0</v>
      </c>
      <c r="J13" s="42">
        <v>0</v>
      </c>
    </row>
    <row r="14" spans="1:10" x14ac:dyDescent="0.25">
      <c r="A14" s="42" t="s">
        <v>93</v>
      </c>
      <c r="B14" s="42"/>
      <c r="C14" s="42">
        <v>0.45700000000000002</v>
      </c>
      <c r="D14" s="42">
        <v>0.46800000000000003</v>
      </c>
      <c r="E14" s="42">
        <v>0.51</v>
      </c>
      <c r="F14" s="42">
        <v>8.9999999999999993E-3</v>
      </c>
      <c r="G14" s="42">
        <v>0.47499999999999998</v>
      </c>
      <c r="H14" s="42">
        <v>34</v>
      </c>
      <c r="I14" s="42">
        <v>0</v>
      </c>
      <c r="J14" s="42">
        <v>0</v>
      </c>
    </row>
    <row r="15" spans="1:10" x14ac:dyDescent="0.25">
      <c r="A15" s="42" t="s">
        <v>94</v>
      </c>
      <c r="B15" s="42"/>
      <c r="C15" s="42">
        <v>0.72499999999999998</v>
      </c>
      <c r="D15" s="42">
        <v>2.5209999999999999</v>
      </c>
      <c r="E15" s="42">
        <v>4.7480000000000002</v>
      </c>
      <c r="F15" s="42">
        <v>1.153</v>
      </c>
      <c r="G15" s="42">
        <v>4.7480000000000002</v>
      </c>
      <c r="H15" s="42">
        <v>9</v>
      </c>
      <c r="I15" s="42">
        <v>0</v>
      </c>
      <c r="J15" s="42">
        <v>0</v>
      </c>
    </row>
    <row r="16" spans="1:10" x14ac:dyDescent="0.25">
      <c r="A16" s="42" t="s">
        <v>95</v>
      </c>
      <c r="B16" s="42"/>
      <c r="C16" s="42">
        <v>0.36</v>
      </c>
      <c r="D16" s="42">
        <v>0.36499999999999999</v>
      </c>
      <c r="E16" s="42">
        <v>0.40300000000000002</v>
      </c>
      <c r="F16" s="42">
        <v>7.0000000000000001E-3</v>
      </c>
      <c r="G16" s="42">
        <v>0.36799999999999999</v>
      </c>
      <c r="H16" s="42">
        <v>33</v>
      </c>
      <c r="I16" s="42">
        <v>0</v>
      </c>
      <c r="J16" s="42">
        <v>0</v>
      </c>
    </row>
    <row r="17" spans="1:10" x14ac:dyDescent="0.25">
      <c r="A17" s="42" t="s">
        <v>97</v>
      </c>
      <c r="B17" s="42"/>
      <c r="C17" s="42">
        <v>0.03</v>
      </c>
      <c r="D17" s="42">
        <v>3.1E-2</v>
      </c>
      <c r="E17" s="42">
        <v>3.3000000000000002E-2</v>
      </c>
      <c r="F17" s="42">
        <v>1E-3</v>
      </c>
      <c r="G17" s="42">
        <v>3.2000000000000001E-2</v>
      </c>
      <c r="H17" s="42">
        <v>34</v>
      </c>
      <c r="I17" s="42">
        <v>0</v>
      </c>
      <c r="J17" s="42">
        <v>0</v>
      </c>
    </row>
    <row r="18" spans="1:10" x14ac:dyDescent="0.25">
      <c r="A18" s="42" t="s">
        <v>98</v>
      </c>
      <c r="B18" s="42"/>
      <c r="C18" s="42">
        <v>6.2E-2</v>
      </c>
      <c r="D18" s="42">
        <v>0.155</v>
      </c>
      <c r="E18" s="42">
        <v>0.27600000000000002</v>
      </c>
      <c r="F18" s="42">
        <v>5.2999999999999999E-2</v>
      </c>
      <c r="G18" s="42">
        <v>0.23200000000000001</v>
      </c>
      <c r="H18" s="42">
        <v>94</v>
      </c>
      <c r="I18" s="42">
        <v>0</v>
      </c>
      <c r="J18" s="42">
        <v>0</v>
      </c>
    </row>
    <row r="19" spans="1:10" x14ac:dyDescent="0.25">
      <c r="A19" s="42" t="s">
        <v>96</v>
      </c>
      <c r="B19" s="42"/>
      <c r="C19" s="42">
        <v>3.4000000000000002E-2</v>
      </c>
      <c r="D19" s="42">
        <v>3.6999999999999998E-2</v>
      </c>
      <c r="E19" s="42">
        <v>0.04</v>
      </c>
      <c r="F19" s="42">
        <v>1E-3</v>
      </c>
      <c r="G19" s="42">
        <v>3.7999999999999999E-2</v>
      </c>
      <c r="H19" s="42">
        <v>88</v>
      </c>
      <c r="I19" s="42">
        <v>0</v>
      </c>
      <c r="J19" s="42">
        <v>0</v>
      </c>
    </row>
    <row r="20" spans="1:10" x14ac:dyDescent="0.25">
      <c r="H20">
        <f>SUM(H2:H19)</f>
        <v>1145</v>
      </c>
    </row>
  </sheetData>
  <hyperlinks>
    <hyperlink ref="A2" display="BuyingTicket" xr:uid="{CAD88E3E-CAF9-47B8-9CAC-558280E3DC87}"/>
    <hyperlink ref="A3" display="DeleteTicket" xr:uid="{C3EB1C5D-8F5C-4493-B3B3-83EF477EBAFC}"/>
    <hyperlink ref="A4" display="Login" xr:uid="{523A220C-C0BC-4586-AB2D-525E5BB64F81}"/>
    <hyperlink ref="A5" display="Logout" xr:uid="{E75052CA-7BBF-4922-ACD2-9966B2A68261}"/>
    <hyperlink ref="A6" display="OpenLandingPage" xr:uid="{C6836C6D-EA30-4430-BD9D-B5F159077A0A}"/>
    <hyperlink ref="A7" display="OpenPage_FindFlight" xr:uid="{81178DB6-ABBD-4723-946E-817D5966915D}"/>
    <hyperlink ref="A8" display="OpenRegistrationPage" xr:uid="{B5B4C3B7-AA61-4BE0-8A6C-50CEFDF8DED0}"/>
    <hyperlink ref="A9" display="press continue" xr:uid="{28681E23-2C00-48DC-97D2-E932F7C76BEE}"/>
    <hyperlink ref="A10" display="SubmitFlight" xr:uid="{946308BF-EE88-43CE-BCCC-C1D7805649EA}"/>
    <hyperlink ref="A11" display="UC1_LoginLogout" xr:uid="{415B5270-B86C-4F08-A1C1-00EBF2F4491F}"/>
    <hyperlink ref="A12" display="UC2_SearchTicket" xr:uid="{F4E51458-499D-4332-9C24-1E811D213D02}"/>
    <hyperlink ref="A13" display="UC3_BuyingTicket" xr:uid="{F33B33B4-F165-4FF3-BAF5-6DAE4D6C0E75}"/>
    <hyperlink ref="A14" display="UC4_ViewTicketList" xr:uid="{95AC6949-4F9F-4A12-9689-46DFFD11FF4C}"/>
    <hyperlink ref="A15" display="UC5_DeleteTicket" xr:uid="{9E28DCA7-18AE-4F1E-8F6A-8FBF594ECCAA}"/>
    <hyperlink ref="A16" display="UC7_RandomUserRegistrtion" xr:uid="{DD35DEBB-2179-47F8-BC28-0799706622C5}"/>
    <hyperlink ref="A17" display="UserRegistered" xr:uid="{BA392A4D-D3A1-4CDF-8CAE-CBF0F1CED951}"/>
    <hyperlink ref="A18" display="ViewTicketList" xr:uid="{E7595B25-3867-4E89-8AF0-D55D46B83395}"/>
    <hyperlink ref="A19" display="СhooseDepartureTime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P54"/>
  <sheetViews>
    <sheetView tabSelected="1" topLeftCell="B1" workbookViewId="0">
      <selection activeCell="M26" sqref="M2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4.42578125" customWidth="1"/>
    <col min="6" max="6" width="23.57031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6" x14ac:dyDescent="0.25">
      <c r="E1" s="99" t="s">
        <v>100</v>
      </c>
      <c r="F1" s="99"/>
      <c r="G1" s="99"/>
      <c r="H1" s="99"/>
      <c r="I1" s="99"/>
      <c r="L1" s="99" t="s">
        <v>105</v>
      </c>
      <c r="M1" s="99"/>
      <c r="N1" s="99"/>
      <c r="O1" s="99"/>
      <c r="P1" s="99"/>
    </row>
    <row r="3" spans="5:16" x14ac:dyDescent="0.25"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</row>
    <row r="4" spans="5:16" ht="15.75" x14ac:dyDescent="0.25">
      <c r="E4" s="82" t="s">
        <v>0</v>
      </c>
      <c r="F4" s="83" t="s">
        <v>83</v>
      </c>
      <c r="G4" s="84">
        <v>422</v>
      </c>
      <c r="H4" s="2">
        <f>633*0.6</f>
        <v>379.8</v>
      </c>
      <c r="I4" s="87">
        <f>1-G4/H4</f>
        <v>-0.11111111111111116</v>
      </c>
      <c r="L4" s="82" t="s">
        <v>0</v>
      </c>
      <c r="M4" s="83" t="s">
        <v>83</v>
      </c>
      <c r="N4" s="84">
        <f>422*4</f>
        <v>1688</v>
      </c>
      <c r="O4" s="89">
        <v>1658</v>
      </c>
      <c r="P4" s="85">
        <f>1-N4/O4</f>
        <v>-1.8094089264173663E-2</v>
      </c>
    </row>
    <row r="5" spans="5:16" ht="15.75" x14ac:dyDescent="0.25">
      <c r="E5" s="82" t="s">
        <v>1</v>
      </c>
      <c r="F5" s="83" t="s">
        <v>89</v>
      </c>
      <c r="G5" s="84">
        <f>282</f>
        <v>282</v>
      </c>
      <c r="H5" s="2">
        <f>424*0.6</f>
        <v>254.39999999999998</v>
      </c>
      <c r="I5" s="87">
        <f t="shared" ref="I5:I10" si="0">1-G5/H5</f>
        <v>-0.10849056603773599</v>
      </c>
      <c r="L5" s="82" t="s">
        <v>1</v>
      </c>
      <c r="M5" s="83" t="s">
        <v>89</v>
      </c>
      <c r="N5" s="84">
        <f>282*4</f>
        <v>1128</v>
      </c>
      <c r="O5" s="90">
        <v>1170</v>
      </c>
      <c r="P5" s="85">
        <f t="shared" ref="P5:P11" si="1">1-N5/O5</f>
        <v>3.5897435897435881E-2</v>
      </c>
    </row>
    <row r="6" spans="5:16" ht="15.75" x14ac:dyDescent="0.25">
      <c r="E6" s="82" t="s">
        <v>2</v>
      </c>
      <c r="F6" s="83" t="s">
        <v>96</v>
      </c>
      <c r="G6" s="84">
        <f>270</f>
        <v>270</v>
      </c>
      <c r="H6" s="2">
        <f>386*0.6</f>
        <v>231.6</v>
      </c>
      <c r="I6" s="87">
        <f t="shared" si="0"/>
        <v>-0.16580310880829008</v>
      </c>
      <c r="L6" s="82" t="s">
        <v>2</v>
      </c>
      <c r="M6" s="83" t="s">
        <v>96</v>
      </c>
      <c r="N6" s="84">
        <f>270*4</f>
        <v>1080</v>
      </c>
      <c r="O6" s="89">
        <v>1058</v>
      </c>
      <c r="P6" s="85">
        <f t="shared" si="1"/>
        <v>-2.0793950850661602E-2</v>
      </c>
    </row>
    <row r="7" spans="5:16" ht="15.75" x14ac:dyDescent="0.25">
      <c r="E7" s="82" t="s">
        <v>3</v>
      </c>
      <c r="F7" s="83" t="s">
        <v>81</v>
      </c>
      <c r="G7" s="84">
        <f>175</f>
        <v>175</v>
      </c>
      <c r="H7" s="2">
        <f>258*0.6</f>
        <v>154.79999999999998</v>
      </c>
      <c r="I7" s="87">
        <f t="shared" si="0"/>
        <v>-0.1304909560723515</v>
      </c>
      <c r="L7" s="82" t="s">
        <v>3</v>
      </c>
      <c r="M7" s="83" t="s">
        <v>81</v>
      </c>
      <c r="N7" s="84">
        <f>175*4</f>
        <v>700</v>
      </c>
      <c r="O7" s="89">
        <v>698</v>
      </c>
      <c r="P7" s="86">
        <f t="shared" si="1"/>
        <v>-2.8653295128939771E-3</v>
      </c>
    </row>
    <row r="8" spans="5:16" ht="15.75" x14ac:dyDescent="0.25">
      <c r="E8" s="82" t="s">
        <v>20</v>
      </c>
      <c r="F8" s="83" t="s">
        <v>98</v>
      </c>
      <c r="G8" s="84">
        <f>280</f>
        <v>280</v>
      </c>
      <c r="H8" s="2">
        <f>420*0.6</f>
        <v>252</v>
      </c>
      <c r="I8" s="87">
        <f t="shared" si="0"/>
        <v>-0.11111111111111116</v>
      </c>
      <c r="L8" s="82" t="s">
        <v>20</v>
      </c>
      <c r="M8" s="83" t="s">
        <v>98</v>
      </c>
      <c r="N8" s="84">
        <f>280*4</f>
        <v>1120</v>
      </c>
      <c r="O8" s="89">
        <v>1113</v>
      </c>
      <c r="P8" s="85">
        <f t="shared" si="1"/>
        <v>-6.2893081761006275E-3</v>
      </c>
    </row>
    <row r="9" spans="5:16" ht="15.75" x14ac:dyDescent="0.25">
      <c r="E9" s="82" t="s">
        <v>5</v>
      </c>
      <c r="F9" s="83" t="s">
        <v>82</v>
      </c>
      <c r="G9" s="84">
        <f>73</f>
        <v>73</v>
      </c>
      <c r="H9" s="2">
        <f>125*0.6</f>
        <v>75</v>
      </c>
      <c r="I9" s="86">
        <f t="shared" si="0"/>
        <v>2.6666666666666616E-2</v>
      </c>
      <c r="L9" s="82" t="s">
        <v>5</v>
      </c>
      <c r="M9" s="83" t="s">
        <v>82</v>
      </c>
      <c r="N9" s="84">
        <f>73*4</f>
        <v>292</v>
      </c>
      <c r="O9" s="89">
        <v>302</v>
      </c>
      <c r="P9" s="85">
        <f t="shared" si="1"/>
        <v>3.3112582781456901E-2</v>
      </c>
    </row>
    <row r="10" spans="5:16" ht="15.75" x14ac:dyDescent="0.25">
      <c r="E10" s="82" t="s">
        <v>6</v>
      </c>
      <c r="F10" s="83" t="s">
        <v>84</v>
      </c>
      <c r="G10" s="84">
        <f>326</f>
        <v>326</v>
      </c>
      <c r="H10" s="2">
        <f>437*0.6</f>
        <v>262.2</v>
      </c>
      <c r="I10" s="87">
        <f t="shared" si="0"/>
        <v>-0.24332570556826849</v>
      </c>
      <c r="L10" s="82" t="s">
        <v>6</v>
      </c>
      <c r="M10" s="83" t="s">
        <v>84</v>
      </c>
      <c r="N10" s="84">
        <f>326*4</f>
        <v>1304</v>
      </c>
      <c r="O10" s="89">
        <v>1320</v>
      </c>
      <c r="P10" s="85">
        <f t="shared" si="1"/>
        <v>1.2121212121212088E-2</v>
      </c>
    </row>
    <row r="11" spans="5:16" ht="18.75" customHeight="1" x14ac:dyDescent="0.25">
      <c r="M11" s="91" t="s">
        <v>104</v>
      </c>
      <c r="N11" s="92">
        <f>SUM(N4:N10)</f>
        <v>7312</v>
      </c>
      <c r="O11" s="92">
        <f>SUM(O4:O10)</f>
        <v>7319</v>
      </c>
      <c r="P11" s="93">
        <f t="shared" si="1"/>
        <v>9.564148107664705E-4</v>
      </c>
    </row>
    <row r="12" spans="5:16" x14ac:dyDescent="0.25">
      <c r="E12" s="99" t="s">
        <v>103</v>
      </c>
      <c r="F12" s="99"/>
      <c r="G12" s="99"/>
      <c r="H12" s="99"/>
      <c r="I12" s="99"/>
    </row>
    <row r="14" spans="5:16" x14ac:dyDescent="0.25"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</row>
    <row r="15" spans="5:16" ht="15.75" x14ac:dyDescent="0.25">
      <c r="E15" s="82" t="s">
        <v>0</v>
      </c>
      <c r="F15" s="83" t="s">
        <v>83</v>
      </c>
      <c r="G15" s="84">
        <v>422</v>
      </c>
      <c r="H15" s="2">
        <f>(543/4)*3</f>
        <v>407.25</v>
      </c>
      <c r="I15" s="85">
        <f t="shared" ref="I15:I21" si="2">1-G15/H15</f>
        <v>-3.6218538980969939E-2</v>
      </c>
    </row>
    <row r="16" spans="5:16" ht="15.75" customHeight="1" x14ac:dyDescent="0.25">
      <c r="E16" s="82" t="s">
        <v>1</v>
      </c>
      <c r="F16" s="83" t="s">
        <v>89</v>
      </c>
      <c r="G16" s="84">
        <v>282</v>
      </c>
      <c r="H16" s="2">
        <f>(382/4)*3</f>
        <v>286.5</v>
      </c>
      <c r="I16" s="85">
        <f t="shared" si="2"/>
        <v>1.5706806282722474E-2</v>
      </c>
    </row>
    <row r="17" spans="5:9" ht="15.75" customHeight="1" x14ac:dyDescent="0.25">
      <c r="E17" s="82" t="s">
        <v>2</v>
      </c>
      <c r="F17" s="83" t="s">
        <v>96</v>
      </c>
      <c r="G17" s="84">
        <v>270</v>
      </c>
      <c r="H17" s="2">
        <f>(350/4)*3</f>
        <v>262.5</v>
      </c>
      <c r="I17" s="85">
        <f t="shared" si="2"/>
        <v>-2.857142857142847E-2</v>
      </c>
    </row>
    <row r="18" spans="5:9" ht="15.75" x14ac:dyDescent="0.25">
      <c r="E18" s="82" t="s">
        <v>3</v>
      </c>
      <c r="F18" s="83" t="s">
        <v>81</v>
      </c>
      <c r="G18" s="84">
        <v>175</v>
      </c>
      <c r="H18" s="2">
        <f>(230/4)*3</f>
        <v>172.5</v>
      </c>
      <c r="I18" s="86">
        <f t="shared" si="2"/>
        <v>-1.449275362318847E-2</v>
      </c>
    </row>
    <row r="19" spans="5:9" ht="15.75" x14ac:dyDescent="0.25">
      <c r="E19" s="82" t="s">
        <v>20</v>
      </c>
      <c r="F19" s="83" t="s">
        <v>98</v>
      </c>
      <c r="G19" s="84">
        <v>280</v>
      </c>
      <c r="H19" s="2">
        <f>(366/4)*3</f>
        <v>274.5</v>
      </c>
      <c r="I19" s="86">
        <f t="shared" si="2"/>
        <v>-2.0036429872495543E-2</v>
      </c>
    </row>
    <row r="20" spans="5:9" ht="15.75" x14ac:dyDescent="0.25">
      <c r="E20" s="82" t="s">
        <v>5</v>
      </c>
      <c r="F20" s="83" t="s">
        <v>82</v>
      </c>
      <c r="G20" s="84">
        <v>73</v>
      </c>
      <c r="H20" s="2">
        <f>(102/4)*3</f>
        <v>76.5</v>
      </c>
      <c r="I20" s="86">
        <f t="shared" si="2"/>
        <v>4.5751633986928053E-2</v>
      </c>
    </row>
    <row r="21" spans="5:9" ht="15.75" x14ac:dyDescent="0.25">
      <c r="E21" s="82" t="s">
        <v>6</v>
      </c>
      <c r="F21" s="83" t="s">
        <v>84</v>
      </c>
      <c r="G21" s="84">
        <v>326</v>
      </c>
      <c r="H21" s="2">
        <f>(413/4)*3</f>
        <v>309.75</v>
      </c>
      <c r="I21" s="86">
        <f t="shared" si="2"/>
        <v>-5.246166263115426E-2</v>
      </c>
    </row>
    <row r="23" spans="5:9" x14ac:dyDescent="0.25">
      <c r="E23" s="99" t="s">
        <v>31</v>
      </c>
      <c r="F23" s="99"/>
      <c r="G23" s="99"/>
      <c r="H23" s="99"/>
      <c r="I23" s="99"/>
    </row>
    <row r="25" spans="5:9" x14ac:dyDescent="0.25">
      <c r="E25" s="1" t="s">
        <v>14</v>
      </c>
      <c r="F25" s="1" t="s">
        <v>15</v>
      </c>
      <c r="G25" s="1" t="s">
        <v>16</v>
      </c>
      <c r="H25" s="1" t="s">
        <v>17</v>
      </c>
      <c r="I25" s="1" t="s">
        <v>18</v>
      </c>
    </row>
    <row r="26" spans="5:9" ht="15.75" x14ac:dyDescent="0.25">
      <c r="E26" s="82" t="s">
        <v>0</v>
      </c>
      <c r="F26" s="83" t="s">
        <v>83</v>
      </c>
      <c r="G26" s="84">
        <v>422</v>
      </c>
      <c r="H26" s="2">
        <v>407</v>
      </c>
      <c r="I26" s="85">
        <f>1-G26/H26</f>
        <v>-3.6855036855036882E-2</v>
      </c>
    </row>
    <row r="27" spans="5:9" ht="15.75" x14ac:dyDescent="0.25">
      <c r="E27" s="82" t="s">
        <v>1</v>
      </c>
      <c r="F27" s="83" t="s">
        <v>89</v>
      </c>
      <c r="G27" s="84">
        <f>282</f>
        <v>282</v>
      </c>
      <c r="H27" s="2">
        <v>290</v>
      </c>
      <c r="I27" s="85">
        <f t="shared" ref="I27:I32" si="3">1-G27/H27</f>
        <v>2.7586206896551779E-2</v>
      </c>
    </row>
    <row r="28" spans="5:9" ht="15.75" x14ac:dyDescent="0.25">
      <c r="E28" s="82" t="s">
        <v>2</v>
      </c>
      <c r="F28" s="83" t="s">
        <v>96</v>
      </c>
      <c r="G28" s="84">
        <f>270</f>
        <v>270</v>
      </c>
      <c r="H28" s="2">
        <v>264</v>
      </c>
      <c r="I28" s="85">
        <f t="shared" si="3"/>
        <v>-2.2727272727272707E-2</v>
      </c>
    </row>
    <row r="29" spans="5:9" ht="15.75" x14ac:dyDescent="0.25">
      <c r="E29" s="82" t="s">
        <v>3</v>
      </c>
      <c r="F29" s="83" t="s">
        <v>81</v>
      </c>
      <c r="G29" s="84">
        <f>175</f>
        <v>175</v>
      </c>
      <c r="H29" s="2">
        <v>174</v>
      </c>
      <c r="I29" s="86">
        <f t="shared" si="3"/>
        <v>-5.7471264367816577E-3</v>
      </c>
    </row>
    <row r="30" spans="5:9" ht="15.75" x14ac:dyDescent="0.25">
      <c r="E30" s="82" t="s">
        <v>20</v>
      </c>
      <c r="F30" s="83" t="s">
        <v>98</v>
      </c>
      <c r="G30" s="84">
        <f>280</f>
        <v>280</v>
      </c>
      <c r="H30" s="2">
        <v>278</v>
      </c>
      <c r="I30" s="86">
        <f t="shared" si="3"/>
        <v>-7.194244604316502E-3</v>
      </c>
    </row>
    <row r="31" spans="5:9" ht="15.75" x14ac:dyDescent="0.25">
      <c r="E31" s="82" t="s">
        <v>5</v>
      </c>
      <c r="F31" s="83" t="s">
        <v>82</v>
      </c>
      <c r="G31" s="84">
        <f>73</f>
        <v>73</v>
      </c>
      <c r="H31" s="2">
        <v>78</v>
      </c>
      <c r="I31" s="87">
        <f t="shared" si="3"/>
        <v>6.4102564102564097E-2</v>
      </c>
    </row>
    <row r="32" spans="5:9" ht="15.75" x14ac:dyDescent="0.25">
      <c r="E32" s="82" t="s">
        <v>6</v>
      </c>
      <c r="F32" s="83" t="s">
        <v>84</v>
      </c>
      <c r="G32" s="84">
        <f>326</f>
        <v>326</v>
      </c>
      <c r="H32" s="2">
        <v>309</v>
      </c>
      <c r="I32" s="86">
        <f t="shared" si="3"/>
        <v>-5.5016181229773364E-2</v>
      </c>
    </row>
    <row r="34" spans="5:15" x14ac:dyDescent="0.25">
      <c r="E34" s="99" t="s">
        <v>101</v>
      </c>
      <c r="F34" s="99"/>
      <c r="G34" s="99"/>
      <c r="H34" s="99"/>
      <c r="I34" s="99"/>
    </row>
    <row r="36" spans="5:15" ht="28.5" customHeight="1" x14ac:dyDescent="0.25"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18</v>
      </c>
    </row>
    <row r="37" spans="5:15" ht="15.75" x14ac:dyDescent="0.25">
      <c r="E37" s="82" t="s">
        <v>0</v>
      </c>
      <c r="F37" s="83" t="s">
        <v>83</v>
      </c>
      <c r="G37" s="84">
        <v>422</v>
      </c>
      <c r="H37" s="88">
        <f>(271/2)*3</f>
        <v>406.5</v>
      </c>
      <c r="I37" s="85">
        <f>1-G37/H37</f>
        <v>-3.8130381303812966E-2</v>
      </c>
      <c r="L37" s="3" t="s">
        <v>27</v>
      </c>
      <c r="M37" s="3" t="s">
        <v>28</v>
      </c>
      <c r="N37" s="3" t="s">
        <v>29</v>
      </c>
      <c r="O37" s="3" t="s">
        <v>30</v>
      </c>
    </row>
    <row r="38" spans="5:15" ht="15.75" x14ac:dyDescent="0.25">
      <c r="E38" s="82" t="s">
        <v>1</v>
      </c>
      <c r="F38" s="83" t="s">
        <v>89</v>
      </c>
      <c r="G38" s="84">
        <f>282</f>
        <v>282</v>
      </c>
      <c r="H38" s="2">
        <f>(192/2)*3</f>
        <v>288</v>
      </c>
      <c r="I38" s="85">
        <f t="shared" ref="I38:I43" si="4">1-G38/H38</f>
        <v>2.083333333333337E-2</v>
      </c>
      <c r="L38" s="3" t="s">
        <v>21</v>
      </c>
      <c r="M38" s="3">
        <v>377</v>
      </c>
      <c r="N38" s="3">
        <v>27</v>
      </c>
      <c r="O38" s="3">
        <v>0</v>
      </c>
    </row>
    <row r="39" spans="5:15" ht="15.75" x14ac:dyDescent="0.25">
      <c r="E39" s="82" t="s">
        <v>2</v>
      </c>
      <c r="F39" s="83" t="s">
        <v>96</v>
      </c>
      <c r="G39" s="84">
        <f>270</f>
        <v>270</v>
      </c>
      <c r="H39" s="2">
        <f>(175/2)*3</f>
        <v>262.5</v>
      </c>
      <c r="I39" s="85">
        <f t="shared" si="4"/>
        <v>-2.857142857142847E-2</v>
      </c>
      <c r="L39" s="3" t="s">
        <v>22</v>
      </c>
      <c r="M39" s="3">
        <v>998</v>
      </c>
      <c r="N39" s="3">
        <v>1</v>
      </c>
      <c r="O39" s="3">
        <v>0</v>
      </c>
    </row>
    <row r="40" spans="5:15" ht="15.75" x14ac:dyDescent="0.25">
      <c r="E40" s="82" t="s">
        <v>3</v>
      </c>
      <c r="F40" s="83" t="s">
        <v>81</v>
      </c>
      <c r="G40" s="84">
        <f>175</f>
        <v>175</v>
      </c>
      <c r="H40" s="2">
        <f>(115/2)*3</f>
        <v>172.5</v>
      </c>
      <c r="I40" s="86">
        <f t="shared" si="4"/>
        <v>-1.449275362318847E-2</v>
      </c>
      <c r="L40" s="3" t="s">
        <v>23</v>
      </c>
      <c r="M40" s="3" t="s">
        <v>32</v>
      </c>
      <c r="N40" s="3">
        <v>0</v>
      </c>
      <c r="O40" s="3">
        <v>0</v>
      </c>
    </row>
    <row r="41" spans="5:15" ht="15.75" x14ac:dyDescent="0.25">
      <c r="E41" s="82" t="s">
        <v>20</v>
      </c>
      <c r="F41" s="83" t="s">
        <v>98</v>
      </c>
      <c r="G41" s="84">
        <f>280</f>
        <v>280</v>
      </c>
      <c r="H41" s="2">
        <f>(183/2)*3</f>
        <v>274.5</v>
      </c>
      <c r="I41" s="86">
        <f t="shared" si="4"/>
        <v>-2.0036429872495543E-2</v>
      </c>
      <c r="L41" s="3" t="s">
        <v>24</v>
      </c>
      <c r="M41" s="3" t="s">
        <v>33</v>
      </c>
      <c r="N41" s="3">
        <v>139</v>
      </c>
      <c r="O41" s="3">
        <v>0</v>
      </c>
    </row>
    <row r="42" spans="5:15" ht="15.75" x14ac:dyDescent="0.25">
      <c r="E42" s="82" t="s">
        <v>5</v>
      </c>
      <c r="F42" s="83" t="s">
        <v>82</v>
      </c>
      <c r="G42" s="84">
        <f>73</f>
        <v>73</v>
      </c>
      <c r="H42" s="2">
        <f>(51/2)*3</f>
        <v>76.5</v>
      </c>
      <c r="I42" s="86">
        <f t="shared" si="4"/>
        <v>4.5751633986928053E-2</v>
      </c>
      <c r="L42" s="3" t="s">
        <v>25</v>
      </c>
      <c r="M42" s="3" t="s">
        <v>34</v>
      </c>
      <c r="N42" s="3">
        <v>1</v>
      </c>
      <c r="O42" s="3">
        <v>0</v>
      </c>
    </row>
    <row r="43" spans="5:15" ht="15.75" x14ac:dyDescent="0.25">
      <c r="E43" s="82" t="s">
        <v>6</v>
      </c>
      <c r="F43" s="83" t="s">
        <v>84</v>
      </c>
      <c r="G43" s="84">
        <f>326</f>
        <v>326</v>
      </c>
      <c r="H43" s="2">
        <f>(205/2)*3</f>
        <v>307.5</v>
      </c>
      <c r="I43" s="87">
        <f t="shared" si="4"/>
        <v>-6.0162601626016166E-2</v>
      </c>
      <c r="L43" s="3" t="s">
        <v>19</v>
      </c>
      <c r="M43" s="3">
        <v>924</v>
      </c>
      <c r="N43" s="3">
        <v>0</v>
      </c>
      <c r="O43" s="3">
        <v>0</v>
      </c>
    </row>
    <row r="44" spans="5:15" x14ac:dyDescent="0.25">
      <c r="L44" s="3" t="s">
        <v>26</v>
      </c>
      <c r="M44" s="3" t="s">
        <v>32</v>
      </c>
      <c r="N44" s="3">
        <v>0</v>
      </c>
      <c r="O44" s="3">
        <v>0</v>
      </c>
    </row>
    <row r="45" spans="5:15" x14ac:dyDescent="0.25">
      <c r="E45" s="99" t="s">
        <v>102</v>
      </c>
      <c r="F45" s="99"/>
      <c r="G45" s="99"/>
      <c r="H45" s="99"/>
      <c r="I45" s="99"/>
    </row>
    <row r="47" spans="5:15" x14ac:dyDescent="0.25"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18</v>
      </c>
    </row>
    <row r="48" spans="5:15" ht="15.75" x14ac:dyDescent="0.25">
      <c r="E48" s="82" t="s">
        <v>0</v>
      </c>
      <c r="F48" s="83" t="s">
        <v>83</v>
      </c>
      <c r="G48" s="84">
        <v>422</v>
      </c>
      <c r="H48" s="88">
        <f>146*3</f>
        <v>438</v>
      </c>
      <c r="I48" s="85">
        <f>1-G48/H48</f>
        <v>3.6529680365296802E-2</v>
      </c>
    </row>
    <row r="49" spans="5:9" ht="15.75" x14ac:dyDescent="0.25">
      <c r="E49" s="82" t="s">
        <v>1</v>
      </c>
      <c r="F49" s="83" t="s">
        <v>89</v>
      </c>
      <c r="G49" s="84">
        <f>282</f>
        <v>282</v>
      </c>
      <c r="H49" s="88">
        <f>101*3</f>
        <v>303</v>
      </c>
      <c r="I49" s="87">
        <f t="shared" ref="I49:I54" si="5">1-G49/H49</f>
        <v>6.9306930693069257E-2</v>
      </c>
    </row>
    <row r="50" spans="5:9" ht="15.75" x14ac:dyDescent="0.25">
      <c r="E50" s="82" t="s">
        <v>2</v>
      </c>
      <c r="F50" s="83" t="s">
        <v>96</v>
      </c>
      <c r="G50" s="84">
        <f>270</f>
        <v>270</v>
      </c>
      <c r="H50" s="88">
        <f>91*3</f>
        <v>273</v>
      </c>
      <c r="I50" s="85">
        <f t="shared" si="5"/>
        <v>1.098901098901095E-2</v>
      </c>
    </row>
    <row r="51" spans="5:9" ht="15.75" x14ac:dyDescent="0.25">
      <c r="E51" s="82" t="s">
        <v>3</v>
      </c>
      <c r="F51" s="83" t="s">
        <v>81</v>
      </c>
      <c r="G51" s="84">
        <f>175</f>
        <v>175</v>
      </c>
      <c r="H51" s="88">
        <f>60*3</f>
        <v>180</v>
      </c>
      <c r="I51" s="86">
        <f t="shared" si="5"/>
        <v>2.777777777777779E-2</v>
      </c>
    </row>
    <row r="52" spans="5:9" ht="15.75" x14ac:dyDescent="0.25">
      <c r="E52" s="82" t="s">
        <v>20</v>
      </c>
      <c r="F52" s="83" t="s">
        <v>98</v>
      </c>
      <c r="G52" s="84">
        <f>280</f>
        <v>280</v>
      </c>
      <c r="H52" s="88">
        <f>102*3</f>
        <v>306</v>
      </c>
      <c r="I52" s="87">
        <f t="shared" si="5"/>
        <v>8.496732026143794E-2</v>
      </c>
    </row>
    <row r="53" spans="5:9" ht="15.75" x14ac:dyDescent="0.25">
      <c r="E53" s="82" t="s">
        <v>5</v>
      </c>
      <c r="F53" s="83" t="s">
        <v>82</v>
      </c>
      <c r="G53" s="84">
        <f>73</f>
        <v>73</v>
      </c>
      <c r="H53" s="88">
        <f>30*3</f>
        <v>90</v>
      </c>
      <c r="I53" s="87">
        <f t="shared" si="5"/>
        <v>0.18888888888888888</v>
      </c>
    </row>
    <row r="54" spans="5:9" ht="15.75" x14ac:dyDescent="0.25">
      <c r="E54" s="82" t="s">
        <v>6</v>
      </c>
      <c r="F54" s="83" t="s">
        <v>84</v>
      </c>
      <c r="G54" s="84">
        <f>326</f>
        <v>326</v>
      </c>
      <c r="H54" s="88">
        <f>108*3</f>
        <v>324</v>
      </c>
      <c r="I54" s="86">
        <f t="shared" si="5"/>
        <v>-6.1728395061728669E-3</v>
      </c>
    </row>
  </sheetData>
  <mergeCells count="6">
    <mergeCell ref="E1:I1"/>
    <mergeCell ref="E45:I45"/>
    <mergeCell ref="L1:P1"/>
    <mergeCell ref="E12:I12"/>
    <mergeCell ref="E23:I23"/>
    <mergeCell ref="E34:I3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2024-12-26T21:38:30Z</dcterms:modified>
</cp:coreProperties>
</file>