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P:\Programs\FinalTask\Документы\"/>
    </mc:Choice>
  </mc:AlternateContent>
  <xr:revisionPtr revIDLastSave="0" documentId="13_ncr:1_{C7271F16-5105-4A49-AE95-ABA039EC8CC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3" l="1"/>
  <c r="H57" i="3"/>
  <c r="H58" i="3"/>
  <c r="H59" i="3"/>
  <c r="H60" i="3"/>
  <c r="H61" i="3"/>
  <c r="H62" i="3"/>
  <c r="H63" i="3"/>
  <c r="H64" i="3"/>
  <c r="H65" i="3"/>
  <c r="H66" i="3"/>
  <c r="H55" i="3"/>
  <c r="H18" i="2"/>
  <c r="H17" i="2"/>
  <c r="H16" i="2"/>
  <c r="H15" i="2"/>
  <c r="H14" i="2"/>
  <c r="H13" i="2"/>
  <c r="H12" i="2"/>
  <c r="G18" i="2"/>
  <c r="G17" i="2"/>
  <c r="G16" i="2"/>
  <c r="G15" i="2"/>
  <c r="G14" i="2"/>
  <c r="G13" i="2"/>
  <c r="O32" i="2"/>
  <c r="O30" i="2"/>
  <c r="O31" i="2"/>
  <c r="O29" i="2"/>
  <c r="P29" i="2" s="1"/>
  <c r="O28" i="2"/>
  <c r="P28" i="2" s="1"/>
  <c r="O27" i="2"/>
  <c r="P27" i="2" s="1"/>
  <c r="O26" i="2"/>
  <c r="G32" i="2"/>
  <c r="G31" i="2"/>
  <c r="G30" i="2"/>
  <c r="G29" i="2"/>
  <c r="G28" i="2"/>
  <c r="G27" i="2"/>
  <c r="P32" i="2"/>
  <c r="P31" i="2"/>
  <c r="P30" i="2"/>
  <c r="P26" i="2"/>
  <c r="G38" i="2"/>
  <c r="G63" i="3"/>
  <c r="G61" i="3"/>
  <c r="O2" i="3"/>
  <c r="O3" i="3"/>
  <c r="O5" i="3"/>
  <c r="O6" i="3"/>
  <c r="O7" i="3"/>
  <c r="O4" i="3"/>
  <c r="P4" i="3"/>
  <c r="D21" i="3"/>
  <c r="G21" i="3"/>
  <c r="E21" i="3"/>
  <c r="F21" i="3" s="1"/>
  <c r="G22" i="3"/>
  <c r="E22" i="3"/>
  <c r="F22" i="3" s="1"/>
  <c r="D22" i="3"/>
  <c r="C62" i="3"/>
  <c r="H21" i="3" l="1"/>
  <c r="H22" i="3"/>
  <c r="G35" i="3"/>
  <c r="E35" i="3"/>
  <c r="F35" i="3" s="1"/>
  <c r="E34" i="3"/>
  <c r="F34" i="3" s="1"/>
  <c r="G34" i="3"/>
  <c r="D34" i="3"/>
  <c r="Z3" i="3"/>
  <c r="Z4" i="3"/>
  <c r="Z5" i="3"/>
  <c r="Z6" i="3"/>
  <c r="Z7" i="3"/>
  <c r="Z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3" i="3"/>
  <c r="D24" i="3"/>
  <c r="D25" i="3"/>
  <c r="D26" i="3"/>
  <c r="D27" i="3"/>
  <c r="D28" i="3"/>
  <c r="D29" i="3"/>
  <c r="D30" i="3"/>
  <c r="D31" i="3"/>
  <c r="D32" i="3"/>
  <c r="D33" i="3"/>
  <c r="D35" i="3"/>
  <c r="D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3" i="3"/>
  <c r="G24" i="3"/>
  <c r="G25" i="3"/>
  <c r="G26" i="3"/>
  <c r="G27" i="3"/>
  <c r="G28" i="3"/>
  <c r="G29" i="3"/>
  <c r="G30" i="3"/>
  <c r="G31" i="3"/>
  <c r="G32" i="3"/>
  <c r="G33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2" i="3"/>
  <c r="C58" i="3"/>
  <c r="C57" i="3"/>
  <c r="C61" i="3"/>
  <c r="C59" i="3"/>
  <c r="H35" i="3" l="1"/>
  <c r="H34" i="3"/>
  <c r="H33" i="3"/>
  <c r="F2" i="3"/>
  <c r="H31" i="3"/>
  <c r="H5" i="3"/>
  <c r="H26" i="3"/>
  <c r="H32" i="3"/>
  <c r="G2" i="3"/>
  <c r="H29" i="3"/>
  <c r="H28" i="3"/>
  <c r="H27" i="3"/>
  <c r="H25" i="3"/>
  <c r="H24" i="3"/>
  <c r="H23" i="3"/>
  <c r="H20" i="3"/>
  <c r="H19" i="3"/>
  <c r="H18" i="3"/>
  <c r="H17" i="3"/>
  <c r="H16" i="3"/>
  <c r="H15" i="3"/>
  <c r="H14" i="3"/>
  <c r="H13" i="3"/>
  <c r="H12" i="3"/>
  <c r="H11" i="3"/>
  <c r="H10" i="3"/>
  <c r="H9" i="3"/>
  <c r="H7" i="3"/>
  <c r="H6" i="3"/>
  <c r="H4" i="3"/>
  <c r="H8" i="3"/>
  <c r="H3" i="3"/>
  <c r="H30" i="3"/>
  <c r="P2" i="3"/>
  <c r="P6" i="3"/>
  <c r="P7" i="3"/>
  <c r="C56" i="3"/>
  <c r="C55" i="3"/>
  <c r="G55" i="3" l="1"/>
  <c r="D55" i="3"/>
  <c r="H2" i="3"/>
  <c r="B67" i="3"/>
  <c r="P3" i="3" l="1"/>
  <c r="D57" i="3" l="1"/>
  <c r="W2" i="3" l="1"/>
  <c r="S7" i="3" l="1"/>
  <c r="S2" i="3"/>
  <c r="G57" i="3" l="1"/>
  <c r="A3" i="4" l="1"/>
  <c r="A4" i="4"/>
  <c r="A5" i="4"/>
  <c r="A6" i="4"/>
  <c r="A7" i="4"/>
  <c r="A8" i="4"/>
  <c r="A9" i="4"/>
  <c r="A10" i="4"/>
  <c r="A11" i="4"/>
  <c r="A12" i="4"/>
  <c r="A13" i="4"/>
  <c r="A2" i="4"/>
  <c r="F55" i="3" l="1"/>
  <c r="F58" i="3"/>
  <c r="F57" i="3"/>
  <c r="I57" i="3" s="1"/>
  <c r="F66" i="3"/>
  <c r="F64" i="3"/>
  <c r="F59" i="3"/>
  <c r="F65" i="3"/>
  <c r="F60" i="3"/>
  <c r="F56" i="3"/>
  <c r="F63" i="3"/>
  <c r="F62" i="3"/>
  <c r="F61" i="3"/>
  <c r="T7" i="3"/>
  <c r="C64" i="3"/>
  <c r="C63" i="3"/>
  <c r="C60" i="3"/>
  <c r="C65" i="3"/>
  <c r="C66" i="3"/>
  <c r="I55" i="3" l="1"/>
  <c r="I62" i="3"/>
  <c r="I61" i="3"/>
  <c r="G59" i="3"/>
  <c r="I59" i="3" s="1"/>
  <c r="G56" i="3"/>
  <c r="I56" i="3" s="1"/>
  <c r="G62" i="3"/>
  <c r="I63" i="3"/>
  <c r="G60" i="3"/>
  <c r="I60" i="3" s="1"/>
  <c r="G64" i="3"/>
  <c r="I64" i="3" s="1"/>
  <c r="G66" i="3"/>
  <c r="I66" i="3" s="1"/>
  <c r="G65" i="3"/>
  <c r="I65" i="3" s="1"/>
  <c r="G58" i="3"/>
  <c r="I58" i="3" s="1"/>
  <c r="D64" i="3" l="1"/>
  <c r="D65" i="3"/>
  <c r="D66" i="3"/>
  <c r="S6" i="3" l="1"/>
  <c r="S5" i="3"/>
  <c r="S3" i="3"/>
  <c r="S4" i="3"/>
  <c r="T2" i="3"/>
  <c r="T6" i="3"/>
  <c r="T3" i="3"/>
  <c r="S8" i="3" l="1"/>
  <c r="V3" i="3"/>
  <c r="V2" i="3"/>
  <c r="T4" i="3"/>
  <c r="D56" i="3"/>
  <c r="V6" i="3"/>
  <c r="D59" i="3"/>
  <c r="G44" i="2"/>
  <c r="G43" i="2"/>
  <c r="I43" i="2" s="1"/>
  <c r="G42" i="2"/>
  <c r="I42" i="2" s="1"/>
  <c r="G41" i="2"/>
  <c r="G40" i="2"/>
  <c r="G39" i="2"/>
  <c r="I39" i="2" s="1"/>
  <c r="I38" i="2"/>
  <c r="I12" i="2"/>
  <c r="I13" i="2"/>
  <c r="I14" i="2"/>
  <c r="I15" i="2"/>
  <c r="I16" i="2"/>
  <c r="I17" i="2"/>
  <c r="I18" i="2"/>
  <c r="V4" i="3" l="1"/>
  <c r="C67" i="3"/>
  <c r="D62" i="3"/>
  <c r="D63" i="3"/>
  <c r="D58" i="3"/>
  <c r="D60" i="3"/>
  <c r="D61" i="3"/>
  <c r="I40" i="2"/>
  <c r="I44" i="2"/>
  <c r="I41" i="2"/>
  <c r="I32" i="2"/>
  <c r="I31" i="2"/>
  <c r="I30" i="2"/>
  <c r="I29" i="2"/>
  <c r="I28" i="2"/>
  <c r="I27" i="2"/>
  <c r="I26" i="2"/>
  <c r="D67" i="3" l="1"/>
  <c r="P5" i="3" l="1"/>
  <c r="T5" i="3" s="1"/>
  <c r="V5" i="3" s="1"/>
  <c r="V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11" authorId="0" shapeId="0" xr:uid="{B91C9029-D6E5-4482-A601-0F0F390B208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19" authorId="0" shapeId="0" xr:uid="{9A5CA27F-54B3-4AFB-80C6-B51BE2763B0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19" authorId="0" shapeId="0" xr:uid="{4189638D-8260-4AC5-907A-D6860AFF092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30" authorId="0" shapeId="0" xr:uid="{BF7AADD9-B987-47E8-BE13-A354631555E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30" authorId="0" shapeId="0" xr:uid="{36B68B5A-12C9-4939-B7CD-6E0420F2A05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T31" authorId="0" shapeId="0" xr:uid="{BABE5B3D-14D2-416C-A4BF-A667A8D248CA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U31" authorId="0" shapeId="0" xr:uid="{714D9FA9-956D-47DA-B57A-6EDED59BCD7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<sst xmlns="http://schemas.openxmlformats.org/spreadsheetml/2006/main" count="269" uniqueCount="103">
  <si>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</si>
  <si>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</si>
  <si>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</si>
  <si>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</si>
  <si>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</si>
  <si>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</si>
  <si>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</si>
  <si>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</si>
  <si>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</si>
  <si>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</si>
  <si>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</si>
  <si>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</si>
  <si>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</si>
  <si>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</si>
  <si>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</si>
  <si>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</si>
  <si>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</si>
  <si>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</si>
  <si>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</si>
  <si>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</si>
  <si>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</si>
  <si>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</si>
  <si>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</si>
  <si>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</si>
  <si>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</si>
  <si>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</si>
  <si>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</si>
  <si>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</si>
  <si>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</si>
  <si>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</si>
  <si>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</si>
  <si>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</si>
  <si>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</si>
  <si>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</si>
  <si>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</si>
  <si>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</si>
  <si>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</si>
  <si>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</si>
  <si>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</si>
  <si>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</si>
  <si>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</si>
  <si>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</si>
  <si>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</si>
  <si>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</si>
  <si>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</si>
  <si>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</si>
  <si>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</si>
  <si>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</si>
  <si>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</si>
  <si>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</si>
  <si>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</si>
  <si>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</si>
  <si>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</si>
  <si>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</si>
  <si>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</si>
  <si>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</si>
  <si>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</si>
  <si>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</si>
  <si>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</si>
  <si>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</si>
  <si>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</si>
  <si>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</si>
  <si>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</si>
  <si>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</si>
  <si>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</si>
  <si>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</si>
  <si>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</si>
  <si>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</si>
  <si>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</si>
  <si>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</si>
  <si>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</si>
  <si>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</si>
  <si>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</si>
  <si>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</si>
  <si>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</si>
  <si>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</si>
  <si>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ScriptName</t>
  </si>
  <si>
    <t>Duration + Think_time</t>
  </si>
  <si>
    <t>Профиль</t>
  </si>
  <si>
    <t>Jmeter, throughput per minute</t>
  </si>
  <si>
    <t>Названия строк</t>
  </si>
  <si>
    <t>Общий итог</t>
  </si>
  <si>
    <t>BuyingTicket</t>
  </si>
  <si>
    <t>DeleteTicket</t>
  </si>
  <si>
    <t>Login</t>
  </si>
  <si>
    <t>Logout</t>
  </si>
  <si>
    <t>OpenLandingPage</t>
  </si>
  <si>
    <t>OpenPage_FindFlight</t>
  </si>
  <si>
    <t>OpenRegistrationPage</t>
  </si>
  <si>
    <t>press continue</t>
  </si>
  <si>
    <t>SubmitFlight</t>
  </si>
  <si>
    <t>UC1_LoginLogout</t>
  </si>
  <si>
    <t>UC2_SearchTicket</t>
  </si>
  <si>
    <t>UC3_BuyingTicket</t>
  </si>
  <si>
    <t>UC4_ViewTicketList</t>
  </si>
  <si>
    <t>UC5_DeleteTicket</t>
  </si>
  <si>
    <t>UC7_RandomUserRegistrtion</t>
  </si>
  <si>
    <t>СhooseDepartureTime</t>
  </si>
  <si>
    <t>UserRegistered</t>
  </si>
  <si>
    <t>ViewTicketList</t>
  </si>
  <si>
    <r>
      <t xml:space="preserve">Фактическая интенсивность в тесте </t>
    </r>
    <r>
      <rPr>
        <sz val="14"/>
        <color rgb="FFFF0000"/>
        <rFont val="Calibri"/>
        <family val="2"/>
        <charset val="204"/>
        <scheme val="minor"/>
      </rPr>
      <t>(-10% из-за 2 мин)</t>
    </r>
  </si>
  <si>
    <t>Поиск максимума 4 ступень</t>
  </si>
  <si>
    <r>
      <t xml:space="preserve">Профиль для 5 пользаков </t>
    </r>
    <r>
      <rPr>
        <sz val="11"/>
        <color rgb="FFFF0000"/>
        <rFont val="Calibri"/>
        <family val="2"/>
        <charset val="204"/>
        <scheme val="minor"/>
      </rPr>
      <t>(Я так понял это 5 ступень)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</si>
</sst>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4"/>
      <color rgb="FFFF0000"/>
      <name val="Calibri"/>
      <family val="2"/>
      <charset val="204"/>
      <scheme val="minor"/>
    </font>
    <font>
      <b/>
      <sz val="11"/>
      <color rgb="FFFF0000"/>
      <name val="Times New Roman"/>
      <family val="1"/>
      <charset val="204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0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28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8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8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8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8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8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9" fontId="29" fillId="0" borderId="0" applyFont="0" applyFill="0" applyBorder="0" applyAlignment="0" applyProtection="0"/>
    <xf numFmtId="0" fontId="4" fillId="0" borderId="0"/>
    <xf numFmtId="0" fontId="33" fillId="4" borderId="0" applyNumberFormat="0" applyBorder="0" applyAlignment="0" applyProtection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8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8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8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8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8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8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99">
    <xf numFmtId="0" fontId="0" fillId="0" borderId="0" xfId="0"/>
    <xf numFmtId="0" fontId="14" fillId="5" borderId="1" xfId="0" applyFont="1" applyFill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/>
    </xf>
    <xf numFmtId="0" fontId="13" fillId="0" borderId="2" xfId="4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left" vertical="top"/>
    </xf>
    <xf numFmtId="0" fontId="14" fillId="5" borderId="2" xfId="0" applyFont="1" applyFill="1" applyBorder="1" applyAlignment="1">
      <alignment horizontal="left" vertical="top"/>
    </xf>
    <xf numFmtId="0" fontId="5" fillId="0" borderId="2" xfId="42" applyBorder="1"/>
    <xf numFmtId="0" fontId="14" fillId="0" borderId="2" xfId="0" applyFont="1" applyBorder="1" applyAlignment="1">
      <alignment horizontal="left" vertical="top"/>
    </xf>
    <xf numFmtId="10" fontId="14" fillId="0" borderId="2" xfId="0" applyNumberFormat="1" applyFont="1" applyBorder="1" applyAlignment="1">
      <alignment horizontal="left" vertical="top"/>
    </xf>
    <xf numFmtId="0" fontId="13" fillId="0" borderId="2" xfId="4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5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9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9" fillId="39" borderId="14" xfId="0" applyFont="1" applyFill="1" applyBorder="1" applyAlignment="1">
      <alignment vertical="center" wrapText="1"/>
    </xf>
    <xf numFmtId="0" fontId="7" fillId="39" borderId="14" xfId="0" applyFont="1" applyFill="1" applyBorder="1" applyAlignment="1">
      <alignment horizontal="left" vertical="center" wrapText="1"/>
    </xf>
    <xf numFmtId="0" fontId="7" fillId="35" borderId="14" xfId="0" applyFont="1" applyFill="1" applyBorder="1" applyAlignment="1">
      <alignment horizontal="left" vertical="center" wrapText="1"/>
    </xf>
    <xf numFmtId="0" fontId="8" fillId="39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5" borderId="19" xfId="0" applyFill="1" applyBorder="1"/>
    <xf numFmtId="9" fontId="0" fillId="0" borderId="2" xfId="0" applyNumberFormat="1" applyBorder="1"/>
    <xf numFmtId="0" fontId="0" fillId="0" borderId="26" xfId="0" applyBorder="1"/>
    <xf numFmtId="0" fontId="30" fillId="0" borderId="22" xfId="0" applyFont="1" applyBorder="1"/>
    <xf numFmtId="9" fontId="0" fillId="0" borderId="27" xfId="0" applyNumberFormat="1" applyBorder="1"/>
    <xf numFmtId="0" fontId="9" fillId="39" borderId="19" xfId="0" applyFont="1" applyFill="1" applyBorder="1" applyAlignment="1">
      <alignment vertical="center" wrapText="1"/>
    </xf>
    <xf numFmtId="0" fontId="7" fillId="39" borderId="19" xfId="0" applyFont="1" applyFill="1" applyBorder="1" applyAlignment="1">
      <alignment horizontal="center" vertical="center" wrapText="1"/>
    </xf>
    <xf numFmtId="0" fontId="7" fillId="39" borderId="30" xfId="0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0" fillId="0" borderId="2" xfId="0" applyBorder="1"/>
    <xf numFmtId="0" fontId="34" fillId="0" borderId="25" xfId="0" applyFont="1" applyBorder="1"/>
    <xf numFmtId="0" fontId="34" fillId="42" borderId="22" xfId="0" applyFont="1" applyFill="1" applyBorder="1"/>
    <xf numFmtId="2" fontId="34" fillId="42" borderId="2" xfId="0" applyNumberFormat="1" applyFont="1" applyFill="1" applyBorder="1"/>
    <xf numFmtId="0" fontId="9" fillId="0" borderId="0" xfId="0" applyFont="1" applyAlignment="1">
      <alignment vertical="center" wrapText="1"/>
    </xf>
    <xf numFmtId="0" fontId="2" fillId="40" borderId="12" xfId="0" applyFont="1" applyFill="1" applyBorder="1"/>
    <xf numFmtId="0" fontId="2" fillId="40" borderId="14" xfId="0" applyFont="1" applyFill="1" applyBorder="1"/>
    <xf numFmtId="0" fontId="2" fillId="40" borderId="32" xfId="0" applyFont="1" applyFill="1" applyBorder="1"/>
    <xf numFmtId="0" fontId="2" fillId="40" borderId="15" xfId="0" applyFont="1" applyFill="1" applyBorder="1"/>
    <xf numFmtId="1" fontId="0" fillId="37" borderId="1" xfId="0" applyNumberFormat="1" applyFill="1" applyBorder="1"/>
    <xf numFmtId="1" fontId="0" fillId="0" borderId="1" xfId="0" applyNumberFormat="1" applyBorder="1"/>
    <xf numFmtId="1" fontId="0" fillId="35" borderId="1" xfId="0" applyNumberFormat="1" applyFill="1" applyBorder="1"/>
    <xf numFmtId="0" fontId="0" fillId="35" borderId="33" xfId="0" applyFill="1" applyBorder="1"/>
    <xf numFmtId="1" fontId="0" fillId="37" borderId="34" xfId="0" applyNumberFormat="1" applyFill="1" applyBorder="1"/>
    <xf numFmtId="1" fontId="0" fillId="0" borderId="34" xfId="0" applyNumberFormat="1" applyBorder="1"/>
    <xf numFmtId="1" fontId="0" fillId="35" borderId="34" xfId="0" applyNumberFormat="1" applyFill="1" applyBorder="1"/>
    <xf numFmtId="0" fontId="0" fillId="35" borderId="35" xfId="0" applyFill="1" applyBorder="1"/>
    <xf numFmtId="0" fontId="0" fillId="35" borderId="2" xfId="0" applyFill="1" applyBorder="1"/>
    <xf numFmtId="9" fontId="0" fillId="0" borderId="2" xfId="44" applyFont="1" applyFill="1" applyBorder="1"/>
    <xf numFmtId="0" fontId="0" fillId="43" borderId="0" xfId="0" applyFill="1" applyAlignment="1">
      <alignment horizontal="left"/>
    </xf>
    <xf numFmtId="0" fontId="2" fillId="0" borderId="0" xfId="0" applyFont="1"/>
    <xf numFmtId="0" fontId="0" fillId="0" borderId="31" xfId="0" applyBorder="1"/>
    <xf numFmtId="0" fontId="0" fillId="0" borderId="27" xfId="0" applyBorder="1"/>
    <xf numFmtId="0" fontId="0" fillId="0" borderId="20" xfId="0" applyBorder="1"/>
    <xf numFmtId="0" fontId="1" fillId="40" borderId="12" xfId="0" applyFont="1" applyFill="1" applyBorder="1"/>
    <xf numFmtId="0" fontId="2" fillId="40" borderId="36" xfId="0" applyFont="1" applyFill="1" applyBorder="1"/>
    <xf numFmtId="0" fontId="0" fillId="0" borderId="1" xfId="0" applyBorder="1"/>
    <xf numFmtId="0" fontId="0" fillId="0" borderId="38" xfId="0" applyBorder="1"/>
    <xf numFmtId="0" fontId="0" fillId="0" borderId="37" xfId="0" applyBorder="1"/>
    <xf numFmtId="0" fontId="0" fillId="0" borderId="35" xfId="0" applyBorder="1"/>
    <xf numFmtId="0" fontId="0" fillId="0" borderId="39" xfId="0" applyBorder="1"/>
    <xf numFmtId="0" fontId="0" fillId="0" borderId="29" xfId="0" applyBorder="1"/>
    <xf numFmtId="0" fontId="0" fillId="0" borderId="41" xfId="0" applyBorder="1"/>
    <xf numFmtId="0" fontId="0" fillId="0" borderId="40" xfId="0" applyBorder="1"/>
    <xf numFmtId="0" fontId="1" fillId="40" borderId="14" xfId="0" applyFont="1" applyFill="1" applyBorder="1"/>
    <xf numFmtId="0" fontId="1" fillId="40" borderId="15" xfId="0" applyFont="1" applyFill="1" applyBorder="1"/>
    <xf numFmtId="0" fontId="30" fillId="0" borderId="0" xfId="0" applyFont="1"/>
    <xf numFmtId="1" fontId="30" fillId="0" borderId="0" xfId="0" applyNumberFormat="1" applyFont="1"/>
    <xf numFmtId="0" fontId="0" fillId="0" borderId="2" xfId="0" quotePrefix="1" applyBorder="1"/>
    <xf numFmtId="1" fontId="0" fillId="40" borderId="2" xfId="0" applyNumberFormat="1" applyFill="1" applyBorder="1"/>
    <xf numFmtId="10" fontId="36" fillId="0" borderId="2" xfId="0" applyNumberFormat="1" applyFont="1" applyBorder="1" applyAlignment="1">
      <alignment horizontal="left" vertical="top"/>
    </xf>
    <xf numFmtId="0" fontId="14" fillId="5" borderId="1" xfId="0" applyFont="1" applyFill="1" applyBorder="1" applyAlignment="1">
      <alignment horizontal="center" vertical="top"/>
    </xf>
    <xf numFmtId="10" fontId="36" fillId="0" borderId="2" xfId="0" applyNumberFormat="1" applyFont="1" applyBorder="1" applyAlignment="1">
      <alignment horizontal="center" vertical="top"/>
    </xf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8">
    <dxf>
      <fill>
        <patternFill>
          <bgColor theme="4" tint="0.79998168889431442"/>
        </patternFill>
      </fill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 Клейменов" refreshedDate="45639.716504745367" createdVersion="8" refreshedVersion="8" minRefreshableVersion="3" recordCount="34" xr:uid="{15D61AD1-E1C1-4DCC-AFD6-4E9D9EE3EDD2}">
  <cacheSource type="worksheet">
    <worksheetSource ref="A1:H35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  <s v="Отмена бронирования "/>
      </sharedItems>
    </cacheField>
    <cacheField name="count" numFmtId="0">
      <sharedItems containsSemiMixedTypes="0" containsString="0" containsNumber="1" containsInteger="1" minValue="1" maxValue="4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36" maxValue="140"/>
    </cacheField>
    <cacheField name="одним пользователем в минуту" numFmtId="2">
      <sharedItems containsSemiMixedTypes="0" containsString="0" containsNumber="1" minValue="0.42857142857142855" maxValue="1.71428571428571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8.5714285714285712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Покупка билета"/>
    <x v="0"/>
    <n v="1"/>
    <n v="2"/>
    <n v="101"/>
    <n v="0.59405940594059403"/>
    <n v="20"/>
    <n v="23.762376237623762"/>
  </r>
  <r>
    <s v="Покупка билета"/>
    <x v="1"/>
    <n v="1"/>
    <n v="2"/>
    <n v="101"/>
    <n v="0.59405940594059403"/>
    <n v="20"/>
    <n v="23.762376237623762"/>
  </r>
  <r>
    <s v="Покупка билета"/>
    <x v="2"/>
    <n v="1"/>
    <n v="2"/>
    <n v="101"/>
    <n v="0.59405940594059403"/>
    <n v="20"/>
    <n v="23.762376237623762"/>
  </r>
  <r>
    <s v="Покупка билета"/>
    <x v="3"/>
    <n v="1"/>
    <n v="2"/>
    <n v="101"/>
    <n v="0.59405940594059403"/>
    <n v="20"/>
    <n v="23.762376237623762"/>
  </r>
  <r>
    <s v="Покупка билета"/>
    <x v="4"/>
    <n v="1"/>
    <n v="2"/>
    <n v="101"/>
    <n v="0.59405940594059403"/>
    <n v="20"/>
    <n v="23.762376237623762"/>
  </r>
  <r>
    <s v="Покупка билета"/>
    <x v="5"/>
    <n v="1"/>
    <n v="2"/>
    <n v="101"/>
    <n v="0.59405940594059403"/>
    <n v="20"/>
    <n v="23.762376237623762"/>
  </r>
  <r>
    <s v="Покупка билета"/>
    <x v="6"/>
    <n v="1"/>
    <n v="2"/>
    <n v="101"/>
    <n v="0.59405940594059403"/>
    <n v="20"/>
    <n v="23.762376237623762"/>
  </r>
  <r>
    <s v="Логин"/>
    <x v="0"/>
    <n v="1"/>
    <n v="2"/>
    <n v="60"/>
    <n v="1"/>
    <n v="20"/>
    <n v="40"/>
  </r>
  <r>
    <s v="Логин"/>
    <x v="1"/>
    <n v="1"/>
    <n v="2"/>
    <n v="60"/>
    <n v="1"/>
    <n v="20"/>
    <n v="40"/>
  </r>
  <r>
    <s v="Логин"/>
    <x v="7"/>
    <n v="1"/>
    <n v="2"/>
    <n v="60"/>
    <n v="1"/>
    <n v="20"/>
    <n v="40"/>
  </r>
  <r>
    <s v="Регистрация новых пользователей"/>
    <x v="0"/>
    <n v="1"/>
    <n v="1"/>
    <n v="36"/>
    <n v="1.6666666666666667"/>
    <n v="20"/>
    <n v="33.333333333333336"/>
  </r>
  <r>
    <s v="Регистрация новых пользователей"/>
    <x v="8"/>
    <n v="1"/>
    <n v="1"/>
    <n v="36"/>
    <n v="1.6666666666666667"/>
    <n v="20"/>
    <n v="33.333333333333336"/>
  </r>
  <r>
    <s v="Регистрация новых пользователей"/>
    <x v="9"/>
    <n v="1"/>
    <n v="1"/>
    <n v="36"/>
    <n v="1.6666666666666667"/>
    <n v="20"/>
    <n v="33.333333333333336"/>
  </r>
  <r>
    <s v="Регистрация новых пользователей"/>
    <x v="10"/>
    <n v="1"/>
    <n v="1"/>
    <n v="36"/>
    <n v="1.6666666666666667"/>
    <n v="20"/>
    <n v="33.333333333333336"/>
  </r>
  <r>
    <s v="Регистрация новых пользователей"/>
    <x v="7"/>
    <n v="1"/>
    <n v="1"/>
    <n v="36"/>
    <n v="1.6666666666666667"/>
    <n v="20"/>
    <n v="33.333333333333336"/>
  </r>
  <r>
    <s v="Удаление бронирования "/>
    <x v="0"/>
    <n v="1"/>
    <n v="1"/>
    <n v="140"/>
    <n v="0.42857142857142855"/>
    <n v="20"/>
    <n v="8.5714285714285712"/>
  </r>
  <r>
    <s v="Удаление бронирования "/>
    <x v="1"/>
    <n v="1"/>
    <n v="1"/>
    <n v="140"/>
    <n v="0.42857142857142855"/>
    <n v="20"/>
    <n v="8.5714285714285712"/>
  </r>
  <r>
    <s v="Удаление бронирования "/>
    <x v="2"/>
    <n v="1"/>
    <n v="1"/>
    <n v="140"/>
    <n v="0.42857142857142855"/>
    <n v="20"/>
    <n v="8.5714285714285712"/>
  </r>
  <r>
    <s v="Удаление бронирования "/>
    <x v="3"/>
    <n v="1"/>
    <n v="1"/>
    <n v="140"/>
    <n v="0.42857142857142855"/>
    <n v="20"/>
    <n v="8.5714285714285712"/>
  </r>
  <r>
    <s v="Удаление бронирования "/>
    <x v="6"/>
    <n v="4"/>
    <n v="1"/>
    <n v="140"/>
    <n v="1.7142857142857142"/>
    <n v="20"/>
    <n v="34.285714285714285"/>
  </r>
  <r>
    <s v="Удаление бронирования "/>
    <x v="11"/>
    <n v="3"/>
    <n v="1"/>
    <n v="140"/>
    <n v="1.2857142857142856"/>
    <n v="20"/>
    <n v="25.714285714285712"/>
  </r>
  <r>
    <s v="Поиск билета без покупки"/>
    <x v="0"/>
    <n v="1"/>
    <n v="2"/>
    <n v="80"/>
    <n v="0.75"/>
    <n v="20"/>
    <n v="30"/>
  </r>
  <r>
    <s v="Поиск билета без покупки"/>
    <x v="1"/>
    <n v="1"/>
    <n v="2"/>
    <n v="80"/>
    <n v="0.75"/>
    <n v="20"/>
    <n v="30"/>
  </r>
  <r>
    <s v="Поиск билета без покупки"/>
    <x v="2"/>
    <n v="1"/>
    <n v="2"/>
    <n v="80"/>
    <n v="0.75"/>
    <n v="20"/>
    <n v="30"/>
  </r>
  <r>
    <s v="Поиск билета без покупки"/>
    <x v="3"/>
    <n v="1"/>
    <n v="2"/>
    <n v="80"/>
    <n v="0.75"/>
    <n v="20"/>
    <n v="30"/>
  </r>
  <r>
    <s v="Поиск билета без покупки"/>
    <x v="4"/>
    <n v="1"/>
    <n v="2"/>
    <n v="80"/>
    <n v="0.75"/>
    <n v="20"/>
    <n v="30"/>
  </r>
  <r>
    <s v="Поиск билета без покупки"/>
    <x v="7"/>
    <n v="1"/>
    <n v="2"/>
    <n v="80"/>
    <n v="0.75"/>
    <n v="20"/>
    <n v="30"/>
  </r>
  <r>
    <s v="Ознакомление с путевым листом"/>
    <x v="0"/>
    <n v="1"/>
    <n v="2"/>
    <n v="70"/>
    <n v="0.8571428571428571"/>
    <n v="20"/>
    <n v="34.285714285714285"/>
  </r>
  <r>
    <s v="Ознакомление с путевым листом"/>
    <x v="1"/>
    <n v="1"/>
    <n v="2"/>
    <n v="70"/>
    <n v="0.8571428571428571"/>
    <n v="20"/>
    <n v="34.285714285714285"/>
  </r>
  <r>
    <s v="Ознакомление с путевым листом"/>
    <x v="2"/>
    <n v="1"/>
    <n v="2"/>
    <n v="70"/>
    <n v="0.8571428571428571"/>
    <n v="20"/>
    <n v="34.285714285714285"/>
  </r>
  <r>
    <s v="Ознакомление с путевым листом"/>
    <x v="3"/>
    <n v="1"/>
    <n v="2"/>
    <n v="70"/>
    <n v="0.8571428571428571"/>
    <n v="20"/>
    <n v="34.285714285714285"/>
  </r>
  <r>
    <s v="Ознакомление с путевым листом"/>
    <x v="4"/>
    <n v="1"/>
    <n v="2"/>
    <n v="70"/>
    <n v="0.8571428571428571"/>
    <n v="20"/>
    <n v="34.285714285714285"/>
  </r>
  <r>
    <s v="Ознакомление с путевым листом"/>
    <x v="5"/>
    <n v="1"/>
    <n v="2"/>
    <n v="70"/>
    <n v="0.8571428571428571"/>
    <n v="20"/>
    <n v="34.285714285714285"/>
  </r>
  <r>
    <s v="Ознакомление с путевым листом"/>
    <x v="6"/>
    <n v="1"/>
    <n v="2"/>
    <n v="70"/>
    <n v="0.8571428571428571"/>
    <n v="20"/>
    <n v="34.285714285714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7D804-B564-4097-BC7C-27756DD55E4E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11"/>
        <item x="6"/>
        <item x="0"/>
        <item x="8"/>
        <item x="9"/>
        <item x="1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dataOnly="0" labelOnly="1" fieldPosition="0">
        <references count="1"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9"/>
  <sheetViews>
    <sheetView topLeftCell="A46" zoomScale="85" zoomScaleNormal="85" workbookViewId="0">
      <selection activeCell="J57" sqref="J57"/>
    </sheetView>
  </sheetViews>
  <sheetFormatPr defaultColWidth="11.42578125" defaultRowHeight="15" x14ac:dyDescent="0.25"/>
  <cols>
    <col min="1" max="1" width="33.85546875" customWidth="1"/>
    <col min="2" max="2" width="46.5703125" customWidth="1"/>
    <col min="3" max="3" width="18.140625" customWidth="1"/>
    <col min="4" max="4" width="17.85546875" customWidth="1"/>
    <col min="5" max="5" width="13.5703125" customWidth="1"/>
    <col min="6" max="6" width="33.42578125" customWidth="1"/>
    <col min="7" max="7" width="34.28515625" customWidth="1"/>
    <col min="8" max="8" width="27.28515625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85546875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</cols>
  <sheetData>
    <row r="1" spans="1:26" ht="15.75" thickBot="1" x14ac:dyDescent="0.3">
      <c r="A1" s="21" t="s">
        <v>36</v>
      </c>
      <c r="B1" s="21" t="s">
        <v>37</v>
      </c>
      <c r="C1" s="21" t="s">
        <v>38</v>
      </c>
      <c r="D1" s="21" t="s">
        <v>40</v>
      </c>
      <c r="E1" s="21" t="s">
        <v>49</v>
      </c>
      <c r="F1" s="21" t="s">
        <v>50</v>
      </c>
      <c r="G1" s="21" t="s">
        <v>51</v>
      </c>
      <c r="H1" s="21" t="s">
        <v>7</v>
      </c>
      <c r="I1" s="13" t="s">
        <v>80</v>
      </c>
      <c r="J1" t="s">
        <v>48</v>
      </c>
      <c r="M1" s="35" t="s">
        <v>39</v>
      </c>
      <c r="N1" s="36" t="s">
        <v>41</v>
      </c>
      <c r="O1" s="36" t="s">
        <v>42</v>
      </c>
      <c r="P1" s="36" t="s">
        <v>77</v>
      </c>
      <c r="Q1" s="36" t="s">
        <v>43</v>
      </c>
      <c r="R1" s="36" t="s">
        <v>40</v>
      </c>
      <c r="S1" s="43" t="s">
        <v>46</v>
      </c>
      <c r="T1" s="53" t="s">
        <v>79</v>
      </c>
      <c r="U1" s="44" t="s">
        <v>44</v>
      </c>
      <c r="V1" s="44" t="s">
        <v>45</v>
      </c>
      <c r="W1" s="29" t="s">
        <v>47</v>
      </c>
    </row>
    <row r="2" spans="1:26" ht="15.75" thickBot="1" x14ac:dyDescent="0.3">
      <c r="A2" s="56" t="s">
        <v>8</v>
      </c>
      <c r="B2" s="43" t="s">
        <v>58</v>
      </c>
      <c r="C2" s="72">
        <v>1</v>
      </c>
      <c r="D2" s="74">
        <f>VLOOKUP(A2,$M$1:$X$8,6,FALSE)</f>
        <v>2</v>
      </c>
      <c r="E2">
        <f>VLOOKUP(A2,$M$1:$X$8,5,FALSE)</f>
        <v>101</v>
      </c>
      <c r="F2" s="16">
        <f>60/E2*C2</f>
        <v>0.59405940594059403</v>
      </c>
      <c r="G2">
        <f>VLOOKUP(A2,$M$1:$X$8,9,FALSE)</f>
        <v>20</v>
      </c>
      <c r="H2" s="15">
        <f>D2*F2*G2</f>
        <v>23.762376237623762</v>
      </c>
      <c r="I2" s="14" t="s">
        <v>0</v>
      </c>
      <c r="J2" s="15">
        <v>136.61951909476662</v>
      </c>
      <c r="M2" s="38" t="s">
        <v>8</v>
      </c>
      <c r="N2" s="17">
        <v>1.9</v>
      </c>
      <c r="O2" s="32">
        <f>5*6</f>
        <v>30</v>
      </c>
      <c r="P2" s="33">
        <f>N2+O2</f>
        <v>31.9</v>
      </c>
      <c r="Q2" s="22">
        <v>101</v>
      </c>
      <c r="R2" s="41">
        <v>2</v>
      </c>
      <c r="S2" s="42">
        <f>R2/W$2</f>
        <v>0.2</v>
      </c>
      <c r="T2" s="54">
        <f t="shared" ref="T2:T7" si="0">60/(Q2)</f>
        <v>0.59405940594059403</v>
      </c>
      <c r="U2" s="87">
        <v>20</v>
      </c>
      <c r="V2" s="88">
        <f>ROUND(R2*T2*U2,0)</f>
        <v>24</v>
      </c>
      <c r="W2" s="27">
        <f>SUM(R2:R7)</f>
        <v>10</v>
      </c>
      <c r="Y2">
        <v>10</v>
      </c>
      <c r="Z2">
        <f>Q2+((Q2/100)*Y2)</f>
        <v>111.1</v>
      </c>
    </row>
    <row r="3" spans="1:26" ht="15.75" thickBot="1" x14ac:dyDescent="0.3">
      <c r="A3" s="57" t="s">
        <v>8</v>
      </c>
      <c r="B3" s="51" t="s">
        <v>0</v>
      </c>
      <c r="C3" s="72">
        <v>1</v>
      </c>
      <c r="D3" s="74">
        <f t="shared" ref="D3:D8" si="1">VLOOKUP(A3,$M$1:$X$8,6,FALSE)</f>
        <v>2</v>
      </c>
      <c r="E3">
        <f t="shared" ref="E3:E8" si="2">VLOOKUP(A3,$M$1:$X$8,5,FALSE)</f>
        <v>101</v>
      </c>
      <c r="F3" s="16">
        <f t="shared" ref="F3:F8" si="3">60/E3*C3</f>
        <v>0.59405940594059403</v>
      </c>
      <c r="G3">
        <f t="shared" ref="G3:G8" si="4">VLOOKUP(A3,$M$1:$X$8,9,FALSE)</f>
        <v>20</v>
      </c>
      <c r="H3" s="15">
        <f t="shared" ref="H3:H8" si="5">D3*F3*G3</f>
        <v>23.762376237623762</v>
      </c>
      <c r="I3" s="14" t="s">
        <v>12</v>
      </c>
      <c r="J3" s="15">
        <v>88.048090523338047</v>
      </c>
      <c r="M3" s="38" t="s">
        <v>9</v>
      </c>
      <c r="N3" s="17">
        <v>1.5</v>
      </c>
      <c r="O3" s="32">
        <f>2*10</f>
        <v>20</v>
      </c>
      <c r="P3" s="33">
        <f t="shared" ref="P3:P7" si="6">N3+O3</f>
        <v>21.5</v>
      </c>
      <c r="Q3" s="22">
        <v>140</v>
      </c>
      <c r="R3" s="41">
        <v>1</v>
      </c>
      <c r="S3" s="42">
        <f t="shared" ref="S3:S6" si="7">R3/W$2</f>
        <v>0.1</v>
      </c>
      <c r="T3" s="54">
        <f t="shared" si="0"/>
        <v>0.42857142857142855</v>
      </c>
      <c r="U3" s="87">
        <v>20</v>
      </c>
      <c r="V3" s="88">
        <f>ROUND(R3*T3*U3,0)</f>
        <v>9</v>
      </c>
      <c r="W3" s="27"/>
      <c r="Y3">
        <v>10</v>
      </c>
      <c r="Z3">
        <f t="shared" ref="Z3:Z7" si="8">Q3+((Q3/100)*Y3)</f>
        <v>154</v>
      </c>
    </row>
    <row r="4" spans="1:26" ht="15.75" thickBot="1" x14ac:dyDescent="0.3">
      <c r="A4" s="57" t="s">
        <v>8</v>
      </c>
      <c r="B4" s="51" t="s">
        <v>65</v>
      </c>
      <c r="C4" s="72">
        <v>1</v>
      </c>
      <c r="D4" s="74">
        <f t="shared" si="1"/>
        <v>2</v>
      </c>
      <c r="E4">
        <f t="shared" si="2"/>
        <v>101</v>
      </c>
      <c r="F4" s="16">
        <f t="shared" si="3"/>
        <v>0.59405940594059403</v>
      </c>
      <c r="G4">
        <f t="shared" si="4"/>
        <v>20</v>
      </c>
      <c r="H4" s="15">
        <f t="shared" si="5"/>
        <v>23.762376237623762</v>
      </c>
      <c r="I4" s="14" t="s">
        <v>6</v>
      </c>
      <c r="J4" s="15">
        <v>103.33333333333334</v>
      </c>
      <c r="M4" s="38" t="s">
        <v>57</v>
      </c>
      <c r="N4" s="17">
        <v>1</v>
      </c>
      <c r="O4" s="32">
        <f>4*4</f>
        <v>16</v>
      </c>
      <c r="P4" s="33">
        <f t="shared" si="6"/>
        <v>17</v>
      </c>
      <c r="Q4" s="22">
        <v>36</v>
      </c>
      <c r="R4" s="41">
        <v>1</v>
      </c>
      <c r="S4" s="42">
        <f t="shared" si="7"/>
        <v>0.1</v>
      </c>
      <c r="T4" s="54">
        <f t="shared" si="0"/>
        <v>1.6666666666666667</v>
      </c>
      <c r="U4" s="87">
        <v>20</v>
      </c>
      <c r="V4" s="88">
        <f>ROUND(R4*T4*U4,0)</f>
        <v>33</v>
      </c>
      <c r="W4" s="27"/>
      <c r="Y4">
        <v>10</v>
      </c>
      <c r="Z4">
        <f t="shared" si="8"/>
        <v>39.6</v>
      </c>
    </row>
    <row r="5" spans="1:26" ht="15.75" thickBot="1" x14ac:dyDescent="0.3">
      <c r="A5" s="57" t="s">
        <v>8</v>
      </c>
      <c r="B5" s="51" t="s">
        <v>11</v>
      </c>
      <c r="C5" s="72">
        <v>1</v>
      </c>
      <c r="D5" s="74">
        <f t="shared" si="1"/>
        <v>2</v>
      </c>
      <c r="E5">
        <f t="shared" si="2"/>
        <v>101</v>
      </c>
      <c r="F5" s="16">
        <f t="shared" si="3"/>
        <v>0.59405940594059403</v>
      </c>
      <c r="G5">
        <f t="shared" si="4"/>
        <v>20</v>
      </c>
      <c r="H5" s="15">
        <f t="shared" si="5"/>
        <v>23.762376237623762</v>
      </c>
      <c r="I5" s="14" t="s">
        <v>11</v>
      </c>
      <c r="J5" s="15">
        <v>96.619519094766616</v>
      </c>
      <c r="M5" s="38" t="s">
        <v>62</v>
      </c>
      <c r="N5" s="17">
        <v>1.7</v>
      </c>
      <c r="O5" s="60">
        <f>5*5</f>
        <v>25</v>
      </c>
      <c r="P5" s="61">
        <f>N5+O5</f>
        <v>26.7</v>
      </c>
      <c r="Q5" s="62">
        <v>80</v>
      </c>
      <c r="R5" s="63">
        <v>2</v>
      </c>
      <c r="S5" s="42">
        <f t="shared" si="7"/>
        <v>0.2</v>
      </c>
      <c r="T5" s="54">
        <f t="shared" si="0"/>
        <v>0.75</v>
      </c>
      <c r="U5" s="87">
        <v>20</v>
      </c>
      <c r="V5" s="88">
        <f>ROUND(R5*T5*U5,0)</f>
        <v>30</v>
      </c>
      <c r="W5" s="27"/>
      <c r="Y5">
        <v>10</v>
      </c>
      <c r="Z5">
        <f t="shared" si="8"/>
        <v>88</v>
      </c>
    </row>
    <row r="6" spans="1:26" ht="15.75" thickBot="1" x14ac:dyDescent="0.3">
      <c r="A6" s="57" t="s">
        <v>8</v>
      </c>
      <c r="B6" s="51" t="s">
        <v>12</v>
      </c>
      <c r="C6" s="72">
        <v>1</v>
      </c>
      <c r="D6" s="74">
        <f t="shared" si="1"/>
        <v>2</v>
      </c>
      <c r="E6">
        <f t="shared" si="2"/>
        <v>101</v>
      </c>
      <c r="F6" s="16">
        <f t="shared" si="3"/>
        <v>0.59405940594059403</v>
      </c>
      <c r="G6">
        <f t="shared" si="4"/>
        <v>20</v>
      </c>
      <c r="H6" s="15">
        <f t="shared" si="5"/>
        <v>23.762376237623762</v>
      </c>
      <c r="I6" s="14" t="s">
        <v>3</v>
      </c>
      <c r="J6" s="15">
        <v>58.048090523338047</v>
      </c>
      <c r="M6" s="38" t="s">
        <v>10</v>
      </c>
      <c r="N6" s="17">
        <v>0.9</v>
      </c>
      <c r="O6" s="32">
        <f>4*7</f>
        <v>28</v>
      </c>
      <c r="P6" s="33">
        <f>N6+O6</f>
        <v>28.9</v>
      </c>
      <c r="Q6" s="22">
        <v>70</v>
      </c>
      <c r="R6" s="68">
        <v>2</v>
      </c>
      <c r="S6" s="42">
        <f t="shared" si="7"/>
        <v>0.2</v>
      </c>
      <c r="T6" s="54">
        <f t="shared" si="0"/>
        <v>0.8571428571428571</v>
      </c>
      <c r="U6" s="87">
        <v>20</v>
      </c>
      <c r="V6" s="88">
        <f>ROUND(R6*T6*U6,0)</f>
        <v>34</v>
      </c>
      <c r="W6" s="27"/>
      <c r="Y6">
        <v>10</v>
      </c>
      <c r="Z6">
        <f t="shared" si="8"/>
        <v>77</v>
      </c>
    </row>
    <row r="7" spans="1:26" ht="15.75" thickBot="1" x14ac:dyDescent="0.3">
      <c r="A7" s="58" t="s">
        <v>8</v>
      </c>
      <c r="B7" s="51" t="s">
        <v>3</v>
      </c>
      <c r="C7" s="72">
        <v>1</v>
      </c>
      <c r="D7" s="74">
        <f t="shared" si="1"/>
        <v>2</v>
      </c>
      <c r="E7">
        <f t="shared" si="2"/>
        <v>101</v>
      </c>
      <c r="F7" s="16">
        <f t="shared" si="3"/>
        <v>0.59405940594059403</v>
      </c>
      <c r="G7">
        <f t="shared" si="4"/>
        <v>20</v>
      </c>
      <c r="H7" s="15">
        <f t="shared" si="5"/>
        <v>23.762376237623762</v>
      </c>
      <c r="I7" s="14" t="s">
        <v>13</v>
      </c>
      <c r="J7" s="15">
        <v>25.714285714285712</v>
      </c>
      <c r="M7" s="38" t="s">
        <v>63</v>
      </c>
      <c r="N7" s="17">
        <v>0.9</v>
      </c>
      <c r="O7" s="64">
        <f>5*2</f>
        <v>10</v>
      </c>
      <c r="P7" s="65">
        <f t="shared" si="6"/>
        <v>10.9</v>
      </c>
      <c r="Q7" s="66">
        <v>60</v>
      </c>
      <c r="R7" s="67">
        <v>2</v>
      </c>
      <c r="S7" s="42">
        <f>R7/W$2</f>
        <v>0.2</v>
      </c>
      <c r="T7" s="54">
        <f t="shared" si="0"/>
        <v>1</v>
      </c>
      <c r="U7" s="87">
        <v>20</v>
      </c>
      <c r="V7" s="88">
        <f>SUM(V2:V6)</f>
        <v>130</v>
      </c>
      <c r="W7" s="27"/>
      <c r="Y7">
        <v>10</v>
      </c>
      <c r="Z7">
        <f t="shared" si="8"/>
        <v>66</v>
      </c>
    </row>
    <row r="8" spans="1:26" ht="15.75" thickBot="1" x14ac:dyDescent="0.3">
      <c r="A8" s="76" t="s">
        <v>8</v>
      </c>
      <c r="B8" s="77" t="s">
        <v>4</v>
      </c>
      <c r="C8" s="82">
        <v>1</v>
      </c>
      <c r="D8" s="74">
        <f t="shared" si="1"/>
        <v>2</v>
      </c>
      <c r="E8">
        <f t="shared" si="2"/>
        <v>101</v>
      </c>
      <c r="F8" s="16">
        <f t="shared" si="3"/>
        <v>0.59405940594059403</v>
      </c>
      <c r="G8">
        <f t="shared" si="4"/>
        <v>20</v>
      </c>
      <c r="H8" s="15">
        <f t="shared" si="5"/>
        <v>23.762376237623762</v>
      </c>
      <c r="I8" s="70" t="s">
        <v>4</v>
      </c>
      <c r="J8" s="15">
        <v>92.333804809052339</v>
      </c>
      <c r="M8" s="39"/>
      <c r="N8" s="40"/>
      <c r="O8" s="40"/>
      <c r="P8" s="40"/>
      <c r="Q8" s="40"/>
      <c r="R8" s="40"/>
      <c r="S8" s="45">
        <f>SUM(S2:S7)</f>
        <v>1</v>
      </c>
      <c r="T8" s="52"/>
      <c r="U8" s="40"/>
      <c r="V8" s="40"/>
      <c r="W8" s="28"/>
    </row>
    <row r="9" spans="1:26" ht="15.75" thickBot="1" x14ac:dyDescent="0.3">
      <c r="A9" s="75" t="s">
        <v>63</v>
      </c>
      <c r="B9" s="43" t="s">
        <v>58</v>
      </c>
      <c r="C9" s="84">
        <v>1</v>
      </c>
      <c r="D9" s="79">
        <f t="shared" ref="D9:D21" si="9">VLOOKUP(A9,$M$1:$X$8,6,FALSE)</f>
        <v>2</v>
      </c>
      <c r="E9">
        <f t="shared" ref="E9:E20" si="10">VLOOKUP(A9,$M$1:$X$8,5,FALSE)</f>
        <v>60</v>
      </c>
      <c r="F9" s="16">
        <f t="shared" ref="F9:F20" si="11">60/E9*C9</f>
        <v>1</v>
      </c>
      <c r="G9">
        <f t="shared" ref="G9:G20" si="12">VLOOKUP(A9,$M$1:$X$8,9,FALSE)</f>
        <v>20</v>
      </c>
      <c r="H9" s="15">
        <f t="shared" ref="H9:H21" si="13">D9*F9*G9</f>
        <v>40</v>
      </c>
      <c r="I9" s="14" t="s">
        <v>58</v>
      </c>
      <c r="J9" s="15">
        <v>169.95285242809996</v>
      </c>
    </row>
    <row r="10" spans="1:26" ht="15.75" thickBot="1" x14ac:dyDescent="0.3">
      <c r="A10" s="85" t="s">
        <v>63</v>
      </c>
      <c r="B10" s="51" t="s">
        <v>0</v>
      </c>
      <c r="C10" s="83">
        <v>1</v>
      </c>
      <c r="D10" s="79">
        <f t="shared" si="9"/>
        <v>2</v>
      </c>
      <c r="E10">
        <f t="shared" si="10"/>
        <v>60</v>
      </c>
      <c r="F10" s="16">
        <f t="shared" si="11"/>
        <v>1</v>
      </c>
      <c r="G10">
        <f t="shared" si="12"/>
        <v>20</v>
      </c>
      <c r="H10" s="15">
        <f t="shared" si="13"/>
        <v>40</v>
      </c>
      <c r="I10" s="14" t="s">
        <v>60</v>
      </c>
      <c r="J10" s="15">
        <v>33.333333333333336</v>
      </c>
      <c r="Q10" s="15"/>
    </row>
    <row r="11" spans="1:26" ht="15.75" thickBot="1" x14ac:dyDescent="0.3">
      <c r="A11" s="86" t="s">
        <v>63</v>
      </c>
      <c r="B11" s="73" t="s">
        <v>6</v>
      </c>
      <c r="C11" s="83">
        <v>1</v>
      </c>
      <c r="D11" s="79">
        <f t="shared" si="9"/>
        <v>2</v>
      </c>
      <c r="E11">
        <f t="shared" si="10"/>
        <v>60</v>
      </c>
      <c r="F11" s="16">
        <f t="shared" si="11"/>
        <v>1</v>
      </c>
      <c r="G11">
        <f t="shared" si="12"/>
        <v>20</v>
      </c>
      <c r="H11" s="15">
        <f t="shared" si="13"/>
        <v>40</v>
      </c>
      <c r="I11" s="14" t="s">
        <v>59</v>
      </c>
      <c r="J11" s="15">
        <v>33.333333333333336</v>
      </c>
      <c r="P11" s="15"/>
    </row>
    <row r="12" spans="1:26" ht="15.75" thickBot="1" x14ac:dyDescent="0.3">
      <c r="A12" s="56" t="s">
        <v>57</v>
      </c>
      <c r="B12" s="43" t="s">
        <v>58</v>
      </c>
      <c r="C12" s="84">
        <v>1</v>
      </c>
      <c r="D12" s="79">
        <f t="shared" si="9"/>
        <v>1</v>
      </c>
      <c r="E12">
        <f t="shared" si="10"/>
        <v>36</v>
      </c>
      <c r="F12" s="16">
        <f t="shared" si="11"/>
        <v>1.6666666666666667</v>
      </c>
      <c r="G12">
        <f t="shared" si="12"/>
        <v>20</v>
      </c>
      <c r="H12" s="15">
        <f t="shared" si="13"/>
        <v>33.333333333333336</v>
      </c>
      <c r="I12" s="14" t="s">
        <v>61</v>
      </c>
      <c r="J12" s="15">
        <v>33.333333333333336</v>
      </c>
      <c r="P12" s="15"/>
    </row>
    <row r="13" spans="1:26" ht="15.75" thickBot="1" x14ac:dyDescent="0.3">
      <c r="A13" s="57" t="s">
        <v>57</v>
      </c>
      <c r="B13" s="51" t="s">
        <v>60</v>
      </c>
      <c r="C13" s="80">
        <v>1</v>
      </c>
      <c r="D13" s="81">
        <f t="shared" si="9"/>
        <v>1</v>
      </c>
      <c r="E13">
        <f t="shared" si="10"/>
        <v>36</v>
      </c>
      <c r="F13" s="16">
        <f t="shared" si="11"/>
        <v>1.6666666666666667</v>
      </c>
      <c r="G13">
        <f t="shared" si="12"/>
        <v>20</v>
      </c>
      <c r="H13" s="15">
        <f t="shared" si="13"/>
        <v>33.333333333333336</v>
      </c>
      <c r="I13" s="14" t="s">
        <v>65</v>
      </c>
      <c r="J13" s="15">
        <v>96.619519094766616</v>
      </c>
      <c r="P13" s="15"/>
    </row>
    <row r="14" spans="1:26" ht="15.75" thickBot="1" x14ac:dyDescent="0.3">
      <c r="A14" s="57" t="s">
        <v>57</v>
      </c>
      <c r="B14" s="51" t="s">
        <v>59</v>
      </c>
      <c r="C14" s="72">
        <v>1</v>
      </c>
      <c r="D14" s="74">
        <f t="shared" si="9"/>
        <v>1</v>
      </c>
      <c r="E14">
        <f t="shared" si="10"/>
        <v>36</v>
      </c>
      <c r="F14" s="16">
        <f t="shared" si="11"/>
        <v>1.6666666666666667</v>
      </c>
      <c r="G14">
        <f t="shared" si="12"/>
        <v>20</v>
      </c>
      <c r="H14" s="15">
        <f t="shared" si="13"/>
        <v>33.333333333333336</v>
      </c>
      <c r="I14" s="14" t="s">
        <v>81</v>
      </c>
      <c r="J14" s="15">
        <v>967.28901461574731</v>
      </c>
      <c r="P14" s="15"/>
    </row>
    <row r="15" spans="1:26" ht="15.75" thickBot="1" x14ac:dyDescent="0.3">
      <c r="A15" s="57" t="s">
        <v>57</v>
      </c>
      <c r="B15" s="51" t="s">
        <v>61</v>
      </c>
      <c r="C15" s="72">
        <v>1</v>
      </c>
      <c r="D15" s="74">
        <f t="shared" si="9"/>
        <v>1</v>
      </c>
      <c r="E15">
        <f t="shared" si="10"/>
        <v>36</v>
      </c>
      <c r="F15" s="16">
        <f t="shared" si="11"/>
        <v>1.6666666666666667</v>
      </c>
      <c r="G15">
        <f t="shared" si="12"/>
        <v>20</v>
      </c>
      <c r="H15" s="15">
        <f t="shared" si="13"/>
        <v>33.333333333333336</v>
      </c>
      <c r="P15" s="15"/>
    </row>
    <row r="16" spans="1:26" ht="15.75" thickBot="1" x14ac:dyDescent="0.3">
      <c r="A16" s="59" t="s">
        <v>57</v>
      </c>
      <c r="B16" s="73" t="s">
        <v>6</v>
      </c>
      <c r="C16" s="78">
        <v>1</v>
      </c>
      <c r="D16" s="79">
        <f t="shared" si="9"/>
        <v>1</v>
      </c>
      <c r="E16">
        <f t="shared" si="10"/>
        <v>36</v>
      </c>
      <c r="F16" s="16">
        <f t="shared" si="11"/>
        <v>1.6666666666666667</v>
      </c>
      <c r="G16">
        <f t="shared" si="12"/>
        <v>20</v>
      </c>
      <c r="H16" s="15">
        <f t="shared" si="13"/>
        <v>33.333333333333336</v>
      </c>
      <c r="P16" s="15"/>
    </row>
    <row r="17" spans="1:21" ht="15.75" thickBot="1" x14ac:dyDescent="0.3">
      <c r="A17" s="57" t="s">
        <v>9</v>
      </c>
      <c r="B17" s="43" t="s">
        <v>58</v>
      </c>
      <c r="C17" s="72">
        <v>1</v>
      </c>
      <c r="D17" s="74">
        <f t="shared" si="9"/>
        <v>1</v>
      </c>
      <c r="E17">
        <f t="shared" si="10"/>
        <v>140</v>
      </c>
      <c r="F17" s="16">
        <f t="shared" si="11"/>
        <v>0.42857142857142855</v>
      </c>
      <c r="G17">
        <f t="shared" si="12"/>
        <v>20</v>
      </c>
      <c r="H17" s="15">
        <f t="shared" si="13"/>
        <v>8.5714285714285712</v>
      </c>
    </row>
    <row r="18" spans="1:21" ht="15.75" thickBot="1" x14ac:dyDescent="0.3">
      <c r="A18" s="57" t="s">
        <v>9</v>
      </c>
      <c r="B18" s="51" t="s">
        <v>0</v>
      </c>
      <c r="C18" s="72">
        <v>1</v>
      </c>
      <c r="D18" s="74">
        <f t="shared" si="9"/>
        <v>1</v>
      </c>
      <c r="E18">
        <f t="shared" si="10"/>
        <v>140</v>
      </c>
      <c r="F18" s="16">
        <f t="shared" si="11"/>
        <v>0.42857142857142855</v>
      </c>
      <c r="G18">
        <f t="shared" si="12"/>
        <v>20</v>
      </c>
      <c r="H18" s="15">
        <f t="shared" si="13"/>
        <v>8.5714285714285712</v>
      </c>
      <c r="O18" s="15"/>
      <c r="P18" s="15"/>
      <c r="Q18" s="15"/>
    </row>
    <row r="19" spans="1:21" ht="15.75" thickBot="1" x14ac:dyDescent="0.3">
      <c r="A19" s="57" t="s">
        <v>9</v>
      </c>
      <c r="B19" s="51" t="s">
        <v>65</v>
      </c>
      <c r="C19" s="72">
        <v>1</v>
      </c>
      <c r="D19" s="74">
        <f t="shared" si="9"/>
        <v>1</v>
      </c>
      <c r="E19">
        <f t="shared" si="10"/>
        <v>140</v>
      </c>
      <c r="F19" s="16">
        <f t="shared" si="11"/>
        <v>0.42857142857142855</v>
      </c>
      <c r="G19">
        <f t="shared" si="12"/>
        <v>20</v>
      </c>
      <c r="H19" s="15">
        <f t="shared" si="13"/>
        <v>8.5714285714285712</v>
      </c>
      <c r="P19" s="15"/>
    </row>
    <row r="20" spans="1:21" ht="15.75" thickBot="1" x14ac:dyDescent="0.3">
      <c r="A20" s="57" t="s">
        <v>9</v>
      </c>
      <c r="B20" s="51" t="s">
        <v>11</v>
      </c>
      <c r="C20" s="72">
        <v>1</v>
      </c>
      <c r="D20" s="74">
        <f t="shared" si="9"/>
        <v>1</v>
      </c>
      <c r="E20">
        <f t="shared" si="10"/>
        <v>140</v>
      </c>
      <c r="F20" s="16">
        <f t="shared" si="11"/>
        <v>0.42857142857142855</v>
      </c>
      <c r="G20">
        <f t="shared" si="12"/>
        <v>20</v>
      </c>
      <c r="H20" s="15">
        <f t="shared" si="13"/>
        <v>8.5714285714285712</v>
      </c>
      <c r="P20" s="15"/>
    </row>
    <row r="21" spans="1:21" ht="15.75" thickBot="1" x14ac:dyDescent="0.3">
      <c r="A21" s="57" t="s">
        <v>9</v>
      </c>
      <c r="B21" s="51" t="s">
        <v>4</v>
      </c>
      <c r="C21" s="72">
        <v>4</v>
      </c>
      <c r="D21" s="74">
        <f t="shared" si="9"/>
        <v>1</v>
      </c>
      <c r="E21">
        <f t="shared" ref="E21" si="14">VLOOKUP(A21,$M$1:$X$8,5,FALSE)</f>
        <v>140</v>
      </c>
      <c r="F21" s="16">
        <f t="shared" ref="F21" si="15">60/E21*C21</f>
        <v>1.7142857142857142</v>
      </c>
      <c r="G21">
        <f t="shared" ref="G21" si="16">VLOOKUP(A21,$M$1:$X$8,9,FALSE)</f>
        <v>20</v>
      </c>
      <c r="H21" s="15">
        <f t="shared" si="13"/>
        <v>34.285714285714285</v>
      </c>
    </row>
    <row r="22" spans="1:21" ht="15.75" thickBot="1" x14ac:dyDescent="0.3">
      <c r="A22" s="57" t="s">
        <v>9</v>
      </c>
      <c r="B22" s="51" t="s">
        <v>13</v>
      </c>
      <c r="C22" s="72">
        <v>3</v>
      </c>
      <c r="D22" s="74">
        <f t="shared" ref="D22" si="17">VLOOKUP(A22,$M$1:$X$8,6,FALSE)</f>
        <v>1</v>
      </c>
      <c r="E22">
        <f t="shared" ref="E22" si="18">VLOOKUP(A22,$M$1:$X$8,5,FALSE)</f>
        <v>140</v>
      </c>
      <c r="F22" s="16">
        <f t="shared" ref="F22" si="19">60/E22*C22</f>
        <v>1.2857142857142856</v>
      </c>
      <c r="G22">
        <f t="shared" ref="G22" si="20">VLOOKUP(A22,$M$1:$X$8,9,FALSE)</f>
        <v>20</v>
      </c>
      <c r="H22" s="15">
        <f t="shared" ref="H22" si="21">D22*F22*G22</f>
        <v>25.714285714285712</v>
      </c>
      <c r="P22" s="15"/>
    </row>
    <row r="23" spans="1:21" ht="15.75" thickBot="1" x14ac:dyDescent="0.3">
      <c r="A23" s="56" t="s">
        <v>62</v>
      </c>
      <c r="B23" s="43" t="s">
        <v>58</v>
      </c>
      <c r="C23" s="72">
        <v>1</v>
      </c>
      <c r="D23" s="74">
        <f t="shared" ref="D23:D33" si="22">VLOOKUP(A23,$M$1:$X$8,6,FALSE)</f>
        <v>2</v>
      </c>
      <c r="E23">
        <f t="shared" ref="E23:E35" si="23">VLOOKUP(A23,$M$1:$X$8,5,FALSE)</f>
        <v>80</v>
      </c>
      <c r="F23" s="16">
        <f t="shared" ref="F23:F33" si="24">60/E23*C23</f>
        <v>0.75</v>
      </c>
      <c r="G23">
        <f t="shared" ref="G23:G35" si="25">VLOOKUP(A23,$M$1:$X$8,9,FALSE)</f>
        <v>20</v>
      </c>
      <c r="H23" s="15">
        <f t="shared" ref="H23:H35" si="26">D23*F23*G23</f>
        <v>30</v>
      </c>
      <c r="P23" s="15"/>
    </row>
    <row r="24" spans="1:21" ht="15.75" thickBot="1" x14ac:dyDescent="0.3">
      <c r="A24" s="57" t="s">
        <v>62</v>
      </c>
      <c r="B24" s="51" t="s">
        <v>0</v>
      </c>
      <c r="C24" s="72">
        <v>1</v>
      </c>
      <c r="D24" s="74">
        <f t="shared" si="22"/>
        <v>2</v>
      </c>
      <c r="E24">
        <f t="shared" si="23"/>
        <v>80</v>
      </c>
      <c r="F24" s="16">
        <f t="shared" si="24"/>
        <v>0.75</v>
      </c>
      <c r="G24">
        <f t="shared" si="25"/>
        <v>20</v>
      </c>
      <c r="H24" s="15">
        <f t="shared" si="26"/>
        <v>30</v>
      </c>
      <c r="P24" s="15"/>
    </row>
    <row r="25" spans="1:21" ht="15.75" thickBot="1" x14ac:dyDescent="0.3">
      <c r="A25" s="57" t="s">
        <v>62</v>
      </c>
      <c r="B25" t="s">
        <v>65</v>
      </c>
      <c r="C25" s="72">
        <v>1</v>
      </c>
      <c r="D25" s="74">
        <f t="shared" si="22"/>
        <v>2</v>
      </c>
      <c r="E25">
        <f t="shared" si="23"/>
        <v>80</v>
      </c>
      <c r="F25" s="16">
        <f t="shared" si="24"/>
        <v>0.75</v>
      </c>
      <c r="G25">
        <f t="shared" si="25"/>
        <v>20</v>
      </c>
      <c r="H25" s="15">
        <f t="shared" si="26"/>
        <v>30</v>
      </c>
      <c r="I25" s="71"/>
      <c r="N25" s="16"/>
      <c r="P25" s="15"/>
    </row>
    <row r="26" spans="1:21" ht="15.75" thickBot="1" x14ac:dyDescent="0.3">
      <c r="A26" s="57" t="s">
        <v>62</v>
      </c>
      <c r="B26" s="51" t="s">
        <v>11</v>
      </c>
      <c r="C26" s="72">
        <v>1</v>
      </c>
      <c r="D26" s="74">
        <f t="shared" si="22"/>
        <v>2</v>
      </c>
      <c r="E26">
        <f t="shared" si="23"/>
        <v>80</v>
      </c>
      <c r="F26" s="16">
        <f t="shared" si="24"/>
        <v>0.75</v>
      </c>
      <c r="G26">
        <f t="shared" si="25"/>
        <v>20</v>
      </c>
      <c r="H26" s="15">
        <f t="shared" si="26"/>
        <v>30</v>
      </c>
    </row>
    <row r="27" spans="1:21" ht="15.75" thickBot="1" x14ac:dyDescent="0.3">
      <c r="A27" s="57" t="s">
        <v>62</v>
      </c>
      <c r="B27" s="51" t="s">
        <v>12</v>
      </c>
      <c r="C27" s="72">
        <v>1</v>
      </c>
      <c r="D27" s="74">
        <f t="shared" si="22"/>
        <v>2</v>
      </c>
      <c r="E27">
        <f t="shared" si="23"/>
        <v>80</v>
      </c>
      <c r="F27" s="16">
        <f t="shared" si="24"/>
        <v>0.75</v>
      </c>
      <c r="G27">
        <f t="shared" si="25"/>
        <v>20</v>
      </c>
      <c r="H27" s="15">
        <f t="shared" si="26"/>
        <v>30</v>
      </c>
    </row>
    <row r="28" spans="1:21" ht="15.75" thickBot="1" x14ac:dyDescent="0.3">
      <c r="A28" s="59" t="s">
        <v>62</v>
      </c>
      <c r="B28" s="73" t="s">
        <v>6</v>
      </c>
      <c r="C28" s="72">
        <v>1</v>
      </c>
      <c r="D28" s="74">
        <f t="shared" si="22"/>
        <v>2</v>
      </c>
      <c r="E28">
        <f t="shared" si="23"/>
        <v>80</v>
      </c>
      <c r="F28" s="16">
        <f t="shared" si="24"/>
        <v>0.75</v>
      </c>
      <c r="G28">
        <f t="shared" si="25"/>
        <v>20</v>
      </c>
      <c r="H28" s="15">
        <f t="shared" si="26"/>
        <v>30</v>
      </c>
    </row>
    <row r="29" spans="1:21" ht="15.75" thickBot="1" x14ac:dyDescent="0.3">
      <c r="A29" s="56" t="s">
        <v>10</v>
      </c>
      <c r="B29" s="43" t="s">
        <v>58</v>
      </c>
      <c r="C29" s="72">
        <v>1</v>
      </c>
      <c r="D29" s="74">
        <f t="shared" si="22"/>
        <v>2</v>
      </c>
      <c r="E29">
        <f t="shared" si="23"/>
        <v>70</v>
      </c>
      <c r="F29" s="16">
        <f t="shared" si="24"/>
        <v>0.8571428571428571</v>
      </c>
      <c r="G29">
        <f t="shared" si="25"/>
        <v>20</v>
      </c>
      <c r="H29" s="15">
        <f t="shared" si="26"/>
        <v>34.285714285714285</v>
      </c>
    </row>
    <row r="30" spans="1:21" ht="15.75" thickBot="1" x14ac:dyDescent="0.3">
      <c r="A30" s="57" t="s">
        <v>10</v>
      </c>
      <c r="B30" s="51" t="s">
        <v>0</v>
      </c>
      <c r="C30" s="72">
        <v>1</v>
      </c>
      <c r="D30" s="74">
        <f t="shared" si="22"/>
        <v>2</v>
      </c>
      <c r="E30">
        <f t="shared" si="23"/>
        <v>70</v>
      </c>
      <c r="F30" s="16">
        <f t="shared" si="24"/>
        <v>0.8571428571428571</v>
      </c>
      <c r="G30">
        <f t="shared" si="25"/>
        <v>20</v>
      </c>
      <c r="H30" s="15">
        <f t="shared" si="26"/>
        <v>34.285714285714285</v>
      </c>
      <c r="P30" s="15"/>
    </row>
    <row r="31" spans="1:21" ht="15.75" thickBot="1" x14ac:dyDescent="0.3">
      <c r="A31" s="57" t="s">
        <v>10</v>
      </c>
      <c r="B31" t="s">
        <v>65</v>
      </c>
      <c r="C31" s="72">
        <v>1</v>
      </c>
      <c r="D31" s="74">
        <f t="shared" si="22"/>
        <v>2</v>
      </c>
      <c r="E31">
        <f t="shared" si="23"/>
        <v>70</v>
      </c>
      <c r="F31" s="16">
        <f t="shared" si="24"/>
        <v>0.8571428571428571</v>
      </c>
      <c r="G31">
        <f t="shared" si="25"/>
        <v>20</v>
      </c>
      <c r="H31" s="15">
        <f t="shared" si="26"/>
        <v>34.285714285714285</v>
      </c>
      <c r="P31" s="15"/>
      <c r="T31" s="15"/>
    </row>
    <row r="32" spans="1:21" ht="15.75" thickBot="1" x14ac:dyDescent="0.3">
      <c r="A32" s="57" t="s">
        <v>10</v>
      </c>
      <c r="B32" s="51" t="s">
        <v>11</v>
      </c>
      <c r="C32" s="72">
        <v>1</v>
      </c>
      <c r="D32" s="74">
        <f t="shared" si="22"/>
        <v>2</v>
      </c>
      <c r="E32">
        <f t="shared" si="23"/>
        <v>70</v>
      </c>
      <c r="F32" s="16">
        <f t="shared" si="24"/>
        <v>0.8571428571428571</v>
      </c>
      <c r="G32">
        <f t="shared" si="25"/>
        <v>20</v>
      </c>
      <c r="H32" s="15">
        <f t="shared" si="26"/>
        <v>34.285714285714285</v>
      </c>
      <c r="P32" s="15"/>
      <c r="T32" s="15"/>
    </row>
    <row r="33" spans="1:20" ht="15.75" thickBot="1" x14ac:dyDescent="0.3">
      <c r="A33" s="57" t="s">
        <v>10</v>
      </c>
      <c r="B33" s="51" t="s">
        <v>12</v>
      </c>
      <c r="C33" s="72">
        <v>1</v>
      </c>
      <c r="D33" s="74">
        <f t="shared" si="22"/>
        <v>2</v>
      </c>
      <c r="E33">
        <f t="shared" si="23"/>
        <v>70</v>
      </c>
      <c r="F33" s="16">
        <f t="shared" si="24"/>
        <v>0.8571428571428571</v>
      </c>
      <c r="G33">
        <f t="shared" si="25"/>
        <v>20</v>
      </c>
      <c r="H33" s="15">
        <f t="shared" si="26"/>
        <v>34.285714285714285</v>
      </c>
      <c r="P33" s="15"/>
      <c r="T33" s="15"/>
    </row>
    <row r="34" spans="1:20" ht="15.75" thickBot="1" x14ac:dyDescent="0.3">
      <c r="A34" s="57" t="s">
        <v>10</v>
      </c>
      <c r="B34" s="51" t="s">
        <v>3</v>
      </c>
      <c r="C34" s="72">
        <v>1</v>
      </c>
      <c r="D34" s="74">
        <f t="shared" ref="D34" si="27">VLOOKUP(A34,$M$1:$X$8,6,FALSE)</f>
        <v>2</v>
      </c>
      <c r="E34">
        <f t="shared" si="23"/>
        <v>70</v>
      </c>
      <c r="F34" s="16">
        <f t="shared" ref="F34" si="28">60/E34*C34</f>
        <v>0.8571428571428571</v>
      </c>
      <c r="G34">
        <f t="shared" si="25"/>
        <v>20</v>
      </c>
      <c r="H34" s="15">
        <f t="shared" si="26"/>
        <v>34.285714285714285</v>
      </c>
      <c r="P34" s="15"/>
      <c r="T34" s="15"/>
    </row>
    <row r="35" spans="1:20" ht="15.75" thickBot="1" x14ac:dyDescent="0.3">
      <c r="A35" s="59" t="s">
        <v>10</v>
      </c>
      <c r="B35" s="73" t="s">
        <v>4</v>
      </c>
      <c r="C35" s="78">
        <v>1</v>
      </c>
      <c r="D35" s="79">
        <f>VLOOKUP(A35,$M$1:$X$8,6,FALSE)</f>
        <v>2</v>
      </c>
      <c r="E35">
        <f t="shared" si="23"/>
        <v>70</v>
      </c>
      <c r="F35" s="16">
        <f>60/E35*C35</f>
        <v>0.8571428571428571</v>
      </c>
      <c r="G35">
        <f t="shared" si="25"/>
        <v>20</v>
      </c>
      <c r="H35" s="15">
        <f t="shared" si="26"/>
        <v>34.285714285714285</v>
      </c>
      <c r="P35" s="15"/>
      <c r="T35" s="15"/>
    </row>
    <row r="36" spans="1:20" x14ac:dyDescent="0.25">
      <c r="A36" s="71"/>
      <c r="F36" s="16"/>
      <c r="H36" s="15"/>
      <c r="T36" s="15"/>
    </row>
    <row r="44" spans="1:20" x14ac:dyDescent="0.25">
      <c r="Q44">
        <v>4</v>
      </c>
    </row>
    <row r="52" spans="1:9" ht="15.75" thickBot="1" x14ac:dyDescent="0.3"/>
    <row r="53" spans="1:9" x14ac:dyDescent="0.25">
      <c r="A53" s="94" t="s">
        <v>67</v>
      </c>
      <c r="B53" s="95"/>
      <c r="C53" s="96" t="s">
        <v>78</v>
      </c>
      <c r="D53" s="97"/>
    </row>
    <row r="54" spans="1:9" ht="93.75" x14ac:dyDescent="0.3">
      <c r="A54" s="23" t="s">
        <v>66</v>
      </c>
      <c r="B54" s="46" t="s">
        <v>55</v>
      </c>
      <c r="C54" s="20" t="s">
        <v>53</v>
      </c>
      <c r="D54" s="20" t="s">
        <v>54</v>
      </c>
      <c r="E54" s="55"/>
      <c r="F54" s="50" t="s">
        <v>76</v>
      </c>
      <c r="G54" s="20" t="s">
        <v>52</v>
      </c>
      <c r="H54" s="20" t="s">
        <v>100</v>
      </c>
      <c r="I54" s="20" t="s">
        <v>56</v>
      </c>
    </row>
    <row r="55" spans="1:9" ht="18.75" x14ac:dyDescent="0.25">
      <c r="A55" s="23" t="s">
        <v>58</v>
      </c>
      <c r="B55" s="47">
        <v>520</v>
      </c>
      <c r="C55" s="33">
        <f>GETPIVOTDATA("Итого",$I$1,"transaction rq",A55)*3</f>
        <v>509.85855728429988</v>
      </c>
      <c r="D55" s="69">
        <f>1-B55/C55</f>
        <v>-1.9890698255055961E-2</v>
      </c>
      <c r="E55" s="34"/>
      <c r="F55" s="51" t="str">
        <f>VLOOKUP(A55,Соответствие!A:B,2,FALSE)</f>
        <v>OpenLandingPage</v>
      </c>
      <c r="G55" s="30">
        <f>C55/3</f>
        <v>169.95285242809996</v>
      </c>
      <c r="H55" s="90">
        <f>VLOOKUP(F55,SummaryReport!A:J,8,FALSE)</f>
        <v>172</v>
      </c>
      <c r="I55" s="19">
        <f>1-G55/H55</f>
        <v>1.1902020766860755E-2</v>
      </c>
    </row>
    <row r="56" spans="1:9" ht="18.75" x14ac:dyDescent="0.25">
      <c r="A56" s="24" t="s">
        <v>0</v>
      </c>
      <c r="B56" s="47">
        <v>422</v>
      </c>
      <c r="C56" s="33">
        <f>GETPIVOTDATA("Итого",$I$1,"transaction rq",A56)*3</f>
        <v>409.85855728429988</v>
      </c>
      <c r="D56" s="69">
        <f>1-B56/C56</f>
        <v>-2.9623494495634395E-2</v>
      </c>
      <c r="E56" s="34"/>
      <c r="F56" s="51" t="str">
        <f>VLOOKUP(A56,Соответствие!A:B,2,FALSE)</f>
        <v>Login</v>
      </c>
      <c r="G56" s="30">
        <f t="shared" ref="G56:G66" si="29">C56/3</f>
        <v>136.61951909476662</v>
      </c>
      <c r="H56" s="90">
        <f>VLOOKUP(F56,SummaryReport!A:J,8,FALSE)</f>
        <v>138</v>
      </c>
      <c r="I56" s="19">
        <f t="shared" ref="I56:I66" si="30">1-G56/H56</f>
        <v>1.0003484820531816E-2</v>
      </c>
    </row>
    <row r="57" spans="1:9" ht="37.5" x14ac:dyDescent="0.25">
      <c r="A57" s="25" t="s">
        <v>65</v>
      </c>
      <c r="B57" s="47">
        <v>305</v>
      </c>
      <c r="C57" s="33">
        <f t="shared" ref="C57:C66" si="31">GETPIVOTDATA("Итого",$I$1,"transaction rq",A57)*3</f>
        <v>289.85855728429988</v>
      </c>
      <c r="D57" s="69">
        <f>1-B57/C57</f>
        <v>-5.2237349338798644E-2</v>
      </c>
      <c r="E57" s="34"/>
      <c r="F57" s="51" t="str">
        <f>VLOOKUP(A57,Соответствие!A:B,2,FALSE)</f>
        <v>OpenPage_FindFlight</v>
      </c>
      <c r="G57" s="30">
        <f t="shared" si="29"/>
        <v>96.61951909476663</v>
      </c>
      <c r="H57" s="90">
        <f>VLOOKUP(F57,SummaryReport!A:J,8,FALSE)</f>
        <v>99</v>
      </c>
      <c r="I57" s="19">
        <f t="shared" si="30"/>
        <v>2.4045261669023987E-2</v>
      </c>
    </row>
    <row r="58" spans="1:9" ht="37.5" x14ac:dyDescent="0.25">
      <c r="A58" s="24" t="s">
        <v>11</v>
      </c>
      <c r="B58" s="47">
        <v>282</v>
      </c>
      <c r="C58" s="33">
        <f t="shared" si="31"/>
        <v>289.85855728429988</v>
      </c>
      <c r="D58" s="69">
        <f t="shared" ref="D58:D67" si="32">1-B58/C58</f>
        <v>2.7111696676914154E-2</v>
      </c>
      <c r="E58" s="34"/>
      <c r="F58" s="51" t="str">
        <f>VLOOKUP(A58,Соответствие!A:B,2,FALSE)</f>
        <v>SubmitFlight</v>
      </c>
      <c r="G58" s="30">
        <f t="shared" si="29"/>
        <v>96.61951909476663</v>
      </c>
      <c r="H58" s="90">
        <f>VLOOKUP(F58,SummaryReport!A:J,8,FALSE)</f>
        <v>97</v>
      </c>
      <c r="I58" s="19">
        <f t="shared" si="30"/>
        <v>3.9224835591068485E-3</v>
      </c>
    </row>
    <row r="59" spans="1:9" ht="18.75" x14ac:dyDescent="0.25">
      <c r="A59" s="24" t="s">
        <v>12</v>
      </c>
      <c r="B59" s="47">
        <v>270</v>
      </c>
      <c r="C59" s="33">
        <f t="shared" si="31"/>
        <v>264.14427157001415</v>
      </c>
      <c r="D59" s="69">
        <f t="shared" si="32"/>
        <v>-2.2168674698795243E-2</v>
      </c>
      <c r="E59" s="34"/>
      <c r="F59" s="51" t="str">
        <f>VLOOKUP(A59,Соответствие!A:B,2,FALSE)</f>
        <v>СhooseDepartureTime</v>
      </c>
      <c r="G59" s="30">
        <f t="shared" si="29"/>
        <v>88.048090523338047</v>
      </c>
      <c r="H59" s="90">
        <f>VLOOKUP(F59,SummaryReport!A:J,8,FALSE)</f>
        <v>88</v>
      </c>
      <c r="I59" s="19">
        <f t="shared" si="30"/>
        <v>-5.4648321975059311E-4</v>
      </c>
    </row>
    <row r="60" spans="1:9" ht="18.75" x14ac:dyDescent="0.25">
      <c r="A60" s="24" t="s">
        <v>3</v>
      </c>
      <c r="B60" s="47">
        <v>175</v>
      </c>
      <c r="C60" s="33">
        <f t="shared" si="31"/>
        <v>174.14427157001415</v>
      </c>
      <c r="D60" s="69">
        <f t="shared" si="32"/>
        <v>-4.9139051332032224E-3</v>
      </c>
      <c r="E60" s="34"/>
      <c r="F60" s="51" t="str">
        <f>VLOOKUP(A60,Соответствие!A:B,2,FALSE)</f>
        <v>BuyingTicket</v>
      </c>
      <c r="G60" s="30">
        <f t="shared" si="29"/>
        <v>58.048090523338054</v>
      </c>
      <c r="H60" s="90">
        <f>VLOOKUP(F60,SummaryReport!A:J,8,FALSE)</f>
        <v>58</v>
      </c>
      <c r="I60" s="19">
        <f t="shared" si="30"/>
        <v>-8.2914695410440942E-4</v>
      </c>
    </row>
    <row r="61" spans="1:9" ht="18.75" x14ac:dyDescent="0.25">
      <c r="A61" s="24" t="s">
        <v>4</v>
      </c>
      <c r="B61" s="47">
        <v>280</v>
      </c>
      <c r="C61" s="33">
        <f t="shared" si="31"/>
        <v>277.00141442715699</v>
      </c>
      <c r="D61" s="69">
        <f t="shared" si="32"/>
        <v>-1.0825163398692883E-2</v>
      </c>
      <c r="E61" s="34"/>
      <c r="F61" s="51" t="str">
        <f>VLOOKUP(A61,Соответствие!A:B,2,FALSE)</f>
        <v>ViewTicketList</v>
      </c>
      <c r="G61" s="30">
        <f>C61/3</f>
        <v>92.333804809052324</v>
      </c>
      <c r="H61" s="90">
        <f>VLOOKUP(F61,SummaryReport!A:J,8,FALSE)</f>
        <v>94</v>
      </c>
      <c r="I61" s="19">
        <f t="shared" si="30"/>
        <v>1.7725480754762546E-2</v>
      </c>
    </row>
    <row r="62" spans="1:9" ht="18.75" x14ac:dyDescent="0.25">
      <c r="A62" s="24" t="s">
        <v>13</v>
      </c>
      <c r="B62" s="47">
        <v>73</v>
      </c>
      <c r="C62" s="33">
        <f t="shared" si="31"/>
        <v>77.142857142857139</v>
      </c>
      <c r="D62" s="69">
        <f t="shared" si="32"/>
        <v>5.3703703703703698E-2</v>
      </c>
      <c r="E62" s="34"/>
      <c r="F62" s="51" t="str">
        <f>VLOOKUP(A62,Соответствие!A:B,2,FALSE)</f>
        <v>DeleteTicket</v>
      </c>
      <c r="G62" s="30">
        <f t="shared" si="29"/>
        <v>25.714285714285712</v>
      </c>
      <c r="H62" s="90">
        <f>VLOOKUP(F62,SummaryReport!A:J,8,FALSE)</f>
        <v>27</v>
      </c>
      <c r="I62" s="19">
        <f>1-G62/H62</f>
        <v>4.7619047619047672E-2</v>
      </c>
    </row>
    <row r="63" spans="1:9" ht="18.75" x14ac:dyDescent="0.25">
      <c r="A63" s="24" t="s">
        <v>6</v>
      </c>
      <c r="B63" s="47">
        <v>326</v>
      </c>
      <c r="C63" s="33">
        <f t="shared" si="31"/>
        <v>310</v>
      </c>
      <c r="D63" s="69">
        <f t="shared" si="32"/>
        <v>-5.1612903225806361E-2</v>
      </c>
      <c r="E63" s="34"/>
      <c r="F63" s="51" t="str">
        <f>VLOOKUP(A63,Соответствие!A:B,2,FALSE)</f>
        <v>Logout</v>
      </c>
      <c r="G63" s="30">
        <f>C63/3</f>
        <v>103.33333333333333</v>
      </c>
      <c r="H63" s="90">
        <f>VLOOKUP(F63,SummaryReport!A:J,8,FALSE)</f>
        <v>102</v>
      </c>
      <c r="I63" s="19">
        <f t="shared" si="30"/>
        <v>-1.3071895424836555E-2</v>
      </c>
    </row>
    <row r="64" spans="1:9" ht="37.5" x14ac:dyDescent="0.25">
      <c r="A64" s="24" t="s">
        <v>60</v>
      </c>
      <c r="B64" s="47">
        <v>97</v>
      </c>
      <c r="C64" s="33">
        <f t="shared" si="31"/>
        <v>100</v>
      </c>
      <c r="D64" s="69">
        <f t="shared" si="32"/>
        <v>3.0000000000000027E-2</v>
      </c>
      <c r="E64" s="34"/>
      <c r="F64" s="51" t="str">
        <f>VLOOKUP(A64,Соответствие!A:B,2,FALSE)</f>
        <v>OpenRegistrationPage</v>
      </c>
      <c r="G64" s="30">
        <f t="shared" si="29"/>
        <v>33.333333333333336</v>
      </c>
      <c r="H64" s="90">
        <f>VLOOKUP(F64,SummaryReport!A:J,8,FALSE)</f>
        <v>34</v>
      </c>
      <c r="I64" s="19">
        <f t="shared" si="30"/>
        <v>1.9607843137254832E-2</v>
      </c>
    </row>
    <row r="65" spans="1:9" ht="37.5" x14ac:dyDescent="0.25">
      <c r="A65" s="24" t="s">
        <v>59</v>
      </c>
      <c r="B65" s="47">
        <v>97</v>
      </c>
      <c r="C65" s="33">
        <f t="shared" si="31"/>
        <v>100</v>
      </c>
      <c r="D65" s="69">
        <f t="shared" si="32"/>
        <v>3.0000000000000027E-2</v>
      </c>
      <c r="E65" s="34"/>
      <c r="F65" s="51" t="str">
        <f>VLOOKUP(A65,Соответствие!A:B,2,FALSE)</f>
        <v>UserRegistered</v>
      </c>
      <c r="G65" s="30">
        <f t="shared" si="29"/>
        <v>33.333333333333336</v>
      </c>
      <c r="H65" s="90">
        <f>VLOOKUP(F65,SummaryReport!A:J,8,FALSE)</f>
        <v>34</v>
      </c>
      <c r="I65" s="19">
        <f t="shared" si="30"/>
        <v>1.9607843137254832E-2</v>
      </c>
    </row>
    <row r="66" spans="1:9" ht="37.5" x14ac:dyDescent="0.25">
      <c r="A66" s="24" t="s">
        <v>61</v>
      </c>
      <c r="B66" s="47">
        <v>97</v>
      </c>
      <c r="C66" s="33">
        <f t="shared" si="31"/>
        <v>100</v>
      </c>
      <c r="D66" s="69">
        <f t="shared" si="32"/>
        <v>3.0000000000000027E-2</v>
      </c>
      <c r="E66" s="34"/>
      <c r="F66" s="51" t="str">
        <f>VLOOKUP(A66,Соответствие!A:B,2,FALSE)</f>
        <v>press continue</v>
      </c>
      <c r="G66" s="30">
        <f t="shared" si="29"/>
        <v>33.333333333333336</v>
      </c>
      <c r="H66" s="90">
        <f>VLOOKUP(F66,SummaryReport!A:J,8,FALSE)</f>
        <v>33</v>
      </c>
      <c r="I66" s="19">
        <f t="shared" si="30"/>
        <v>-1.0101010101010166E-2</v>
      </c>
    </row>
    <row r="67" spans="1:9" ht="19.5" thickBot="1" x14ac:dyDescent="0.3">
      <c r="A67" s="26" t="s">
        <v>7</v>
      </c>
      <c r="B67" s="48">
        <f>SUM(B55:B66)</f>
        <v>2944</v>
      </c>
      <c r="C67" s="49">
        <f>SUM(C55:C66)</f>
        <v>2901.8670438472423</v>
      </c>
      <c r="D67" s="18">
        <f t="shared" si="32"/>
        <v>-1.4519257952252174E-2</v>
      </c>
    </row>
    <row r="68" spans="1:9" ht="15.75" thickBot="1" x14ac:dyDescent="0.3">
      <c r="I68" s="21"/>
    </row>
    <row r="69" spans="1:9" x14ac:dyDescent="0.25">
      <c r="A69" s="35"/>
      <c r="B69" s="36"/>
      <c r="C69" s="37" t="s">
        <v>64</v>
      </c>
      <c r="D69" s="37"/>
      <c r="E69" s="37"/>
      <c r="F69" s="37"/>
      <c r="G69" s="37"/>
      <c r="H69" s="37"/>
      <c r="I69" s="29"/>
    </row>
  </sheetData>
  <mergeCells count="2">
    <mergeCell ref="A53:B53"/>
    <mergeCell ref="C53:D53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9" sqref="B9"/>
    </sheetView>
  </sheetViews>
  <sheetFormatPr defaultColWidth="8.85546875" defaultRowHeight="15" x14ac:dyDescent="0.25"/>
  <cols>
    <col min="1" max="1" width="47.42578125" bestFit="1" customWidth="1"/>
    <col min="2" max="2" width="22.28515625" bestFit="1" customWidth="1"/>
  </cols>
  <sheetData>
    <row r="1" spans="1:2" x14ac:dyDescent="0.25">
      <c r="A1" s="31" t="s">
        <v>68</v>
      </c>
      <c r="B1" s="31" t="s">
        <v>69</v>
      </c>
    </row>
    <row r="2" spans="1:2" x14ac:dyDescent="0.25">
      <c r="A2" s="51" t="str">
        <f>'Автоматизированный расчет'!A55</f>
        <v>Главная Welcome страница</v>
      </c>
      <c r="B2" s="51" t="s">
        <v>86</v>
      </c>
    </row>
    <row r="3" spans="1:2" x14ac:dyDescent="0.25">
      <c r="A3" s="51" t="str">
        <f>'Автоматизированный расчет'!A56</f>
        <v>Вход в систему</v>
      </c>
      <c r="B3" s="51" t="s">
        <v>84</v>
      </c>
    </row>
    <row r="4" spans="1:2" x14ac:dyDescent="0.25">
      <c r="A4" s="51" t="str">
        <f>'Автоматизированный расчет'!A57</f>
        <v>Переход на страницу поиска билетов</v>
      </c>
      <c r="B4" s="89" t="s">
        <v>87</v>
      </c>
    </row>
    <row r="5" spans="1:2" x14ac:dyDescent="0.25">
      <c r="A5" s="51" t="str">
        <f>'Автоматизированный расчет'!A58</f>
        <v xml:space="preserve">Заполнение полей для поиска билета </v>
      </c>
      <c r="B5" s="51" t="s">
        <v>90</v>
      </c>
    </row>
    <row r="6" spans="1:2" x14ac:dyDescent="0.25">
      <c r="A6" s="51" t="str">
        <f>'Автоматизированный расчет'!A59</f>
        <v xml:space="preserve">Выбор рейса из найденных </v>
      </c>
      <c r="B6" s="51" t="s">
        <v>97</v>
      </c>
    </row>
    <row r="7" spans="1:2" x14ac:dyDescent="0.25">
      <c r="A7" s="51" t="str">
        <f>'Автоматизированный расчет'!A60</f>
        <v>Оплата билета</v>
      </c>
      <c r="B7" s="51" t="s">
        <v>82</v>
      </c>
    </row>
    <row r="8" spans="1:2" x14ac:dyDescent="0.25">
      <c r="A8" s="51" t="str">
        <f>'Автоматизированный расчет'!A61</f>
        <v>Просмотр квитанций</v>
      </c>
      <c r="B8" s="51" t="s">
        <v>99</v>
      </c>
    </row>
    <row r="9" spans="1:2" x14ac:dyDescent="0.25">
      <c r="A9" s="51" t="str">
        <f>'Автоматизированный расчет'!A62</f>
        <v xml:space="preserve">Отмена бронирования </v>
      </c>
      <c r="B9" s="51" t="s">
        <v>83</v>
      </c>
    </row>
    <row r="10" spans="1:2" x14ac:dyDescent="0.25">
      <c r="A10" s="51" t="str">
        <f>'Автоматизированный расчет'!A63</f>
        <v>Выход из системы</v>
      </c>
      <c r="B10" s="51" t="s">
        <v>85</v>
      </c>
    </row>
    <row r="11" spans="1:2" x14ac:dyDescent="0.25">
      <c r="A11" s="51" t="str">
        <f>'Автоматизированный расчет'!A64</f>
        <v>Перход на страницу регистрации</v>
      </c>
      <c r="B11" s="51" t="s">
        <v>88</v>
      </c>
    </row>
    <row r="12" spans="1:2" x14ac:dyDescent="0.25">
      <c r="A12" s="51" t="str">
        <f>'Автоматизированный расчет'!A65</f>
        <v>Заполнение полей регистарции</v>
      </c>
      <c r="B12" s="51" t="s">
        <v>98</v>
      </c>
    </row>
    <row r="13" spans="1:2" x14ac:dyDescent="0.25">
      <c r="A13" s="51" t="str">
        <f>'Автоматизированный расчет'!A66</f>
        <v>Переход на следуюущий эран после регистарции</v>
      </c>
      <c r="B13" s="51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tabSelected="1" workbookViewId="0">
      <selection activeCell="D27" sqref="D27:D28"/>
    </sheetView>
  </sheetViews>
  <sheetFormatPr defaultColWidth="8.85546875" defaultRowHeight="15" x14ac:dyDescent="0.25"/>
  <cols>
    <col min="1" max="1" width="36.42578125" bestFit="1" customWidth="1"/>
    <col min="2" max="3" width="12.42578125" customWidth="1"/>
    <col min="4" max="4" width="13.140625" customWidth="1"/>
    <col min="6" max="6" width="10.28515625" customWidth="1"/>
    <col min="7" max="7" width="12.28515625" customWidth="1"/>
    <col min="8" max="8" width="10.140625" customWidth="1"/>
    <col min="13" max="13" width="15.85546875" customWidth="1"/>
  </cols>
  <sheetData>
    <row r="1" spans="1:10" x14ac:dyDescent="0.25">
      <c r="A1" t="s">
        <v>27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28</v>
      </c>
      <c r="I1" t="s">
        <v>29</v>
      </c>
      <c r="J1" t="s">
        <v>30</v>
      </c>
    </row>
    <row r="2" spans="1:10" x14ac:dyDescent="0.25">
      <c r="A2" t="s">
        <v>82</v>
      </c>
      <c r="C2">
        <v>3.4000000000000002E-2</v>
      </c>
      <c r="D2">
        <v>3.6999999999999998E-2</v>
      </c>
      <c r="E2">
        <v>0.04</v>
      </c>
      <c r="F2">
        <v>1E-3</v>
      </c>
      <c r="G2">
        <v>3.9E-2</v>
      </c>
      <c r="H2">
        <v>58</v>
      </c>
      <c r="I2">
        <v>0</v>
      </c>
      <c r="J2">
        <v>0</v>
      </c>
    </row>
    <row r="3" spans="1:10" x14ac:dyDescent="0.25">
      <c r="A3" t="s">
        <v>83</v>
      </c>
      <c r="C3">
        <v>4.2999999999999997E-2</v>
      </c>
      <c r="D3">
        <v>0.14899999999999999</v>
      </c>
      <c r="E3">
        <v>0.23499999999999999</v>
      </c>
      <c r="F3">
        <v>5.6000000000000001E-2</v>
      </c>
      <c r="G3">
        <v>0.23300000000000001</v>
      </c>
      <c r="H3">
        <v>27</v>
      </c>
      <c r="I3">
        <v>0</v>
      </c>
      <c r="J3">
        <v>0</v>
      </c>
    </row>
    <row r="4" spans="1:10" x14ac:dyDescent="0.25">
      <c r="A4" t="s">
        <v>84</v>
      </c>
      <c r="C4">
        <v>7.5999999999999998E-2</v>
      </c>
      <c r="D4">
        <v>8.2000000000000003E-2</v>
      </c>
      <c r="E4">
        <v>0.126</v>
      </c>
      <c r="F4">
        <v>8.0000000000000002E-3</v>
      </c>
      <c r="G4">
        <v>9.0999999999999998E-2</v>
      </c>
      <c r="H4">
        <v>138</v>
      </c>
      <c r="I4">
        <v>0</v>
      </c>
      <c r="J4">
        <v>0</v>
      </c>
    </row>
    <row r="5" spans="1:10" x14ac:dyDescent="0.25">
      <c r="A5" t="s">
        <v>85</v>
      </c>
      <c r="C5">
        <v>5.3999999999999999E-2</v>
      </c>
      <c r="D5">
        <v>5.6000000000000001E-2</v>
      </c>
      <c r="E5">
        <v>5.8000000000000003E-2</v>
      </c>
      <c r="F5">
        <v>1E-3</v>
      </c>
      <c r="G5">
        <v>5.8000000000000003E-2</v>
      </c>
      <c r="H5">
        <v>102</v>
      </c>
      <c r="I5">
        <v>0</v>
      </c>
      <c r="J5">
        <v>0</v>
      </c>
    </row>
    <row r="6" spans="1:10" x14ac:dyDescent="0.25">
      <c r="A6" t="s">
        <v>86</v>
      </c>
      <c r="C6">
        <v>5.5E-2</v>
      </c>
      <c r="D6">
        <v>0.106</v>
      </c>
      <c r="E6">
        <v>0.216</v>
      </c>
      <c r="F6">
        <v>5.2999999999999999E-2</v>
      </c>
      <c r="G6">
        <v>0.16700000000000001</v>
      </c>
      <c r="H6">
        <v>172</v>
      </c>
      <c r="I6">
        <v>1</v>
      </c>
      <c r="J6">
        <v>0</v>
      </c>
    </row>
    <row r="7" spans="1:10" x14ac:dyDescent="0.25">
      <c r="A7" t="s">
        <v>87</v>
      </c>
      <c r="C7">
        <v>7.5999999999999998E-2</v>
      </c>
      <c r="D7">
        <v>0.108</v>
      </c>
      <c r="E7">
        <v>0.112</v>
      </c>
      <c r="F7">
        <v>8.0000000000000002E-3</v>
      </c>
      <c r="G7">
        <v>0.112</v>
      </c>
      <c r="H7">
        <v>99</v>
      </c>
      <c r="I7">
        <v>0</v>
      </c>
      <c r="J7">
        <v>0</v>
      </c>
    </row>
    <row r="8" spans="1:10" x14ac:dyDescent="0.25">
      <c r="A8" t="s">
        <v>88</v>
      </c>
      <c r="C8">
        <v>3.5000000000000003E-2</v>
      </c>
      <c r="D8">
        <v>3.5000000000000003E-2</v>
      </c>
      <c r="E8">
        <v>3.5999999999999997E-2</v>
      </c>
      <c r="F8">
        <v>0</v>
      </c>
      <c r="G8">
        <v>3.5000000000000003E-2</v>
      </c>
      <c r="H8">
        <v>34</v>
      </c>
      <c r="I8">
        <v>0</v>
      </c>
      <c r="J8">
        <v>0</v>
      </c>
    </row>
    <row r="9" spans="1:10" x14ac:dyDescent="0.25">
      <c r="A9" t="s">
        <v>89</v>
      </c>
      <c r="C9">
        <v>7.6999999999999999E-2</v>
      </c>
      <c r="D9">
        <v>7.9000000000000001E-2</v>
      </c>
      <c r="E9">
        <v>8.1000000000000003E-2</v>
      </c>
      <c r="F9">
        <v>1E-3</v>
      </c>
      <c r="G9">
        <v>8.1000000000000003E-2</v>
      </c>
      <c r="H9">
        <v>33</v>
      </c>
      <c r="I9">
        <v>0</v>
      </c>
      <c r="J9">
        <v>0</v>
      </c>
    </row>
    <row r="10" spans="1:10" x14ac:dyDescent="0.25">
      <c r="A10" t="s">
        <v>90</v>
      </c>
      <c r="C10">
        <v>3.4000000000000002E-2</v>
      </c>
      <c r="D10">
        <v>3.5999999999999997E-2</v>
      </c>
      <c r="E10">
        <v>0.04</v>
      </c>
      <c r="F10">
        <v>1E-3</v>
      </c>
      <c r="G10">
        <v>3.6999999999999998E-2</v>
      </c>
      <c r="H10">
        <v>97</v>
      </c>
      <c r="I10">
        <v>0</v>
      </c>
      <c r="J10">
        <v>0</v>
      </c>
    </row>
    <row r="11" spans="1:10" x14ac:dyDescent="0.25">
      <c r="A11" t="s">
        <v>91</v>
      </c>
      <c r="C11">
        <v>0.29899999999999999</v>
      </c>
      <c r="D11">
        <v>0.308</v>
      </c>
      <c r="E11">
        <v>0.35099999999999998</v>
      </c>
      <c r="F11">
        <v>1.0999999999999999E-2</v>
      </c>
      <c r="G11">
        <v>0.315</v>
      </c>
      <c r="H11">
        <v>39</v>
      </c>
      <c r="I11">
        <v>1</v>
      </c>
      <c r="J11">
        <v>0</v>
      </c>
    </row>
    <row r="12" spans="1:10" x14ac:dyDescent="0.25">
      <c r="A12" t="s">
        <v>92</v>
      </c>
      <c r="C12">
        <v>0.34200000000000003</v>
      </c>
      <c r="D12">
        <v>0.377</v>
      </c>
      <c r="E12">
        <v>0.438</v>
      </c>
      <c r="F12">
        <v>1.6E-2</v>
      </c>
      <c r="G12">
        <v>0.38500000000000001</v>
      </c>
      <c r="H12">
        <v>30</v>
      </c>
      <c r="I12">
        <v>0</v>
      </c>
      <c r="J12">
        <v>0</v>
      </c>
    </row>
    <row r="13" spans="1:10" x14ac:dyDescent="0.25">
      <c r="A13" t="s">
        <v>93</v>
      </c>
      <c r="C13">
        <v>0.47599999999999998</v>
      </c>
      <c r="D13">
        <v>0.57299999999999995</v>
      </c>
      <c r="E13">
        <v>0.7</v>
      </c>
      <c r="F13">
        <v>0.05</v>
      </c>
      <c r="G13">
        <v>0.63100000000000001</v>
      </c>
      <c r="H13">
        <v>24</v>
      </c>
      <c r="I13">
        <v>0</v>
      </c>
      <c r="J13">
        <v>0</v>
      </c>
    </row>
    <row r="14" spans="1:10" x14ac:dyDescent="0.25">
      <c r="A14" t="s">
        <v>94</v>
      </c>
      <c r="C14">
        <v>0.45700000000000002</v>
      </c>
      <c r="D14">
        <v>0.46800000000000003</v>
      </c>
      <c r="E14">
        <v>0.51</v>
      </c>
      <c r="F14">
        <v>8.9999999999999993E-3</v>
      </c>
      <c r="G14">
        <v>0.47499999999999998</v>
      </c>
      <c r="H14">
        <v>34</v>
      </c>
      <c r="I14">
        <v>0</v>
      </c>
      <c r="J14">
        <v>0</v>
      </c>
    </row>
    <row r="15" spans="1:10" x14ac:dyDescent="0.25">
      <c r="A15" t="s">
        <v>95</v>
      </c>
      <c r="C15">
        <v>0.72499999999999998</v>
      </c>
      <c r="D15">
        <v>2.5209999999999999</v>
      </c>
      <c r="E15">
        <v>4.7480000000000002</v>
      </c>
      <c r="F15">
        <v>1.153</v>
      </c>
      <c r="G15">
        <v>4.7480000000000002</v>
      </c>
      <c r="H15">
        <v>9</v>
      </c>
      <c r="I15">
        <v>0</v>
      </c>
      <c r="J15">
        <v>0</v>
      </c>
    </row>
    <row r="16" spans="1:10" x14ac:dyDescent="0.25">
      <c r="A16" t="s">
        <v>96</v>
      </c>
      <c r="C16">
        <v>0.36</v>
      </c>
      <c r="D16">
        <v>0.36499999999999999</v>
      </c>
      <c r="E16">
        <v>0.40300000000000002</v>
      </c>
      <c r="F16">
        <v>7.0000000000000001E-3</v>
      </c>
      <c r="G16">
        <v>0.36799999999999999</v>
      </c>
      <c r="H16">
        <v>33</v>
      </c>
      <c r="I16">
        <v>0</v>
      </c>
      <c r="J16">
        <v>0</v>
      </c>
    </row>
    <row r="17" spans="1:10" x14ac:dyDescent="0.25">
      <c r="A17" t="s">
        <v>98</v>
      </c>
      <c r="C17">
        <v>0.03</v>
      </c>
      <c r="D17">
        <v>3.1E-2</v>
      </c>
      <c r="E17">
        <v>3.3000000000000002E-2</v>
      </c>
      <c r="F17">
        <v>1E-3</v>
      </c>
      <c r="G17">
        <v>3.2000000000000001E-2</v>
      </c>
      <c r="H17">
        <v>34</v>
      </c>
      <c r="I17">
        <v>0</v>
      </c>
      <c r="J17">
        <v>0</v>
      </c>
    </row>
    <row r="18" spans="1:10" x14ac:dyDescent="0.25">
      <c r="A18" t="s">
        <v>99</v>
      </c>
      <c r="C18">
        <v>6.2E-2</v>
      </c>
      <c r="D18">
        <v>0.155</v>
      </c>
      <c r="E18">
        <v>0.27600000000000002</v>
      </c>
      <c r="F18">
        <v>5.2999999999999999E-2</v>
      </c>
      <c r="G18">
        <v>0.23200000000000001</v>
      </c>
      <c r="H18">
        <v>94</v>
      </c>
      <c r="I18">
        <v>0</v>
      </c>
      <c r="J18">
        <v>0</v>
      </c>
    </row>
    <row r="19" spans="1:10" x14ac:dyDescent="0.25">
      <c r="A19" t="s">
        <v>97</v>
      </c>
      <c r="C19">
        <v>3.4000000000000002E-2</v>
      </c>
      <c r="D19">
        <v>3.6999999999999998E-2</v>
      </c>
      <c r="E19">
        <v>0.04</v>
      </c>
      <c r="F19">
        <v>1E-3</v>
      </c>
      <c r="G19">
        <v>3.7999999999999999E-2</v>
      </c>
      <c r="H19">
        <v>88</v>
      </c>
      <c r="I19">
        <v>0</v>
      </c>
      <c r="J19">
        <v>0</v>
      </c>
    </row>
  </sheetData>
  <hyperlinks>
    <hyperlink ref="A2" xr:uid="{CAD88E3E-CAF9-47B8-9CAC-558280E3DC87}"/>
    <hyperlink ref="A3" xr:uid="{C3EB1C5D-8F5C-4493-B3B3-83EF477EBAFC}"/>
    <hyperlink ref="A4" xr:uid="{523A220C-C0BC-4586-AB2D-525E5BB64F81}"/>
    <hyperlink ref="A5" xr:uid="{E75052CA-7BBF-4922-ACD2-9966B2A68261}"/>
    <hyperlink ref="A6" xr:uid="{C6836C6D-EA30-4430-BD9D-B5F159077A0A}"/>
    <hyperlink ref="A7" xr:uid="{81178DB6-ABBD-4723-946E-817D5966915D}"/>
    <hyperlink ref="A8" xr:uid="{B5B4C3B7-AA61-4BE0-8A6C-50CEFDF8DED0}"/>
    <hyperlink ref="A9" xr:uid="{28681E23-2C00-48DC-97D2-E932F7C76BEE}"/>
    <hyperlink ref="A10" xr:uid="{946308BF-EE88-43CE-BCCC-C1D7805649EA}"/>
    <hyperlink ref="A11" xr:uid="{415B5270-B86C-4F08-A1C1-00EBF2F4491F}"/>
    <hyperlink ref="A12" xr:uid="{F4E51458-499D-4332-9C24-1E811D213D02}"/>
    <hyperlink ref="A13" xr:uid="{F33B33B4-F165-4FF3-BAF5-6DAE4D6C0E75}"/>
    <hyperlink ref="A14" xr:uid="{95AC6949-4F9F-4A12-9689-46DFFD11FF4C}"/>
    <hyperlink ref="A15" xr:uid="{9E28DCA7-18AE-4F1E-8F6A-8FBF594ECCAA}"/>
    <hyperlink ref="A16" xr:uid="{DD35DEBB-2179-47F8-BC28-0799706622C5}"/>
    <hyperlink ref="A17" xr:uid="{BA392A4D-D3A1-4CDF-8CAE-CBF0F1CED951}"/>
    <hyperlink ref="A18" xr:uid="{E7595B25-3867-4E89-8AF0-D55D46B83395}"/>
    <hyperlink ref="A19" xr:uid="{D424C7A1-32B5-41CF-B9AC-C47323E6454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P44"/>
  <sheetViews>
    <sheetView topLeftCell="A16" workbookViewId="0">
      <selection activeCell="K14" sqref="K14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4.42578125" customWidth="1"/>
    <col min="6" max="6" width="23.5703125" customWidth="1"/>
    <col min="7" max="7" width="15.28515625" customWidth="1"/>
    <col min="8" max="8" width="15.140625" customWidth="1"/>
    <col min="9" max="9" width="14" customWidth="1"/>
    <col min="11" max="11" width="13.42578125" customWidth="1"/>
    <col min="12" max="12" width="38.28515625" customWidth="1"/>
    <col min="13" max="13" width="12.140625" customWidth="1"/>
    <col min="14" max="14" width="14.28515625" customWidth="1"/>
    <col min="15" max="15" width="15.5703125" customWidth="1"/>
    <col min="16" max="16" width="15" customWidth="1"/>
    <col min="17" max="17" width="19.42578125" bestFit="1" customWidth="1"/>
  </cols>
  <sheetData>
    <row r="9" spans="5:9" x14ac:dyDescent="0.25">
      <c r="E9" s="98" t="s">
        <v>102</v>
      </c>
      <c r="F9" s="98"/>
      <c r="G9" s="98"/>
      <c r="H9" s="98"/>
      <c r="I9" s="98"/>
    </row>
    <row r="11" spans="5:9" ht="18.75" customHeight="1" x14ac:dyDescent="0.25">
      <c r="E11" s="92" t="s">
        <v>14</v>
      </c>
      <c r="F11" s="92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10" t="s">
        <v>84</v>
      </c>
      <c r="G12" s="8">
        <v>422</v>
      </c>
      <c r="H12" s="3">
        <f>633*0.6</f>
        <v>379.8</v>
      </c>
      <c r="I12" s="93">
        <f>1-G12/H12</f>
        <v>-0.11111111111111116</v>
      </c>
    </row>
    <row r="13" spans="5:9" ht="15.75" x14ac:dyDescent="0.25">
      <c r="E13" s="11" t="s">
        <v>1</v>
      </c>
      <c r="F13" s="10" t="s">
        <v>90</v>
      </c>
      <c r="G13" s="8">
        <f>282</f>
        <v>282</v>
      </c>
      <c r="H13" s="3">
        <f>424*0.6</f>
        <v>254.39999999999998</v>
      </c>
      <c r="I13" s="93">
        <f t="shared" ref="I13:I18" si="0">1-G13/H13</f>
        <v>-0.10849056603773599</v>
      </c>
    </row>
    <row r="14" spans="5:9" ht="15.75" x14ac:dyDescent="0.25">
      <c r="E14" s="11" t="s">
        <v>2</v>
      </c>
      <c r="F14" s="10" t="s">
        <v>97</v>
      </c>
      <c r="G14" s="8">
        <f>270</f>
        <v>270</v>
      </c>
      <c r="H14" s="3">
        <f>386*0.6</f>
        <v>231.6</v>
      </c>
      <c r="I14" s="93">
        <f t="shared" si="0"/>
        <v>-0.16580310880829008</v>
      </c>
    </row>
    <row r="15" spans="5:9" ht="15.75" x14ac:dyDescent="0.25">
      <c r="E15" s="2" t="s">
        <v>3</v>
      </c>
      <c r="F15" s="10" t="s">
        <v>82</v>
      </c>
      <c r="G15" s="8">
        <f>175</f>
        <v>175</v>
      </c>
      <c r="H15" s="3">
        <f>258*0.6</f>
        <v>154.79999999999998</v>
      </c>
      <c r="I15" s="93">
        <f t="shared" si="0"/>
        <v>-0.1304909560723515</v>
      </c>
    </row>
    <row r="16" spans="5:9" ht="15.75" customHeight="1" x14ac:dyDescent="0.25">
      <c r="E16" s="2" t="s">
        <v>20</v>
      </c>
      <c r="F16" s="10" t="s">
        <v>99</v>
      </c>
      <c r="G16" s="8">
        <f>280</f>
        <v>280</v>
      </c>
      <c r="H16" s="3">
        <f>420*0.6</f>
        <v>252</v>
      </c>
      <c r="I16" s="93">
        <f t="shared" si="0"/>
        <v>-0.11111111111111116</v>
      </c>
    </row>
    <row r="17" spans="5:16" ht="15.75" customHeight="1" x14ac:dyDescent="0.25">
      <c r="E17" s="2" t="s">
        <v>5</v>
      </c>
      <c r="F17" s="10" t="s">
        <v>83</v>
      </c>
      <c r="G17" s="8">
        <f>73</f>
        <v>73</v>
      </c>
      <c r="H17" s="3">
        <f>125*0.6</f>
        <v>75</v>
      </c>
      <c r="I17" s="4">
        <f t="shared" si="0"/>
        <v>2.6666666666666616E-2</v>
      </c>
    </row>
    <row r="18" spans="5:16" ht="15.75" x14ac:dyDescent="0.25">
      <c r="E18" s="2" t="s">
        <v>6</v>
      </c>
      <c r="F18" s="10" t="s">
        <v>85</v>
      </c>
      <c r="G18" s="8">
        <f>326</f>
        <v>326</v>
      </c>
      <c r="H18" s="3">
        <f>437*0.6</f>
        <v>262.2</v>
      </c>
      <c r="I18" s="93">
        <f t="shared" si="0"/>
        <v>-0.24332570556826849</v>
      </c>
    </row>
    <row r="23" spans="5:16" x14ac:dyDescent="0.25">
      <c r="E23" s="98" t="s">
        <v>31</v>
      </c>
      <c r="F23" s="98"/>
      <c r="G23" s="98"/>
      <c r="H23" s="98"/>
      <c r="I23" s="98"/>
      <c r="L23" s="98" t="s">
        <v>101</v>
      </c>
      <c r="M23" s="98"/>
      <c r="N23" s="98"/>
      <c r="O23" s="98"/>
      <c r="P23" s="98"/>
    </row>
    <row r="25" spans="5:16" x14ac:dyDescent="0.25">
      <c r="E25" s="6" t="s">
        <v>14</v>
      </c>
      <c r="F25" s="6" t="s">
        <v>15</v>
      </c>
      <c r="G25" s="6" t="s">
        <v>16</v>
      </c>
      <c r="H25" s="6" t="s">
        <v>17</v>
      </c>
      <c r="I25" s="6" t="s">
        <v>18</v>
      </c>
      <c r="L25" s="6" t="s">
        <v>14</v>
      </c>
      <c r="M25" s="6" t="s">
        <v>15</v>
      </c>
      <c r="N25" s="6" t="s">
        <v>16</v>
      </c>
      <c r="O25" s="6" t="s">
        <v>17</v>
      </c>
      <c r="P25" s="6" t="s">
        <v>18</v>
      </c>
    </row>
    <row r="26" spans="5:16" ht="15.75" x14ac:dyDescent="0.25">
      <c r="E26" s="11" t="s">
        <v>0</v>
      </c>
      <c r="F26" s="10" t="s">
        <v>84</v>
      </c>
      <c r="G26" s="8">
        <v>422</v>
      </c>
      <c r="H26" s="7">
        <v>407</v>
      </c>
      <c r="I26" s="9">
        <f>1-G26/H26</f>
        <v>-3.6855036855036882E-2</v>
      </c>
      <c r="L26" s="11" t="s">
        <v>0</v>
      </c>
      <c r="M26" s="10" t="s">
        <v>84</v>
      </c>
      <c r="N26" s="8">
        <v>422</v>
      </c>
      <c r="O26" s="7">
        <f>543-(543/4)</f>
        <v>407.25</v>
      </c>
      <c r="P26" s="9">
        <f>1-N26/O26</f>
        <v>-3.6218538980969939E-2</v>
      </c>
    </row>
    <row r="27" spans="5:16" ht="15.75" x14ac:dyDescent="0.25">
      <c r="E27" s="11" t="s">
        <v>1</v>
      </c>
      <c r="F27" s="10" t="s">
        <v>90</v>
      </c>
      <c r="G27" s="8">
        <f>282</f>
        <v>282</v>
      </c>
      <c r="H27" s="7">
        <v>290</v>
      </c>
      <c r="I27" s="9">
        <f t="shared" ref="I27:I32" si="1">1-G27/H27</f>
        <v>2.7586206896551779E-2</v>
      </c>
      <c r="L27" s="11" t="s">
        <v>1</v>
      </c>
      <c r="M27" s="10" t="s">
        <v>90</v>
      </c>
      <c r="N27" s="8">
        <v>282</v>
      </c>
      <c r="O27" s="7">
        <f>382-(382/4)</f>
        <v>286.5</v>
      </c>
      <c r="P27" s="9">
        <f t="shared" ref="P27:P32" si="2">1-N27/O27</f>
        <v>1.5706806282722474E-2</v>
      </c>
    </row>
    <row r="28" spans="5:16" ht="15.75" x14ac:dyDescent="0.25">
      <c r="E28" s="11" t="s">
        <v>2</v>
      </c>
      <c r="F28" s="10" t="s">
        <v>97</v>
      </c>
      <c r="G28" s="8">
        <f>270</f>
        <v>270</v>
      </c>
      <c r="H28" s="7">
        <v>264</v>
      </c>
      <c r="I28" s="9">
        <f t="shared" si="1"/>
        <v>-2.2727272727272707E-2</v>
      </c>
      <c r="L28" s="11" t="s">
        <v>2</v>
      </c>
      <c r="M28" s="10" t="s">
        <v>97</v>
      </c>
      <c r="N28" s="8">
        <v>270</v>
      </c>
      <c r="O28" s="7">
        <f>350-(350/4)</f>
        <v>262.5</v>
      </c>
      <c r="P28" s="9">
        <f t="shared" si="2"/>
        <v>-2.857142857142847E-2</v>
      </c>
    </row>
    <row r="29" spans="5:16" ht="15.75" x14ac:dyDescent="0.25">
      <c r="E29" s="11" t="s">
        <v>3</v>
      </c>
      <c r="F29" s="10" t="s">
        <v>82</v>
      </c>
      <c r="G29" s="8">
        <f>175</f>
        <v>175</v>
      </c>
      <c r="H29" s="7">
        <v>174</v>
      </c>
      <c r="I29" s="5">
        <f t="shared" si="1"/>
        <v>-5.7471264367816577E-3</v>
      </c>
      <c r="L29" s="11" t="s">
        <v>3</v>
      </c>
      <c r="M29" s="10" t="s">
        <v>82</v>
      </c>
      <c r="N29" s="8">
        <v>175</v>
      </c>
      <c r="O29" s="7">
        <f>230-(230/4)</f>
        <v>172.5</v>
      </c>
      <c r="P29" s="5">
        <f t="shared" si="2"/>
        <v>-1.449275362318847E-2</v>
      </c>
    </row>
    <row r="30" spans="5:16" ht="15.75" x14ac:dyDescent="0.25">
      <c r="E30" s="11" t="s">
        <v>20</v>
      </c>
      <c r="F30" s="10" t="s">
        <v>99</v>
      </c>
      <c r="G30" s="8">
        <f>280</f>
        <v>280</v>
      </c>
      <c r="H30" s="7">
        <v>278</v>
      </c>
      <c r="I30" s="5">
        <f t="shared" si="1"/>
        <v>-7.194244604316502E-3</v>
      </c>
      <c r="L30" s="11" t="s">
        <v>20</v>
      </c>
      <c r="M30" s="10" t="s">
        <v>99</v>
      </c>
      <c r="N30" s="8">
        <v>280</v>
      </c>
      <c r="O30" s="7">
        <f>366-(366/4)</f>
        <v>274.5</v>
      </c>
      <c r="P30" s="9">
        <f t="shared" si="2"/>
        <v>-2.0036429872495543E-2</v>
      </c>
    </row>
    <row r="31" spans="5:16" ht="15.75" x14ac:dyDescent="0.25">
      <c r="E31" s="11" t="s">
        <v>5</v>
      </c>
      <c r="F31" s="10" t="s">
        <v>83</v>
      </c>
      <c r="G31" s="8">
        <f>73</f>
        <v>73</v>
      </c>
      <c r="H31" s="7">
        <v>78</v>
      </c>
      <c r="I31" s="91">
        <f t="shared" si="1"/>
        <v>6.4102564102564097E-2</v>
      </c>
      <c r="L31" s="11" t="s">
        <v>5</v>
      </c>
      <c r="M31" s="10" t="s">
        <v>83</v>
      </c>
      <c r="N31" s="8">
        <v>73</v>
      </c>
      <c r="O31" s="7">
        <f>102-(102/4)</f>
        <v>76.5</v>
      </c>
      <c r="P31" s="9">
        <f t="shared" si="2"/>
        <v>4.5751633986928053E-2</v>
      </c>
    </row>
    <row r="32" spans="5:16" ht="15.75" x14ac:dyDescent="0.25">
      <c r="E32" s="11" t="s">
        <v>6</v>
      </c>
      <c r="F32" s="10" t="s">
        <v>85</v>
      </c>
      <c r="G32" s="8">
        <f>326</f>
        <v>326</v>
      </c>
      <c r="H32" s="7">
        <v>309</v>
      </c>
      <c r="I32" s="91">
        <f t="shared" si="1"/>
        <v>-5.5016181229773364E-2</v>
      </c>
      <c r="L32" s="11" t="s">
        <v>6</v>
      </c>
      <c r="M32" s="10" t="s">
        <v>85</v>
      </c>
      <c r="N32" s="8">
        <v>326</v>
      </c>
      <c r="O32" s="7">
        <f>413-(413/4)</f>
        <v>309.75</v>
      </c>
      <c r="P32" s="91">
        <f t="shared" si="2"/>
        <v>-5.246166263115426E-2</v>
      </c>
    </row>
    <row r="35" spans="5:15" x14ac:dyDescent="0.25">
      <c r="E35" s="98" t="s">
        <v>32</v>
      </c>
      <c r="F35" s="98"/>
      <c r="G35" s="98"/>
      <c r="H35" s="98"/>
      <c r="I35" s="98"/>
    </row>
    <row r="37" spans="5:15" x14ac:dyDescent="0.25">
      <c r="E37" s="6" t="s">
        <v>14</v>
      </c>
      <c r="F37" s="6" t="s">
        <v>15</v>
      </c>
      <c r="G37" s="6" t="s">
        <v>16</v>
      </c>
      <c r="H37" s="6" t="s">
        <v>17</v>
      </c>
      <c r="I37" s="6" t="s">
        <v>18</v>
      </c>
      <c r="L37" s="12" t="s">
        <v>27</v>
      </c>
      <c r="M37" s="12" t="s">
        <v>28</v>
      </c>
      <c r="N37" s="12" t="s">
        <v>29</v>
      </c>
      <c r="O37" s="12" t="s">
        <v>30</v>
      </c>
    </row>
    <row r="38" spans="5:15" ht="15.75" x14ac:dyDescent="0.25">
      <c r="E38" s="11" t="s">
        <v>0</v>
      </c>
      <c r="F38" s="10" t="s">
        <v>84</v>
      </c>
      <c r="G38" s="8">
        <f>5*368</f>
        <v>1840</v>
      </c>
      <c r="H38" s="7">
        <v>2109</v>
      </c>
      <c r="I38" s="9">
        <f>1-G38/H38</f>
        <v>0.12754860123281175</v>
      </c>
      <c r="L38" s="12" t="s">
        <v>21</v>
      </c>
      <c r="M38" s="12">
        <v>377</v>
      </c>
      <c r="N38" s="12">
        <v>27</v>
      </c>
      <c r="O38" s="12">
        <v>0</v>
      </c>
    </row>
    <row r="39" spans="5:15" ht="15.75" x14ac:dyDescent="0.25">
      <c r="E39" s="11" t="s">
        <v>1</v>
      </c>
      <c r="F39" s="10" t="s">
        <v>90</v>
      </c>
      <c r="G39" s="8">
        <f>5*251</f>
        <v>1255</v>
      </c>
      <c r="H39" s="12">
        <v>1315</v>
      </c>
      <c r="I39" s="9">
        <f t="shared" ref="I39:I44" si="3">1-G39/H39</f>
        <v>4.5627376425855459E-2</v>
      </c>
      <c r="L39" s="12" t="s">
        <v>22</v>
      </c>
      <c r="M39" s="12">
        <v>998</v>
      </c>
      <c r="N39" s="12">
        <v>1</v>
      </c>
      <c r="O39" s="12">
        <v>0</v>
      </c>
    </row>
    <row r="40" spans="5:15" ht="15.75" x14ac:dyDescent="0.25">
      <c r="E40" s="11" t="s">
        <v>2</v>
      </c>
      <c r="F40" s="10" t="s">
        <v>97</v>
      </c>
      <c r="G40" s="8">
        <f>5*251</f>
        <v>1255</v>
      </c>
      <c r="H40" s="7">
        <v>1315</v>
      </c>
      <c r="I40" s="9">
        <f t="shared" si="3"/>
        <v>4.5627376425855459E-2</v>
      </c>
      <c r="L40" s="12" t="s">
        <v>23</v>
      </c>
      <c r="M40" s="12" t="s">
        <v>33</v>
      </c>
      <c r="N40" s="12">
        <v>0</v>
      </c>
      <c r="O40" s="12">
        <v>0</v>
      </c>
    </row>
    <row r="41" spans="5:15" ht="15.75" x14ac:dyDescent="0.25">
      <c r="E41" s="11" t="s">
        <v>3</v>
      </c>
      <c r="F41" s="10" t="s">
        <v>82</v>
      </c>
      <c r="G41" s="8">
        <f>5*175</f>
        <v>875</v>
      </c>
      <c r="H41" s="12">
        <v>924</v>
      </c>
      <c r="I41" s="5">
        <f t="shared" si="3"/>
        <v>5.3030303030302983E-2</v>
      </c>
      <c r="L41" s="12" t="s">
        <v>24</v>
      </c>
      <c r="M41" s="12" t="s">
        <v>34</v>
      </c>
      <c r="N41" s="12">
        <v>139</v>
      </c>
      <c r="O41" s="12">
        <v>0</v>
      </c>
    </row>
    <row r="42" spans="5:15" ht="15.75" x14ac:dyDescent="0.25">
      <c r="E42" s="11" t="s">
        <v>20</v>
      </c>
      <c r="F42" s="10" t="s">
        <v>99</v>
      </c>
      <c r="G42" s="8">
        <f>5*159</f>
        <v>795</v>
      </c>
      <c r="H42" s="12">
        <v>998</v>
      </c>
      <c r="I42" s="9">
        <f t="shared" si="3"/>
        <v>0.20340681362725455</v>
      </c>
      <c r="L42" s="12" t="s">
        <v>25</v>
      </c>
      <c r="M42" s="12" t="s">
        <v>35</v>
      </c>
      <c r="N42" s="12">
        <v>1</v>
      </c>
      <c r="O42" s="12">
        <v>0</v>
      </c>
    </row>
    <row r="43" spans="5:15" ht="15.75" x14ac:dyDescent="0.25">
      <c r="E43" s="11" t="s">
        <v>5</v>
      </c>
      <c r="F43" s="10" t="s">
        <v>83</v>
      </c>
      <c r="G43" s="8">
        <f>5*73</f>
        <v>365</v>
      </c>
      <c r="H43" s="12">
        <v>404</v>
      </c>
      <c r="I43" s="9">
        <f t="shared" si="3"/>
        <v>9.6534653465346509E-2</v>
      </c>
      <c r="L43" s="12" t="s">
        <v>19</v>
      </c>
      <c r="M43" s="12">
        <v>924</v>
      </c>
      <c r="N43" s="12">
        <v>0</v>
      </c>
      <c r="O43" s="12">
        <v>0</v>
      </c>
    </row>
    <row r="44" spans="5:15" ht="15.75" x14ac:dyDescent="0.25">
      <c r="E44" s="11" t="s">
        <v>6</v>
      </c>
      <c r="F44" s="10" t="s">
        <v>85</v>
      </c>
      <c r="G44" s="8">
        <f>5*326</f>
        <v>1630</v>
      </c>
      <c r="H44" s="7">
        <v>1675</v>
      </c>
      <c r="I44" s="9">
        <f t="shared" si="3"/>
        <v>2.68656716417911E-2</v>
      </c>
      <c r="L44" s="12" t="s">
        <v>26</v>
      </c>
      <c r="M44" s="12" t="s">
        <v>33</v>
      </c>
      <c r="N44" s="12">
        <v>0</v>
      </c>
      <c r="O44" s="12">
        <v>0</v>
      </c>
    </row>
  </sheetData>
  <mergeCells count="4">
    <mergeCell ref="E23:I23"/>
    <mergeCell ref="E35:I35"/>
    <mergeCell ref="E9:I9"/>
    <mergeCell ref="L23:P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Артем Клейменов</cp:lastModifiedBy>
  <dcterms:created xsi:type="dcterms:W3CDTF">2015-06-05T18:19:34Z</dcterms:created>
  <dcterms:modified xsi:type="dcterms:W3CDTF">2024-12-24T11:28:24Z</dcterms:modified>
</cp:coreProperties>
</file>