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D:\Debayan Files\Tableau\POwer\data\"/>
    </mc:Choice>
  </mc:AlternateContent>
  <xr:revisionPtr revIDLastSave="0" documentId="13_ncr:1_{62B6981D-69A0-4B98-8673-5765D5C23D6D}" xr6:coauthVersionLast="47" xr6:coauthVersionMax="47" xr10:uidLastSave="{00000000-0000-0000-0000-000000000000}"/>
  <bookViews>
    <workbookView xWindow="-120" yWindow="-120" windowWidth="29040" windowHeight="15840" xr2:uid="{00000000-000D-0000-FFFF-FFFF00000000}"/>
  </bookViews>
  <sheets>
    <sheet name="Comparison of power cost" sheetId="1" r:id="rId1"/>
    <sheet name="Comparison of power cost (2)" sheetId="3" r:id="rId2"/>
  </sheets>
  <definedNames>
    <definedName name="_xlnm.Print_Area" localSheetId="0">'Comparison of power cost'!$A$122:$Y$167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10" i="1" l="1"/>
  <c r="Q309" i="1"/>
  <c r="M310" i="1"/>
  <c r="N310" i="1"/>
  <c r="P310" i="1"/>
  <c r="X310" i="1" s="1"/>
  <c r="O310" i="1"/>
  <c r="W310" i="1" s="1"/>
  <c r="O309" i="1"/>
  <c r="W309" i="1" s="1"/>
  <c r="M309" i="1"/>
  <c r="N309" i="1" s="1"/>
  <c r="T310" i="1"/>
  <c r="V310" i="1"/>
  <c r="S310" i="1"/>
  <c r="V309" i="1"/>
  <c r="T309" i="1"/>
  <c r="S309" i="1"/>
  <c r="I310" i="1"/>
  <c r="I309" i="1"/>
  <c r="F310" i="1"/>
  <c r="E310" i="1"/>
  <c r="H310" i="1"/>
  <c r="H309" i="1"/>
  <c r="F309" i="1"/>
  <c r="E309" i="1"/>
  <c r="O308" i="1"/>
  <c r="M308" i="1"/>
  <c r="N308" i="1" s="1"/>
  <c r="O307" i="1"/>
  <c r="W307" i="1" s="1"/>
  <c r="M307" i="1"/>
  <c r="N307" i="1" s="1"/>
  <c r="W308" i="1"/>
  <c r="V308" i="1"/>
  <c r="S308" i="1"/>
  <c r="I308" i="1"/>
  <c r="H308" i="1"/>
  <c r="F308" i="1"/>
  <c r="E308" i="1"/>
  <c r="V307" i="1"/>
  <c r="T307" i="1"/>
  <c r="S307" i="1"/>
  <c r="F307" i="1"/>
  <c r="H307" i="1"/>
  <c r="I307" i="1" s="1"/>
  <c r="E307" i="1"/>
  <c r="C307" i="1"/>
  <c r="P309" i="1" l="1"/>
  <c r="X309" i="1" s="1"/>
  <c r="Y309" i="1"/>
  <c r="Y310" i="1"/>
  <c r="P308" i="1"/>
  <c r="Q308" i="1" s="1"/>
  <c r="P307" i="1"/>
  <c r="M305" i="1"/>
  <c r="N305" i="1" s="1"/>
  <c r="O305" i="1"/>
  <c r="W305" i="1" s="1"/>
  <c r="S306" i="1"/>
  <c r="S305" i="1"/>
  <c r="F306" i="1"/>
  <c r="O306" i="1"/>
  <c r="W306" i="1" s="1"/>
  <c r="M306" i="1"/>
  <c r="N306" i="1" s="1"/>
  <c r="E306" i="1"/>
  <c r="C306" i="1"/>
  <c r="F305" i="1"/>
  <c r="E305" i="1"/>
  <c r="C305" i="1"/>
  <c r="X308" i="1" l="1"/>
  <c r="Y308" i="1" s="1"/>
  <c r="Q307" i="1"/>
  <c r="X307" i="1"/>
  <c r="Y307" i="1" s="1"/>
  <c r="V305" i="1"/>
  <c r="V306" i="1"/>
  <c r="H306" i="1"/>
  <c r="I306" i="1" s="1"/>
  <c r="H305" i="1"/>
  <c r="P305" i="1" s="1"/>
  <c r="X305" i="1" s="1"/>
  <c r="Y305" i="1" s="1"/>
  <c r="P306" i="1" l="1"/>
  <c r="Q305" i="1"/>
  <c r="I305" i="1"/>
  <c r="Q306" i="1" l="1"/>
  <c r="X306" i="1"/>
  <c r="Y306" i="1" s="1"/>
  <c r="K295" i="1" l="1"/>
  <c r="O294" i="1"/>
  <c r="W294" i="1" s="1"/>
  <c r="M294" i="1"/>
  <c r="N294" i="1"/>
  <c r="T294" i="1"/>
  <c r="V294" i="1" s="1"/>
  <c r="F294" i="1"/>
  <c r="E294" i="1"/>
  <c r="H294" i="1" s="1"/>
  <c r="I294" i="1" s="1"/>
  <c r="J295" i="1"/>
  <c r="B295" i="1"/>
  <c r="C294" i="1"/>
  <c r="S294" i="1"/>
  <c r="S285" i="1"/>
  <c r="S286" i="1"/>
  <c r="S287" i="1"/>
  <c r="S288" i="1"/>
  <c r="S289" i="1"/>
  <c r="S290" i="1"/>
  <c r="S291" i="1"/>
  <c r="S292" i="1"/>
  <c r="S293" i="1"/>
  <c r="V293" i="1" s="1"/>
  <c r="T293" i="1"/>
  <c r="F293" i="1"/>
  <c r="O293" i="1"/>
  <c r="M293" i="1"/>
  <c r="N293" i="1" s="1"/>
  <c r="O292" i="1"/>
  <c r="W292" i="1" s="1"/>
  <c r="M292" i="1"/>
  <c r="O291" i="1"/>
  <c r="W291" i="1" s="1"/>
  <c r="M291" i="1"/>
  <c r="T292" i="1"/>
  <c r="F292" i="1"/>
  <c r="W293" i="1"/>
  <c r="V291" i="1"/>
  <c r="T291" i="1"/>
  <c r="F291" i="1"/>
  <c r="H291" i="1" s="1"/>
  <c r="I291" i="1" s="1"/>
  <c r="E293" i="1"/>
  <c r="E292" i="1"/>
  <c r="E291" i="1"/>
  <c r="C293" i="1"/>
  <c r="C292" i="1"/>
  <c r="C291" i="1"/>
  <c r="P294" i="1" l="1"/>
  <c r="H292" i="1"/>
  <c r="I292" i="1" s="1"/>
  <c r="P291" i="1"/>
  <c r="Q291" i="1" s="1"/>
  <c r="N291" i="1"/>
  <c r="H293" i="1"/>
  <c r="P293" i="1" s="1"/>
  <c r="N292" i="1"/>
  <c r="X291" i="1"/>
  <c r="Y291" i="1" s="1"/>
  <c r="V292" i="1"/>
  <c r="X294" i="1" l="1"/>
  <c r="Y294" i="1" s="1"/>
  <c r="Q294" i="1"/>
  <c r="P292" i="1"/>
  <c r="X293" i="1"/>
  <c r="Y293" i="1" s="1"/>
  <c r="Q293" i="1"/>
  <c r="I293" i="1"/>
  <c r="Q292" i="1" l="1"/>
  <c r="X292" i="1"/>
  <c r="Y292" i="1" s="1"/>
  <c r="O290" i="1"/>
  <c r="W290" i="1" s="1"/>
  <c r="M290" i="1"/>
  <c r="N290" i="1" s="1"/>
  <c r="O289" i="1"/>
  <c r="M289" i="1"/>
  <c r="V290" i="1"/>
  <c r="T290" i="1"/>
  <c r="F290" i="1"/>
  <c r="E290" i="1"/>
  <c r="C290" i="1"/>
  <c r="H290" i="1" s="1"/>
  <c r="I290" i="1" s="1"/>
  <c r="W289" i="1"/>
  <c r="T289" i="1"/>
  <c r="V289" i="1" s="1"/>
  <c r="H289" i="1"/>
  <c r="I289" i="1" s="1"/>
  <c r="F289" i="1"/>
  <c r="E289" i="1"/>
  <c r="P289" i="1" l="1"/>
  <c r="Q289" i="1" s="1"/>
  <c r="P290" i="1"/>
  <c r="Q290" i="1" s="1"/>
  <c r="N289" i="1"/>
  <c r="X289" i="1" l="1"/>
  <c r="Y289" i="1" s="1"/>
  <c r="X290" i="1"/>
  <c r="Y290" i="1" s="1"/>
  <c r="O288" i="1" l="1"/>
  <c r="W288" i="1" s="1"/>
  <c r="M288" i="1"/>
  <c r="N288" i="1" s="1"/>
  <c r="T287" i="1"/>
  <c r="F287" i="1"/>
  <c r="T286" i="1"/>
  <c r="F286" i="1"/>
  <c r="T288" i="1"/>
  <c r="V288" i="1" s="1"/>
  <c r="F288" i="1"/>
  <c r="E288" i="1"/>
  <c r="H288" i="1" s="1"/>
  <c r="I288" i="1" s="1"/>
  <c r="P288" i="1" l="1"/>
  <c r="R295" i="1"/>
  <c r="X288" i="1" l="1"/>
  <c r="Y288" i="1" s="1"/>
  <c r="Q288" i="1"/>
  <c r="O287" i="1"/>
  <c r="W287" i="1" s="1"/>
  <c r="M287" i="1"/>
  <c r="P287" i="1" s="1"/>
  <c r="Q287" i="1" s="1"/>
  <c r="N287" i="1"/>
  <c r="V287" i="1"/>
  <c r="V286" i="1"/>
  <c r="E287" i="1"/>
  <c r="H287" i="1" s="1"/>
  <c r="I287" i="1" s="1"/>
  <c r="X287" i="1" l="1"/>
  <c r="Y287" i="1" s="1"/>
  <c r="O286" i="1"/>
  <c r="W286" i="1" s="1"/>
  <c r="M286" i="1"/>
  <c r="N286" i="1" s="1"/>
  <c r="E286" i="1"/>
  <c r="H286" i="1" s="1"/>
  <c r="I286" i="1" s="1"/>
  <c r="P286" i="1" l="1"/>
  <c r="Q286" i="1" s="1"/>
  <c r="X286" i="1"/>
  <c r="Y286" i="1" s="1"/>
  <c r="F285" i="1"/>
  <c r="H285" i="1" s="1"/>
  <c r="I285" i="1" s="1"/>
  <c r="T285" i="1"/>
  <c r="S284" i="1"/>
  <c r="S295" i="1" s="1"/>
  <c r="T284" i="1"/>
  <c r="V284" i="1" s="1"/>
  <c r="E285" i="1"/>
  <c r="V285" i="1" l="1"/>
  <c r="M285" i="1"/>
  <c r="P285" i="1" s="1"/>
  <c r="X285" i="1" s="1"/>
  <c r="N285" i="1"/>
  <c r="O285" i="1"/>
  <c r="W285" i="1" s="1"/>
  <c r="M284" i="1"/>
  <c r="N284" i="1" s="1"/>
  <c r="O284" i="1"/>
  <c r="W284" i="1" s="1"/>
  <c r="H284" i="1"/>
  <c r="I284" i="1" s="1"/>
  <c r="F284" i="1"/>
  <c r="E284" i="1"/>
  <c r="C284" i="1"/>
  <c r="P284" i="1" l="1"/>
  <c r="X284" i="1" s="1"/>
  <c r="Y284" i="1" s="1"/>
  <c r="Y285" i="1"/>
  <c r="Q285" i="1"/>
  <c r="Q284" i="1"/>
  <c r="O283" i="1" l="1"/>
  <c r="W283" i="1" s="1"/>
  <c r="W295" i="1" s="1"/>
  <c r="M283" i="1"/>
  <c r="N283" i="1" s="1"/>
  <c r="H283" i="1"/>
  <c r="F283" i="1"/>
  <c r="E283" i="1"/>
  <c r="C283" i="1"/>
  <c r="F273" i="1"/>
  <c r="M273" i="1"/>
  <c r="N273" i="1" s="1"/>
  <c r="P283" i="1" l="1"/>
  <c r="I283" i="1"/>
  <c r="H295" i="1"/>
  <c r="J274" i="1"/>
  <c r="O274" i="1" s="1"/>
  <c r="R274" i="1"/>
  <c r="S273" i="1"/>
  <c r="B274" i="1"/>
  <c r="E273" i="1"/>
  <c r="C273" i="1"/>
  <c r="H273" i="1" s="1"/>
  <c r="I273" i="1" l="1"/>
  <c r="P273" i="1"/>
  <c r="X283" i="1"/>
  <c r="Q283" i="1"/>
  <c r="X273" i="1"/>
  <c r="O272" i="1"/>
  <c r="W272" i="1" s="1"/>
  <c r="O273" i="1"/>
  <c r="W273" i="1" s="1"/>
  <c r="M272" i="1"/>
  <c r="N272" i="1" s="1"/>
  <c r="S272" i="1"/>
  <c r="F272" i="1"/>
  <c r="E272" i="1"/>
  <c r="C272" i="1"/>
  <c r="H272" i="1" s="1"/>
  <c r="I272" i="1" s="1"/>
  <c r="Y273" i="1" l="1"/>
  <c r="Q273" i="1"/>
  <c r="X295" i="1"/>
  <c r="Y295" i="1" s="1"/>
  <c r="Y283" i="1"/>
  <c r="P272" i="1"/>
  <c r="M271" i="1"/>
  <c r="N271" i="1" s="1"/>
  <c r="T271" i="1"/>
  <c r="S271" i="1"/>
  <c r="F271" i="1"/>
  <c r="E271" i="1"/>
  <c r="C271" i="1"/>
  <c r="O271" i="1"/>
  <c r="W271" i="1" s="1"/>
  <c r="X272" i="1" l="1"/>
  <c r="Y272" i="1" s="1"/>
  <c r="Q272" i="1"/>
  <c r="H271" i="1"/>
  <c r="I271" i="1" s="1"/>
  <c r="V271" i="1"/>
  <c r="P271" i="1"/>
  <c r="O269" i="1"/>
  <c r="W269" i="1" s="1"/>
  <c r="O270" i="1"/>
  <c r="W270" i="1" s="1"/>
  <c r="M270" i="1"/>
  <c r="N270" i="1" s="1"/>
  <c r="M269" i="1"/>
  <c r="N269" i="1" s="1"/>
  <c r="T270" i="1"/>
  <c r="S270" i="1"/>
  <c r="F270" i="1"/>
  <c r="E270" i="1"/>
  <c r="C270" i="1"/>
  <c r="H270" i="1" s="1"/>
  <c r="T269" i="1"/>
  <c r="V269" i="1" s="1"/>
  <c r="S269" i="1"/>
  <c r="F269" i="1"/>
  <c r="E269" i="1"/>
  <c r="C269" i="1"/>
  <c r="V270" i="1" l="1"/>
  <c r="H269" i="1"/>
  <c r="P269" i="1" s="1"/>
  <c r="P270" i="1"/>
  <c r="Q270" i="1" s="1"/>
  <c r="I270" i="1"/>
  <c r="X270" i="1"/>
  <c r="Y270" i="1" s="1"/>
  <c r="X271" i="1"/>
  <c r="Y271" i="1" s="1"/>
  <c r="Q271" i="1"/>
  <c r="M268" i="1"/>
  <c r="N268" i="1" s="1"/>
  <c r="O268" i="1"/>
  <c r="W268" i="1"/>
  <c r="T268" i="1"/>
  <c r="S268" i="1"/>
  <c r="F268" i="1"/>
  <c r="E268" i="1"/>
  <c r="C268" i="1"/>
  <c r="V268" i="1" l="1"/>
  <c r="I269" i="1"/>
  <c r="X269" i="1"/>
  <c r="Y269" i="1" s="1"/>
  <c r="Q269" i="1"/>
  <c r="H268" i="1"/>
  <c r="I268" i="1" s="1"/>
  <c r="O267" i="1"/>
  <c r="W267" i="1" s="1"/>
  <c r="M267" i="1"/>
  <c r="N267" i="1" s="1"/>
  <c r="T267" i="1"/>
  <c r="V267" i="1" s="1"/>
  <c r="S267" i="1"/>
  <c r="F267" i="1"/>
  <c r="E267" i="1"/>
  <c r="C267" i="1"/>
  <c r="H267" i="1" l="1"/>
  <c r="P267" i="1" s="1"/>
  <c r="Q267" i="1" s="1"/>
  <c r="P268" i="1"/>
  <c r="O266" i="1"/>
  <c r="W266" i="1" s="1"/>
  <c r="M266" i="1"/>
  <c r="N266" i="1" s="1"/>
  <c r="T266" i="1"/>
  <c r="S266" i="1"/>
  <c r="V266" i="1" s="1"/>
  <c r="F266" i="1"/>
  <c r="H266" i="1" s="1"/>
  <c r="I266" i="1" s="1"/>
  <c r="E266" i="1"/>
  <c r="C266" i="1"/>
  <c r="I267" i="1" l="1"/>
  <c r="X268" i="1"/>
  <c r="Y268" i="1" s="1"/>
  <c r="Q268" i="1"/>
  <c r="P266" i="1"/>
  <c r="Q266" i="1" s="1"/>
  <c r="X267" i="1"/>
  <c r="Y267" i="1" s="1"/>
  <c r="K18" i="3"/>
  <c r="E15" i="3"/>
  <c r="G15" i="3" s="1"/>
  <c r="E14" i="3"/>
  <c r="L7" i="3"/>
  <c r="L8" i="3"/>
  <c r="L9" i="3"/>
  <c r="L10" i="3"/>
  <c r="L11" i="3"/>
  <c r="L12" i="3"/>
  <c r="L13" i="3"/>
  <c r="L14" i="3"/>
  <c r="L15" i="3"/>
  <c r="L16" i="3"/>
  <c r="L17" i="3"/>
  <c r="N7" i="3"/>
  <c r="N8" i="3"/>
  <c r="O8" i="3" s="1"/>
  <c r="P8" i="3" s="1"/>
  <c r="Q8" i="3" s="1"/>
  <c r="N9" i="3"/>
  <c r="N10" i="3"/>
  <c r="N11" i="3"/>
  <c r="N12" i="3"/>
  <c r="N13" i="3"/>
  <c r="N14" i="3"/>
  <c r="O14" i="3" s="1"/>
  <c r="P14" i="3" s="1"/>
  <c r="Q14" i="3" s="1"/>
  <c r="N15" i="3"/>
  <c r="N16" i="3"/>
  <c r="O16" i="3" s="1"/>
  <c r="P16" i="3" s="1"/>
  <c r="Q16" i="3" s="1"/>
  <c r="N17" i="3"/>
  <c r="O17" i="3" s="1"/>
  <c r="P17" i="3" s="1"/>
  <c r="Q17" i="3" s="1"/>
  <c r="N6" i="3"/>
  <c r="O6" i="3" s="1"/>
  <c r="P6" i="3" s="1"/>
  <c r="Q6" i="3" s="1"/>
  <c r="B7" i="3"/>
  <c r="B8" i="3"/>
  <c r="D8" i="3" s="1"/>
  <c r="B9" i="3"/>
  <c r="B10" i="3"/>
  <c r="D10" i="3" s="1"/>
  <c r="B11" i="3"/>
  <c r="D11" i="3" s="1"/>
  <c r="B12" i="3"/>
  <c r="D12" i="3" s="1"/>
  <c r="B13" i="3"/>
  <c r="D13" i="3" s="1"/>
  <c r="B14" i="3"/>
  <c r="D14" i="3" s="1"/>
  <c r="B15" i="3"/>
  <c r="B16" i="3"/>
  <c r="D16" i="3" s="1"/>
  <c r="B17" i="3"/>
  <c r="B6" i="3"/>
  <c r="T7" i="3"/>
  <c r="W7" i="3" s="1"/>
  <c r="T8" i="3"/>
  <c r="W8" i="3" s="1"/>
  <c r="T9" i="3"/>
  <c r="W9" i="3" s="1"/>
  <c r="T10" i="3"/>
  <c r="W10" i="3" s="1"/>
  <c r="T11" i="3"/>
  <c r="W11" i="3" s="1"/>
  <c r="T12" i="3"/>
  <c r="W12" i="3" s="1"/>
  <c r="T13" i="3"/>
  <c r="W13" i="3" s="1"/>
  <c r="T14" i="3"/>
  <c r="W14" i="3" s="1"/>
  <c r="T15" i="3"/>
  <c r="W15" i="3" s="1"/>
  <c r="T16" i="3"/>
  <c r="W16" i="3" s="1"/>
  <c r="T17" i="3"/>
  <c r="W17" i="3" s="1"/>
  <c r="T6" i="3"/>
  <c r="W6" i="3" s="1"/>
  <c r="R18" i="3"/>
  <c r="L6" i="3"/>
  <c r="G7" i="3"/>
  <c r="G8" i="3"/>
  <c r="G9" i="3"/>
  <c r="G10" i="3"/>
  <c r="G11" i="3"/>
  <c r="G12" i="3"/>
  <c r="G13" i="3"/>
  <c r="G14" i="3"/>
  <c r="G16" i="3"/>
  <c r="G17" i="3"/>
  <c r="G6" i="3"/>
  <c r="D7" i="3"/>
  <c r="D9" i="3"/>
  <c r="D15" i="3"/>
  <c r="D17" i="3"/>
  <c r="O9" i="3" l="1"/>
  <c r="P9" i="3" s="1"/>
  <c r="Q9" i="3" s="1"/>
  <c r="O11" i="3"/>
  <c r="P11" i="3" s="1"/>
  <c r="Q11" i="3" s="1"/>
  <c r="O10" i="3"/>
  <c r="P10" i="3" s="1"/>
  <c r="Q10" i="3" s="1"/>
  <c r="O15" i="3"/>
  <c r="P15" i="3" s="1"/>
  <c r="Q15" i="3" s="1"/>
  <c r="O7" i="3"/>
  <c r="P7" i="3" s="1"/>
  <c r="Q7" i="3" s="1"/>
  <c r="O13" i="3"/>
  <c r="P13" i="3" s="1"/>
  <c r="Q13" i="3" s="1"/>
  <c r="O12" i="3"/>
  <c r="P12" i="3" s="1"/>
  <c r="Q12" i="3" s="1"/>
  <c r="X266" i="1"/>
  <c r="Y266" i="1" s="1"/>
  <c r="H12" i="3"/>
  <c r="I12" i="3" s="1"/>
  <c r="J12" i="3" s="1"/>
  <c r="H15" i="3"/>
  <c r="I15" i="3" s="1"/>
  <c r="J15" i="3" s="1"/>
  <c r="H14" i="3"/>
  <c r="I14" i="3" s="1"/>
  <c r="J14" i="3" s="1"/>
  <c r="X14" i="3" s="1"/>
  <c r="H10" i="3"/>
  <c r="I10" i="3" s="1"/>
  <c r="J10" i="3" s="1"/>
  <c r="X10" i="3" s="1"/>
  <c r="H11" i="3"/>
  <c r="I11" i="3" s="1"/>
  <c r="J11" i="3" s="1"/>
  <c r="H17" i="3"/>
  <c r="I17" i="3" s="1"/>
  <c r="J17" i="3" s="1"/>
  <c r="X17" i="3" s="1"/>
  <c r="H13" i="3"/>
  <c r="I13" i="3" s="1"/>
  <c r="J13" i="3" s="1"/>
  <c r="H9" i="3"/>
  <c r="I9" i="3" s="1"/>
  <c r="J9" i="3" s="1"/>
  <c r="H7" i="3"/>
  <c r="I7" i="3" s="1"/>
  <c r="J7" i="3" s="1"/>
  <c r="X7" i="3" s="1"/>
  <c r="H16" i="3"/>
  <c r="I16" i="3" s="1"/>
  <c r="J16" i="3" s="1"/>
  <c r="X16" i="3" s="1"/>
  <c r="H8" i="3"/>
  <c r="I8" i="3" s="1"/>
  <c r="J8" i="3" s="1"/>
  <c r="X8" i="3" s="1"/>
  <c r="T18" i="3"/>
  <c r="B18" i="3"/>
  <c r="D6" i="3"/>
  <c r="H6" i="3" s="1"/>
  <c r="I6" i="3" s="1"/>
  <c r="J6" i="3" s="1"/>
  <c r="T265" i="1"/>
  <c r="F265" i="1"/>
  <c r="M264" i="1"/>
  <c r="N264" i="1" s="1"/>
  <c r="O264" i="1"/>
  <c r="W264" i="1" s="1"/>
  <c r="M265" i="1"/>
  <c r="O265" i="1"/>
  <c r="W265" i="1" s="1"/>
  <c r="S265" i="1"/>
  <c r="T264" i="1"/>
  <c r="S264" i="1"/>
  <c r="F264" i="1"/>
  <c r="C264" i="1"/>
  <c r="E264" i="1"/>
  <c r="C265" i="1"/>
  <c r="E265" i="1"/>
  <c r="V264" i="1" l="1"/>
  <c r="X12" i="3"/>
  <c r="X9" i="3"/>
  <c r="X11" i="3"/>
  <c r="Q18" i="3"/>
  <c r="J18" i="3"/>
  <c r="V265" i="1"/>
  <c r="X13" i="3"/>
  <c r="H265" i="1"/>
  <c r="I265" i="1" s="1"/>
  <c r="H264" i="1"/>
  <c r="I264" i="1" s="1"/>
  <c r="X15" i="3"/>
  <c r="X6" i="3"/>
  <c r="P264" i="1"/>
  <c r="X264" i="1" s="1"/>
  <c r="Y264" i="1" s="1"/>
  <c r="Q264" i="1"/>
  <c r="N265" i="1"/>
  <c r="K233" i="1"/>
  <c r="K255" i="1"/>
  <c r="J255" i="1"/>
  <c r="P265" i="1" l="1"/>
  <c r="X265" i="1" s="1"/>
  <c r="Y265" i="1" s="1"/>
  <c r="X18" i="3"/>
  <c r="Q265" i="1"/>
  <c r="S263" i="1"/>
  <c r="V263" i="1" s="1"/>
  <c r="M263" i="1"/>
  <c r="N263" i="1" s="1"/>
  <c r="O263" i="1"/>
  <c r="W263" i="1" s="1"/>
  <c r="F263" i="1"/>
  <c r="E263" i="1"/>
  <c r="C263" i="1"/>
  <c r="H263" i="1" l="1"/>
  <c r="I263" i="1" s="1"/>
  <c r="O262" i="1"/>
  <c r="W262" i="1" s="1"/>
  <c r="W274" i="1" s="1"/>
  <c r="V277" i="1" s="1"/>
  <c r="M262" i="1"/>
  <c r="N262" i="1" s="1"/>
  <c r="F262" i="1"/>
  <c r="E262" i="1"/>
  <c r="C262" i="1"/>
  <c r="H262" i="1" l="1"/>
  <c r="I262" i="1" s="1"/>
  <c r="P263" i="1"/>
  <c r="Q263" i="1" s="1"/>
  <c r="R255" i="1"/>
  <c r="X263" i="1" l="1"/>
  <c r="Y263" i="1" s="1"/>
  <c r="P262" i="1"/>
  <c r="X262" i="1"/>
  <c r="Q262" i="1"/>
  <c r="M254" i="1"/>
  <c r="N254" i="1" s="1"/>
  <c r="O254" i="1"/>
  <c r="W254" i="1" s="1"/>
  <c r="S254" i="1"/>
  <c r="F254" i="1"/>
  <c r="E254" i="1"/>
  <c r="C254" i="1"/>
  <c r="Y262" i="1" l="1"/>
  <c r="X274" i="1"/>
  <c r="Y274" i="1" s="1"/>
  <c r="H254" i="1"/>
  <c r="I254" i="1" s="1"/>
  <c r="P254" i="1"/>
  <c r="X254" i="1" s="1"/>
  <c r="Y254" i="1" s="1"/>
  <c r="O253" i="1"/>
  <c r="M253" i="1"/>
  <c r="N253" i="1" s="1"/>
  <c r="S253" i="1"/>
  <c r="F253" i="1"/>
  <c r="E253" i="1"/>
  <c r="C253" i="1"/>
  <c r="T252" i="1"/>
  <c r="S252" i="1"/>
  <c r="F252" i="1"/>
  <c r="E252" i="1"/>
  <c r="C252" i="1"/>
  <c r="H252" i="1" s="1"/>
  <c r="I252" i="1" s="1"/>
  <c r="H253" i="1" l="1"/>
  <c r="I253" i="1" s="1"/>
  <c r="V252" i="1"/>
  <c r="Q254" i="1"/>
  <c r="P253" i="1"/>
  <c r="Q253" i="1" s="1"/>
  <c r="M252" i="1"/>
  <c r="N252" i="1" s="1"/>
  <c r="O252" i="1"/>
  <c r="W252" i="1" s="1"/>
  <c r="W253" i="1"/>
  <c r="X253" i="1"/>
  <c r="Y253" i="1" s="1"/>
  <c r="P252" i="1" l="1"/>
  <c r="X252" i="1" s="1"/>
  <c r="Y252" i="1" s="1"/>
  <c r="O251" i="1"/>
  <c r="W251" i="1" s="1"/>
  <c r="M251" i="1"/>
  <c r="S251" i="1"/>
  <c r="V251" i="1" s="1"/>
  <c r="F251" i="1"/>
  <c r="E251" i="1"/>
  <c r="C251" i="1"/>
  <c r="H251" i="1" s="1"/>
  <c r="I251" i="1" s="1"/>
  <c r="P251" i="1" l="1"/>
  <c r="N251" i="1"/>
  <c r="Q252" i="1"/>
  <c r="O250" i="1"/>
  <c r="W250" i="1" s="1"/>
  <c r="M250" i="1"/>
  <c r="N250" i="1" s="1"/>
  <c r="S250" i="1"/>
  <c r="V250" i="1" s="1"/>
  <c r="F250" i="1"/>
  <c r="E250" i="1"/>
  <c r="H250" i="1" l="1"/>
  <c r="I250" i="1" s="1"/>
  <c r="X251" i="1"/>
  <c r="Y251" i="1" s="1"/>
  <c r="Q251" i="1"/>
  <c r="M249" i="1"/>
  <c r="N249" i="1" s="1"/>
  <c r="O249" i="1"/>
  <c r="W249" i="1" s="1"/>
  <c r="T249" i="1"/>
  <c r="S249" i="1"/>
  <c r="F249" i="1"/>
  <c r="P250" i="1" l="1"/>
  <c r="X250" i="1" s="1"/>
  <c r="Y250" i="1" s="1"/>
  <c r="V249" i="1"/>
  <c r="Q250" i="1" l="1"/>
  <c r="E249" i="1"/>
  <c r="H249" i="1" s="1"/>
  <c r="P249" i="1" l="1"/>
  <c r="I249" i="1"/>
  <c r="J233" i="1"/>
  <c r="X249" i="1" l="1"/>
  <c r="Y249" i="1" s="1"/>
  <c r="Q249" i="1"/>
  <c r="M248" i="1"/>
  <c r="T248" i="1" l="1"/>
  <c r="O248" i="1"/>
  <c r="W248" i="1" s="1"/>
  <c r="N248" i="1"/>
  <c r="S248" i="1"/>
  <c r="F248" i="1"/>
  <c r="E248" i="1"/>
  <c r="H248" i="1" s="1"/>
  <c r="I248" i="1" l="1"/>
  <c r="P248" i="1"/>
  <c r="X248" i="1" s="1"/>
  <c r="Y248" i="1" s="1"/>
  <c r="V248" i="1"/>
  <c r="Q248" i="1"/>
  <c r="O247" i="1"/>
  <c r="W247" i="1" s="1"/>
  <c r="M247" i="1"/>
  <c r="N247" i="1" s="1"/>
  <c r="T247" i="1"/>
  <c r="S247" i="1"/>
  <c r="F247" i="1"/>
  <c r="E247" i="1"/>
  <c r="V247" i="1" l="1"/>
  <c r="H247" i="1"/>
  <c r="I247" i="1" s="1"/>
  <c r="O246" i="1"/>
  <c r="W246" i="1" s="1"/>
  <c r="M246" i="1"/>
  <c r="N246" i="1" s="1"/>
  <c r="T246" i="1"/>
  <c r="S246" i="1"/>
  <c r="F246" i="1"/>
  <c r="E246" i="1"/>
  <c r="H246" i="1" l="1"/>
  <c r="P246" i="1"/>
  <c r="Q246" i="1" s="1"/>
  <c r="I246" i="1"/>
  <c r="V246" i="1"/>
  <c r="P247" i="1"/>
  <c r="O245" i="1"/>
  <c r="W245" i="1" s="1"/>
  <c r="M245" i="1"/>
  <c r="N245" i="1" s="1"/>
  <c r="F245" i="1"/>
  <c r="E245" i="1"/>
  <c r="C245" i="1"/>
  <c r="X246" i="1" l="1"/>
  <c r="Y246" i="1" s="1"/>
  <c r="H245" i="1"/>
  <c r="I245" i="1" s="1"/>
  <c r="X247" i="1"/>
  <c r="Y247" i="1" s="1"/>
  <c r="Q247" i="1"/>
  <c r="O244" i="1"/>
  <c r="W244" i="1" s="1"/>
  <c r="O243" i="1"/>
  <c r="M244" i="1"/>
  <c r="M243" i="1"/>
  <c r="N243" i="1" s="1"/>
  <c r="F244" i="1"/>
  <c r="G244" i="1"/>
  <c r="E244" i="1"/>
  <c r="C244" i="1"/>
  <c r="F243" i="1"/>
  <c r="C243" i="1"/>
  <c r="E243" i="1"/>
  <c r="P245" i="1" l="1"/>
  <c r="X245" i="1" s="1"/>
  <c r="Y245" i="1" s="1"/>
  <c r="W243" i="1"/>
  <c r="W255" i="1" s="1"/>
  <c r="O255" i="1"/>
  <c r="H244" i="1"/>
  <c r="I244" i="1" s="1"/>
  <c r="N244" i="1"/>
  <c r="H243" i="1"/>
  <c r="I243" i="1" s="1"/>
  <c r="B233" i="1"/>
  <c r="R233" i="1"/>
  <c r="S232" i="1"/>
  <c r="F232" i="1"/>
  <c r="E232" i="1"/>
  <c r="Q245" i="1" l="1"/>
  <c r="P244" i="1"/>
  <c r="R235" i="1"/>
  <c r="P243" i="1"/>
  <c r="P255" i="1" s="1"/>
  <c r="Q255" i="1" s="1"/>
  <c r="T232" i="1"/>
  <c r="V232" i="1" s="1"/>
  <c r="T231" i="1"/>
  <c r="S231" i="1"/>
  <c r="F231" i="1"/>
  <c r="E231" i="1"/>
  <c r="Q244" i="1" l="1"/>
  <c r="X244" i="1"/>
  <c r="Y244" i="1" s="1"/>
  <c r="Q243" i="1"/>
  <c r="X243" i="1"/>
  <c r="V231" i="1"/>
  <c r="U79" i="1"/>
  <c r="U80" i="1"/>
  <c r="U81" i="1"/>
  <c r="U82" i="1"/>
  <c r="U83" i="1"/>
  <c r="U84" i="1"/>
  <c r="U85" i="1"/>
  <c r="U86" i="1"/>
  <c r="U102" i="1"/>
  <c r="U103" i="1"/>
  <c r="U104" i="1"/>
  <c r="U105" i="1"/>
  <c r="U106" i="1"/>
  <c r="U107" i="1"/>
  <c r="U108" i="1"/>
  <c r="U109" i="1"/>
  <c r="U110" i="1"/>
  <c r="U111" i="1"/>
  <c r="S230" i="1"/>
  <c r="V230" i="1" s="1"/>
  <c r="F230" i="1"/>
  <c r="E230" i="1"/>
  <c r="Y243" i="1" l="1"/>
  <c r="X255" i="1"/>
  <c r="Y255" i="1" s="1"/>
  <c r="U87" i="1"/>
  <c r="S229" i="1"/>
  <c r="V229" i="1" s="1"/>
  <c r="F229" i="1"/>
  <c r="E229" i="1"/>
  <c r="T228" i="1" l="1"/>
  <c r="S228" i="1"/>
  <c r="F228" i="1"/>
  <c r="T227" i="1"/>
  <c r="S227" i="1"/>
  <c r="F227" i="1"/>
  <c r="E228" i="1"/>
  <c r="E227" i="1"/>
  <c r="V227" i="1" l="1"/>
  <c r="V228" i="1"/>
  <c r="O227" i="1"/>
  <c r="W227" i="1" s="1"/>
  <c r="T226" i="1" l="1"/>
  <c r="S226" i="1"/>
  <c r="F226" i="1"/>
  <c r="E226" i="1"/>
  <c r="V226" i="1" l="1"/>
  <c r="T225" i="1"/>
  <c r="S225" i="1"/>
  <c r="F225" i="1"/>
  <c r="E225" i="1"/>
  <c r="V225" i="1" l="1"/>
  <c r="H225" i="1"/>
  <c r="I225" i="1" s="1"/>
  <c r="T224" i="1"/>
  <c r="S224" i="1"/>
  <c r="F224" i="1"/>
  <c r="V224" i="1" l="1"/>
  <c r="M223" i="1"/>
  <c r="S223" i="1"/>
  <c r="V223" i="1" s="1"/>
  <c r="F223" i="1"/>
  <c r="S222" i="1" l="1"/>
  <c r="F222" i="1"/>
  <c r="V222" i="1" l="1"/>
  <c r="S233" i="1"/>
  <c r="N223" i="1"/>
  <c r="M224" i="1"/>
  <c r="N224" i="1" s="1"/>
  <c r="M225" i="1"/>
  <c r="N225" i="1" s="1"/>
  <c r="M226" i="1"/>
  <c r="M227" i="1"/>
  <c r="M228" i="1"/>
  <c r="M229" i="1"/>
  <c r="N229" i="1" s="1"/>
  <c r="M230" i="1"/>
  <c r="M231" i="1"/>
  <c r="M232" i="1"/>
  <c r="M233" i="1"/>
  <c r="N233" i="1" s="1"/>
  <c r="O222" i="1"/>
  <c r="W222" i="1" s="1"/>
  <c r="O223" i="1"/>
  <c r="W223" i="1" s="1"/>
  <c r="O224" i="1"/>
  <c r="W224" i="1" s="1"/>
  <c r="O225" i="1"/>
  <c r="W225" i="1" s="1"/>
  <c r="O226" i="1"/>
  <c r="W226" i="1" s="1"/>
  <c r="O228" i="1"/>
  <c r="W228" i="1" s="1"/>
  <c r="O229" i="1"/>
  <c r="W229" i="1" s="1"/>
  <c r="O230" i="1"/>
  <c r="W230" i="1" s="1"/>
  <c r="O231" i="1"/>
  <c r="W231" i="1" s="1"/>
  <c r="O232" i="1"/>
  <c r="W232" i="1" s="1"/>
  <c r="M222" i="1"/>
  <c r="N222" i="1" s="1"/>
  <c r="N232" i="1" l="1"/>
  <c r="N231" i="1"/>
  <c r="N228" i="1"/>
  <c r="N230" i="1"/>
  <c r="N227" i="1"/>
  <c r="N226" i="1"/>
  <c r="P225" i="1"/>
  <c r="O221" i="1"/>
  <c r="M221" i="1"/>
  <c r="N221" i="1" s="1"/>
  <c r="F221" i="1"/>
  <c r="F233" i="1" s="1"/>
  <c r="E222" i="1"/>
  <c r="E223" i="1"/>
  <c r="E224" i="1"/>
  <c r="E221" i="1"/>
  <c r="C222" i="1"/>
  <c r="H222" i="1" s="1"/>
  <c r="C223" i="1"/>
  <c r="H223" i="1" s="1"/>
  <c r="C224" i="1"/>
  <c r="C226" i="1"/>
  <c r="H226" i="1" s="1"/>
  <c r="I226" i="1" s="1"/>
  <c r="C227" i="1"/>
  <c r="H227" i="1" s="1"/>
  <c r="I227" i="1" s="1"/>
  <c r="C228" i="1"/>
  <c r="H228" i="1" s="1"/>
  <c r="I228" i="1" s="1"/>
  <c r="C229" i="1"/>
  <c r="H229" i="1" s="1"/>
  <c r="I229" i="1" s="1"/>
  <c r="C230" i="1"/>
  <c r="H230" i="1" s="1"/>
  <c r="I230" i="1" s="1"/>
  <c r="C231" i="1"/>
  <c r="H231" i="1" s="1"/>
  <c r="I231" i="1" s="1"/>
  <c r="C232" i="1"/>
  <c r="H232" i="1" s="1"/>
  <c r="I232" i="1" s="1"/>
  <c r="C221" i="1"/>
  <c r="H224" i="1" l="1"/>
  <c r="I224" i="1" s="1"/>
  <c r="E233" i="1"/>
  <c r="C233" i="1"/>
  <c r="P231" i="1"/>
  <c r="W221" i="1"/>
  <c r="W233" i="1" s="1"/>
  <c r="O233" i="1"/>
  <c r="P232" i="1"/>
  <c r="H221" i="1"/>
  <c r="H233" i="1" s="1"/>
  <c r="P224" i="1"/>
  <c r="X224" i="1" s="1"/>
  <c r="Y224" i="1" s="1"/>
  <c r="P228" i="1"/>
  <c r="Q225" i="1"/>
  <c r="X225" i="1"/>
  <c r="Y225" i="1" s="1"/>
  <c r="P229" i="1"/>
  <c r="X229" i="1" s="1"/>
  <c r="Y229" i="1" s="1"/>
  <c r="I223" i="1"/>
  <c r="P223" i="1"/>
  <c r="P226" i="1"/>
  <c r="I222" i="1"/>
  <c r="P222" i="1"/>
  <c r="P227" i="1"/>
  <c r="P230" i="1"/>
  <c r="M211" i="1"/>
  <c r="N211" i="1" s="1"/>
  <c r="Q229" i="1" l="1"/>
  <c r="I221" i="1"/>
  <c r="P221" i="1"/>
  <c r="X231" i="1"/>
  <c r="Y231" i="1" s="1"/>
  <c r="Q231" i="1"/>
  <c r="P233" i="1"/>
  <c r="Q233" i="1" s="1"/>
  <c r="X232" i="1"/>
  <c r="Y232" i="1" s="1"/>
  <c r="Q232" i="1"/>
  <c r="Q224" i="1"/>
  <c r="X228" i="1"/>
  <c r="Y228" i="1" s="1"/>
  <c r="Q228" i="1"/>
  <c r="X230" i="1"/>
  <c r="Y230" i="1" s="1"/>
  <c r="Q230" i="1"/>
  <c r="Q226" i="1"/>
  <c r="X226" i="1"/>
  <c r="Y226" i="1" s="1"/>
  <c r="Q227" i="1"/>
  <c r="X227" i="1"/>
  <c r="Y227" i="1" s="1"/>
  <c r="X223" i="1"/>
  <c r="Y223" i="1" s="1"/>
  <c r="Q223" i="1"/>
  <c r="X222" i="1"/>
  <c r="Y222" i="1" s="1"/>
  <c r="Q222" i="1"/>
  <c r="Q221" i="1"/>
  <c r="X221" i="1"/>
  <c r="O211" i="1"/>
  <c r="T211" i="1"/>
  <c r="S211" i="1"/>
  <c r="F211" i="1"/>
  <c r="E211" i="1"/>
  <c r="C211" i="1"/>
  <c r="Y221" i="1" l="1"/>
  <c r="X233" i="1"/>
  <c r="Y233" i="1" s="1"/>
  <c r="V211" i="1"/>
  <c r="H211" i="1"/>
  <c r="I211" i="1" s="1"/>
  <c r="W211" i="1"/>
  <c r="R212" i="1"/>
  <c r="K212" i="1"/>
  <c r="J212" i="1"/>
  <c r="B212" i="1"/>
  <c r="T210" i="1"/>
  <c r="S210" i="1"/>
  <c r="M210" i="1"/>
  <c r="N210" i="1" s="1"/>
  <c r="F210" i="1"/>
  <c r="E210" i="1"/>
  <c r="C210" i="1"/>
  <c r="O210" i="1"/>
  <c r="W210" i="1" s="1"/>
  <c r="V210" i="1" l="1"/>
  <c r="H210" i="1"/>
  <c r="I210" i="1" s="1"/>
  <c r="P211" i="1"/>
  <c r="Q211" i="1" s="1"/>
  <c r="O209" i="1"/>
  <c r="W209" i="1" s="1"/>
  <c r="M209" i="1"/>
  <c r="N209" i="1" s="1"/>
  <c r="T209" i="1"/>
  <c r="S209" i="1"/>
  <c r="F209" i="1"/>
  <c r="E209" i="1"/>
  <c r="C209" i="1"/>
  <c r="P210" i="1" l="1"/>
  <c r="V209" i="1"/>
  <c r="H209" i="1"/>
  <c r="I209" i="1" s="1"/>
  <c r="X211" i="1"/>
  <c r="Y211" i="1" s="1"/>
  <c r="Q210" i="1"/>
  <c r="X210" i="1"/>
  <c r="Y210" i="1" s="1"/>
  <c r="P209" i="1" l="1"/>
  <c r="X209" i="1" s="1"/>
  <c r="Y209" i="1" s="1"/>
  <c r="T208" i="1"/>
  <c r="S208" i="1"/>
  <c r="F208" i="1"/>
  <c r="M208" i="1"/>
  <c r="N208" i="1" s="1"/>
  <c r="E208" i="1"/>
  <c r="C208" i="1"/>
  <c r="O208" i="1"/>
  <c r="W208" i="1" s="1"/>
  <c r="H208" i="1" l="1"/>
  <c r="Q209" i="1"/>
  <c r="I208" i="1"/>
  <c r="P208" i="1"/>
  <c r="Q208" i="1" s="1"/>
  <c r="V208" i="1"/>
  <c r="T207" i="1"/>
  <c r="S207" i="1"/>
  <c r="O207" i="1"/>
  <c r="W207" i="1" s="1"/>
  <c r="M207" i="1"/>
  <c r="N207" i="1" s="1"/>
  <c r="F207" i="1"/>
  <c r="E207" i="1"/>
  <c r="C205" i="1"/>
  <c r="C206" i="1"/>
  <c r="C207" i="1"/>
  <c r="H207" i="1" l="1"/>
  <c r="I207" i="1" s="1"/>
  <c r="X208" i="1"/>
  <c r="Y208" i="1" s="1"/>
  <c r="V207" i="1"/>
  <c r="T206" i="1"/>
  <c r="S206" i="1"/>
  <c r="F206" i="1"/>
  <c r="P207" i="1" l="1"/>
  <c r="Q207" i="1" s="1"/>
  <c r="X207" i="1"/>
  <c r="Y207" i="1" s="1"/>
  <c r="V206" i="1"/>
  <c r="M206" i="1"/>
  <c r="N206" i="1" s="1"/>
  <c r="O206" i="1"/>
  <c r="W206" i="1" s="1"/>
  <c r="E206" i="1"/>
  <c r="H206" i="1" s="1"/>
  <c r="I206" i="1" s="1"/>
  <c r="P206" i="1" l="1"/>
  <c r="T205" i="1"/>
  <c r="S205" i="1"/>
  <c r="M205" i="1"/>
  <c r="N205" i="1" s="1"/>
  <c r="O205" i="1"/>
  <c r="W205" i="1" s="1"/>
  <c r="F205" i="1"/>
  <c r="E205" i="1"/>
  <c r="H205" i="1" l="1"/>
  <c r="I205" i="1" s="1"/>
  <c r="V205" i="1"/>
  <c r="Q206" i="1"/>
  <c r="X206" i="1"/>
  <c r="Y206" i="1" s="1"/>
  <c r="O204" i="1"/>
  <c r="W204" i="1" s="1"/>
  <c r="M204" i="1"/>
  <c r="N204" i="1" s="1"/>
  <c r="T204" i="1"/>
  <c r="S204" i="1"/>
  <c r="F204" i="1"/>
  <c r="E204" i="1"/>
  <c r="C204" i="1"/>
  <c r="P205" i="1" l="1"/>
  <c r="H204" i="1"/>
  <c r="I204" i="1" s="1"/>
  <c r="V204" i="1"/>
  <c r="X205" i="1"/>
  <c r="Y205" i="1" s="1"/>
  <c r="Q205" i="1"/>
  <c r="M203" i="1"/>
  <c r="N203" i="1" s="1"/>
  <c r="O203" i="1"/>
  <c r="W203" i="1" s="1"/>
  <c r="T203" i="1"/>
  <c r="S203" i="1"/>
  <c r="F203" i="1"/>
  <c r="E203" i="1"/>
  <c r="C203" i="1"/>
  <c r="P204" i="1" l="1"/>
  <c r="Q204" i="1" s="1"/>
  <c r="V203" i="1"/>
  <c r="H203" i="1"/>
  <c r="I203" i="1" s="1"/>
  <c r="T202" i="1"/>
  <c r="S202" i="1"/>
  <c r="O202" i="1"/>
  <c r="W202" i="1" s="1"/>
  <c r="M202" i="1"/>
  <c r="N202" i="1" s="1"/>
  <c r="X204" i="1" l="1"/>
  <c r="Y204" i="1" s="1"/>
  <c r="V202" i="1"/>
  <c r="P203" i="1"/>
  <c r="X203" i="1" s="1"/>
  <c r="Y203" i="1" s="1"/>
  <c r="F202" i="1"/>
  <c r="E202" i="1"/>
  <c r="H202" i="1" l="1"/>
  <c r="P202" i="1" s="1"/>
  <c r="Q203" i="1"/>
  <c r="I202" i="1"/>
  <c r="X202" i="1"/>
  <c r="Q202" i="1"/>
  <c r="M201" i="1"/>
  <c r="N201" i="1" s="1"/>
  <c r="O201" i="1"/>
  <c r="W201" i="1" s="1"/>
  <c r="T201" i="1"/>
  <c r="S201" i="1"/>
  <c r="G201" i="1"/>
  <c r="G212" i="1" s="1"/>
  <c r="F201" i="1"/>
  <c r="C201" i="1"/>
  <c r="E201" i="1"/>
  <c r="H201" i="1" l="1"/>
  <c r="I201" i="1" s="1"/>
  <c r="V201" i="1"/>
  <c r="V212" i="1" s="1"/>
  <c r="Y202" i="1"/>
  <c r="P201" i="1" l="1"/>
  <c r="Q201" i="1" s="1"/>
  <c r="X201" i="1" l="1"/>
  <c r="Y201" i="1" s="1"/>
  <c r="O200" i="1"/>
  <c r="M200" i="1"/>
  <c r="M212" i="1" s="1"/>
  <c r="N200" i="1" l="1"/>
  <c r="F200" i="1"/>
  <c r="F212" i="1" s="1"/>
  <c r="W200" i="1" l="1"/>
  <c r="W212" i="1" s="1"/>
  <c r="E200" i="1"/>
  <c r="E212" i="1" s="1"/>
  <c r="C200" i="1"/>
  <c r="C212" i="1" s="1"/>
  <c r="H200" i="1" l="1"/>
  <c r="H212" i="1" s="1"/>
  <c r="P200" i="1" l="1"/>
  <c r="X200" i="1" s="1"/>
  <c r="I200" i="1"/>
  <c r="R186" i="1"/>
  <c r="G186" i="1"/>
  <c r="B186" i="1"/>
  <c r="K186" i="1"/>
  <c r="J186" i="1"/>
  <c r="Q200" i="1" l="1"/>
  <c r="X212" i="1"/>
  <c r="Y200" i="1"/>
  <c r="O185" i="1" l="1"/>
  <c r="W185" i="1" s="1"/>
  <c r="M185" i="1"/>
  <c r="N185" i="1" s="1"/>
  <c r="F185" i="1"/>
  <c r="E185" i="1"/>
  <c r="C185" i="1"/>
  <c r="O184" i="1" l="1"/>
  <c r="W184" i="1" s="1"/>
  <c r="M184" i="1"/>
  <c r="N184" i="1" s="1"/>
  <c r="P184" i="1" l="1"/>
  <c r="X184" i="1" s="1"/>
  <c r="Y184" i="1" s="1"/>
  <c r="F184" i="1"/>
  <c r="E184" i="1"/>
  <c r="C184" i="1"/>
  <c r="Q184" i="1" l="1"/>
  <c r="O183" i="1"/>
  <c r="W183" i="1" s="1"/>
  <c r="M183" i="1"/>
  <c r="N183" i="1" s="1"/>
  <c r="F183" i="1"/>
  <c r="E183" i="1"/>
  <c r="C183" i="1" l="1"/>
  <c r="T182" i="1" l="1"/>
  <c r="S182" i="1"/>
  <c r="F182" i="1"/>
  <c r="V182" i="1" l="1"/>
  <c r="O182" i="1"/>
  <c r="W182" i="1" s="1"/>
  <c r="M182" i="1"/>
  <c r="N182" i="1" s="1"/>
  <c r="E182" i="1"/>
  <c r="C182" i="1"/>
  <c r="O181" i="1" l="1"/>
  <c r="W181" i="1" s="1"/>
  <c r="M181" i="1"/>
  <c r="T181" i="1"/>
  <c r="S181" i="1"/>
  <c r="V181" i="1" s="1"/>
  <c r="F181" i="1"/>
  <c r="E181" i="1"/>
  <c r="C181" i="1"/>
  <c r="N181" i="1" l="1"/>
  <c r="O180" i="1"/>
  <c r="W180" i="1" s="1"/>
  <c r="M180" i="1"/>
  <c r="N180" i="1" s="1"/>
  <c r="T180" i="1"/>
  <c r="S180" i="1"/>
  <c r="F180" i="1"/>
  <c r="E180" i="1"/>
  <c r="C180" i="1"/>
  <c r="V180" i="1" l="1"/>
  <c r="T179" i="1"/>
  <c r="S179" i="1"/>
  <c r="M179" i="1"/>
  <c r="N179" i="1" s="1"/>
  <c r="I184" i="1"/>
  <c r="F179" i="1"/>
  <c r="H180" i="1"/>
  <c r="I180" i="1" s="1"/>
  <c r="H181" i="1"/>
  <c r="H182" i="1"/>
  <c r="H183" i="1"/>
  <c r="H185" i="1"/>
  <c r="C179" i="1"/>
  <c r="E179" i="1"/>
  <c r="O179" i="1"/>
  <c r="W179" i="1" s="1"/>
  <c r="V179" i="1" l="1"/>
  <c r="I181" i="1"/>
  <c r="P181" i="1"/>
  <c r="I185" i="1"/>
  <c r="P185" i="1"/>
  <c r="H179" i="1"/>
  <c r="I183" i="1"/>
  <c r="P183" i="1"/>
  <c r="P180" i="1"/>
  <c r="X180" i="1" s="1"/>
  <c r="Y180" i="1" s="1"/>
  <c r="I182" i="1"/>
  <c r="P182" i="1"/>
  <c r="O178" i="1"/>
  <c r="W178" i="1" s="1"/>
  <c r="M178" i="1"/>
  <c r="N178" i="1" s="1"/>
  <c r="T178" i="1"/>
  <c r="S177" i="1"/>
  <c r="S178" i="1"/>
  <c r="V178" i="1" s="1"/>
  <c r="S176" i="1"/>
  <c r="F178" i="1"/>
  <c r="E178" i="1"/>
  <c r="H178" i="1" l="1"/>
  <c r="I178" i="1" s="1"/>
  <c r="Q180" i="1"/>
  <c r="Q182" i="1"/>
  <c r="X182" i="1"/>
  <c r="Y182" i="1" s="1"/>
  <c r="X183" i="1"/>
  <c r="Y183" i="1" s="1"/>
  <c r="Q183" i="1"/>
  <c r="Q181" i="1"/>
  <c r="X181" i="1"/>
  <c r="Y181" i="1" s="1"/>
  <c r="X185" i="1"/>
  <c r="Y185" i="1" s="1"/>
  <c r="Q185" i="1"/>
  <c r="P179" i="1"/>
  <c r="I179" i="1"/>
  <c r="P178" i="1"/>
  <c r="Q178" i="1" s="1"/>
  <c r="T177" i="1"/>
  <c r="V177" i="1" s="1"/>
  <c r="O177" i="1"/>
  <c r="W177" i="1" s="1"/>
  <c r="M177" i="1"/>
  <c r="N177" i="1" s="1"/>
  <c r="F177" i="1"/>
  <c r="E177" i="1"/>
  <c r="C177" i="1"/>
  <c r="H177" i="1" l="1"/>
  <c r="I177" i="1" s="1"/>
  <c r="X178" i="1"/>
  <c r="Y178" i="1" s="1"/>
  <c r="Q179" i="1"/>
  <c r="X179" i="1"/>
  <c r="Y179" i="1" s="1"/>
  <c r="P177" i="1"/>
  <c r="X177" i="1" l="1"/>
  <c r="Y177" i="1" s="1"/>
  <c r="Q177" i="1"/>
  <c r="T176" i="1" l="1"/>
  <c r="V176" i="1" s="1"/>
  <c r="O176" i="1"/>
  <c r="W176" i="1" s="1"/>
  <c r="O175" i="1"/>
  <c r="W175" i="1" s="1"/>
  <c r="O174" i="1"/>
  <c r="M175" i="1"/>
  <c r="M174" i="1"/>
  <c r="M176" i="1"/>
  <c r="N176" i="1" s="1"/>
  <c r="F176" i="1"/>
  <c r="F186" i="1" s="1"/>
  <c r="E176" i="1"/>
  <c r="E175" i="1"/>
  <c r="E174" i="1"/>
  <c r="C175" i="1"/>
  <c r="C174" i="1"/>
  <c r="C176" i="1"/>
  <c r="H176" i="1" l="1"/>
  <c r="I176" i="1" s="1"/>
  <c r="C186" i="1"/>
  <c r="H175" i="1"/>
  <c r="P175" i="1" s="1"/>
  <c r="E186" i="1"/>
  <c r="P176" i="1"/>
  <c r="H174" i="1"/>
  <c r="H186" i="1" s="1"/>
  <c r="W174" i="1"/>
  <c r="W186" i="1" s="1"/>
  <c r="O186" i="1"/>
  <c r="M186" i="1"/>
  <c r="N175" i="1"/>
  <c r="N174" i="1"/>
  <c r="Q175" i="1" l="1"/>
  <c r="X175" i="1"/>
  <c r="P186" i="1"/>
  <c r="Q186" i="1" s="1"/>
  <c r="P174" i="1"/>
  <c r="X176" i="1"/>
  <c r="Y176" i="1" s="1"/>
  <c r="Q176" i="1"/>
  <c r="T160" i="1"/>
  <c r="F160" i="1"/>
  <c r="E160" i="1"/>
  <c r="Q174" i="1" l="1"/>
  <c r="X174" i="1"/>
  <c r="X186" i="1" s="1"/>
  <c r="Y186" i="1" s="1"/>
  <c r="O159" i="1"/>
  <c r="M159" i="1"/>
  <c r="N159" i="1" s="1"/>
  <c r="F159" i="1"/>
  <c r="E159" i="1"/>
  <c r="T158" i="1" l="1"/>
  <c r="G158" i="1"/>
  <c r="F158" i="1"/>
  <c r="E158" i="1"/>
  <c r="C159" i="1"/>
  <c r="C160" i="1"/>
  <c r="C158" i="1"/>
  <c r="T157" i="1" l="1"/>
  <c r="O157" i="1"/>
  <c r="M157" i="1"/>
  <c r="N157" i="1" s="1"/>
  <c r="F157" i="1"/>
  <c r="O150" i="1" l="1"/>
  <c r="W150" i="1" s="1"/>
  <c r="O151" i="1"/>
  <c r="W151" i="1" s="1"/>
  <c r="O152" i="1"/>
  <c r="W152" i="1" s="1"/>
  <c r="O153" i="1"/>
  <c r="W153" i="1" s="1"/>
  <c r="O154" i="1"/>
  <c r="W154" i="1" s="1"/>
  <c r="O155" i="1"/>
  <c r="W155" i="1" s="1"/>
  <c r="O156" i="1"/>
  <c r="W156" i="1" s="1"/>
  <c r="S128" i="1"/>
  <c r="S127" i="1"/>
  <c r="S129" i="1"/>
  <c r="S130" i="1"/>
  <c r="S131" i="1"/>
  <c r="S132" i="1"/>
  <c r="S133" i="1"/>
  <c r="S134" i="1"/>
  <c r="S135" i="1"/>
  <c r="S136" i="1"/>
  <c r="R137" i="1"/>
  <c r="O126" i="1"/>
  <c r="O127" i="1"/>
  <c r="O128" i="1"/>
  <c r="O129" i="1"/>
  <c r="O130" i="1"/>
  <c r="O131" i="1"/>
  <c r="O132" i="1"/>
  <c r="O133" i="1"/>
  <c r="O134" i="1"/>
  <c r="O135" i="1"/>
  <c r="O136" i="1"/>
  <c r="O125" i="1"/>
  <c r="K137" i="1"/>
  <c r="J137" i="1"/>
  <c r="B137" i="1"/>
  <c r="O137" i="1" l="1"/>
  <c r="O158" i="1"/>
  <c r="O160" i="1"/>
  <c r="M156" i="1"/>
  <c r="N156" i="1" s="1"/>
  <c r="M158" i="1"/>
  <c r="N158" i="1" s="1"/>
  <c r="M160" i="1"/>
  <c r="N160" i="1" s="1"/>
  <c r="F156" i="1"/>
  <c r="T155" i="1" l="1"/>
  <c r="F155" i="1"/>
  <c r="R161" i="1" l="1"/>
  <c r="B161" i="1"/>
  <c r="K161" i="1"/>
  <c r="J161" i="1"/>
  <c r="T154" i="1"/>
  <c r="G154" i="1"/>
  <c r="F154" i="1"/>
  <c r="T153" i="1" l="1"/>
  <c r="F153" i="1"/>
  <c r="C151" i="1"/>
  <c r="C152" i="1"/>
  <c r="C153" i="1"/>
  <c r="C154" i="1"/>
  <c r="C155" i="1"/>
  <c r="C156" i="1"/>
  <c r="T152" i="1" l="1"/>
  <c r="M152" i="1"/>
  <c r="M153" i="1"/>
  <c r="M154" i="1"/>
  <c r="M155" i="1"/>
  <c r="F152" i="1"/>
  <c r="E152" i="1"/>
  <c r="E153" i="1"/>
  <c r="H153" i="1" s="1"/>
  <c r="E154" i="1"/>
  <c r="H154" i="1" s="1"/>
  <c r="I154" i="1" s="1"/>
  <c r="E155" i="1"/>
  <c r="E156" i="1"/>
  <c r="H156" i="1" s="1"/>
  <c r="P156" i="1" s="1"/>
  <c r="H157" i="1"/>
  <c r="I157" i="1" s="1"/>
  <c r="H158" i="1"/>
  <c r="I158" i="1" s="1"/>
  <c r="H159" i="1"/>
  <c r="I159" i="1" s="1"/>
  <c r="H160" i="1"/>
  <c r="H152" i="1" l="1"/>
  <c r="I152" i="1" s="1"/>
  <c r="N152" i="1"/>
  <c r="N154" i="1"/>
  <c r="P154" i="1"/>
  <c r="Q154" i="1" s="1"/>
  <c r="N153" i="1"/>
  <c r="P153" i="1"/>
  <c r="Q153" i="1" s="1"/>
  <c r="Q156" i="1"/>
  <c r="P158" i="1"/>
  <c r="Q158" i="1" s="1"/>
  <c r="N155" i="1"/>
  <c r="H155" i="1"/>
  <c r="I155" i="1" s="1"/>
  <c r="P160" i="1"/>
  <c r="Q160" i="1" s="1"/>
  <c r="I160" i="1"/>
  <c r="I156" i="1"/>
  <c r="P159" i="1"/>
  <c r="Q159" i="1" s="1"/>
  <c r="P157" i="1"/>
  <c r="Q157" i="1" s="1"/>
  <c r="I153" i="1"/>
  <c r="T151" i="1"/>
  <c r="S160" i="1"/>
  <c r="V160" i="1" s="1"/>
  <c r="S150" i="1"/>
  <c r="V150" i="1" s="1"/>
  <c r="S151" i="1"/>
  <c r="S152" i="1"/>
  <c r="V152" i="1" s="1"/>
  <c r="S153" i="1"/>
  <c r="V153" i="1" s="1"/>
  <c r="S154" i="1"/>
  <c r="V154" i="1" s="1"/>
  <c r="S155" i="1"/>
  <c r="S156" i="1"/>
  <c r="V156" i="1" s="1"/>
  <c r="S157" i="1"/>
  <c r="V157" i="1" s="1"/>
  <c r="S158" i="1"/>
  <c r="V158" i="1" s="1"/>
  <c r="S159" i="1"/>
  <c r="V159" i="1" s="1"/>
  <c r="F151" i="1"/>
  <c r="E151" i="1"/>
  <c r="H151" i="1" l="1"/>
  <c r="I151" i="1" s="1"/>
  <c r="P152" i="1"/>
  <c r="Q152" i="1" s="1"/>
  <c r="V151" i="1"/>
  <c r="P155" i="1"/>
  <c r="Q155" i="1" s="1"/>
  <c r="V155" i="1"/>
  <c r="G150" i="1"/>
  <c r="G161" i="1" s="1"/>
  <c r="F150" i="1"/>
  <c r="E150" i="1"/>
  <c r="C150" i="1"/>
  <c r="M150" i="1"/>
  <c r="N150" i="1" s="1"/>
  <c r="M151" i="1"/>
  <c r="W157" i="1"/>
  <c r="W158" i="1"/>
  <c r="W159" i="1"/>
  <c r="W160" i="1"/>
  <c r="H150" i="1" l="1"/>
  <c r="I150" i="1" s="1"/>
  <c r="N151" i="1"/>
  <c r="P151" i="1"/>
  <c r="Q151" i="1" s="1"/>
  <c r="X157" i="1"/>
  <c r="Y157" i="1" s="1"/>
  <c r="X153" i="1"/>
  <c r="X158" i="1"/>
  <c r="Y158" i="1" s="1"/>
  <c r="X154" i="1"/>
  <c r="Y154" i="1" s="1"/>
  <c r="T149" i="1"/>
  <c r="T161" i="1" s="1"/>
  <c r="S149" i="1"/>
  <c r="S161" i="1" s="1"/>
  <c r="F149" i="1"/>
  <c r="F161" i="1" s="1"/>
  <c r="E149" i="1"/>
  <c r="E161" i="1" s="1"/>
  <c r="O149" i="1"/>
  <c r="W149" i="1" s="1"/>
  <c r="W161" i="1" s="1"/>
  <c r="M149" i="1"/>
  <c r="N149" i="1" s="1"/>
  <c r="C149" i="1"/>
  <c r="P150" i="1" l="1"/>
  <c r="Q150" i="1" s="1"/>
  <c r="V149" i="1"/>
  <c r="O161" i="1"/>
  <c r="H149" i="1"/>
  <c r="H161" i="1" s="1"/>
  <c r="C161" i="1"/>
  <c r="V161" i="1"/>
  <c r="M161" i="1"/>
  <c r="Y153" i="1"/>
  <c r="X155" i="1"/>
  <c r="Y155" i="1" s="1"/>
  <c r="X160" i="1"/>
  <c r="Y160" i="1" s="1"/>
  <c r="X159" i="1"/>
  <c r="Y159" i="1" s="1"/>
  <c r="X152" i="1"/>
  <c r="Y152" i="1" s="1"/>
  <c r="X151" i="1"/>
  <c r="Y151" i="1" s="1"/>
  <c r="X156" i="1"/>
  <c r="Y156" i="1" s="1"/>
  <c r="T136" i="1"/>
  <c r="F136" i="1"/>
  <c r="X150" i="1" l="1"/>
  <c r="Y150" i="1" s="1"/>
  <c r="P149" i="1"/>
  <c r="P161" i="1"/>
  <c r="Q161" i="1" s="1"/>
  <c r="I149" i="1"/>
  <c r="T135" i="1"/>
  <c r="G135" i="1"/>
  <c r="F135" i="1"/>
  <c r="X149" i="1" l="1"/>
  <c r="Q149" i="1"/>
  <c r="T134" i="1"/>
  <c r="F134" i="1"/>
  <c r="Y149" i="1" l="1"/>
  <c r="X161" i="1"/>
  <c r="Y161" i="1" s="1"/>
  <c r="T133" i="1"/>
  <c r="F133" i="1"/>
  <c r="V137" i="1" l="1"/>
  <c r="T132" i="1"/>
  <c r="V132" i="1" s="1"/>
  <c r="F132" i="1"/>
  <c r="T131" i="1" l="1"/>
  <c r="V131" i="1" s="1"/>
  <c r="F131" i="1"/>
  <c r="T130" i="1" l="1"/>
  <c r="V130" i="1" s="1"/>
  <c r="F130" i="1"/>
  <c r="T129" i="1" l="1"/>
  <c r="V129" i="1" s="1"/>
  <c r="F129" i="1"/>
  <c r="T128" i="1" l="1"/>
  <c r="V128" i="1" s="1"/>
  <c r="V133" i="1"/>
  <c r="V134" i="1"/>
  <c r="V135" i="1"/>
  <c r="V136" i="1"/>
  <c r="G126" i="1"/>
  <c r="G137" i="1" s="1"/>
  <c r="F128" i="1"/>
  <c r="G33" i="1" l="1"/>
  <c r="T126" i="1" l="1"/>
  <c r="T127" i="1"/>
  <c r="V127" i="1" s="1"/>
  <c r="F127" i="1"/>
  <c r="W126" i="1" l="1"/>
  <c r="S126" i="1"/>
  <c r="V126" i="1" s="1"/>
  <c r="W127" i="1"/>
  <c r="W128" i="1"/>
  <c r="W129" i="1"/>
  <c r="W130" i="1"/>
  <c r="W131" i="1"/>
  <c r="W132" i="1"/>
  <c r="W133" i="1"/>
  <c r="W134" i="1"/>
  <c r="W135" i="1"/>
  <c r="W136" i="1"/>
  <c r="M126" i="1"/>
  <c r="N126" i="1" s="1"/>
  <c r="M127" i="1"/>
  <c r="N127" i="1" s="1"/>
  <c r="M128" i="1"/>
  <c r="N128" i="1" s="1"/>
  <c r="M129" i="1"/>
  <c r="N129" i="1" s="1"/>
  <c r="M130" i="1"/>
  <c r="N130" i="1" s="1"/>
  <c r="M131" i="1"/>
  <c r="N131" i="1" s="1"/>
  <c r="M132" i="1"/>
  <c r="N132" i="1" s="1"/>
  <c r="M133" i="1"/>
  <c r="N133" i="1" s="1"/>
  <c r="M134" i="1"/>
  <c r="N134" i="1" s="1"/>
  <c r="M135" i="1"/>
  <c r="N135" i="1" s="1"/>
  <c r="M136" i="1"/>
  <c r="N136" i="1" s="1"/>
  <c r="F126" i="1"/>
  <c r="E127" i="1"/>
  <c r="E128" i="1"/>
  <c r="E129" i="1"/>
  <c r="E130" i="1"/>
  <c r="E131" i="1"/>
  <c r="E132" i="1"/>
  <c r="E133" i="1"/>
  <c r="E134" i="1"/>
  <c r="E135" i="1"/>
  <c r="E136" i="1"/>
  <c r="E137" i="1"/>
  <c r="C127" i="1"/>
  <c r="C128" i="1"/>
  <c r="C129" i="1"/>
  <c r="C130" i="1"/>
  <c r="C131" i="1"/>
  <c r="C132" i="1"/>
  <c r="C133" i="1"/>
  <c r="C134" i="1"/>
  <c r="C135" i="1"/>
  <c r="C136" i="1"/>
  <c r="C137" i="1"/>
  <c r="E126" i="1"/>
  <c r="C125" i="1"/>
  <c r="C126" i="1"/>
  <c r="H128" i="1" l="1"/>
  <c r="P128" i="1" s="1"/>
  <c r="Q128" i="1" s="1"/>
  <c r="H135" i="1"/>
  <c r="I135" i="1" s="1"/>
  <c r="H127" i="1"/>
  <c r="I127" i="1" s="1"/>
  <c r="H126" i="1"/>
  <c r="I126" i="1" s="1"/>
  <c r="H129" i="1"/>
  <c r="P129" i="1" s="1"/>
  <c r="Q129" i="1" s="1"/>
  <c r="H134" i="1"/>
  <c r="I134" i="1" s="1"/>
  <c r="H136" i="1"/>
  <c r="P136" i="1" s="1"/>
  <c r="Q136" i="1" s="1"/>
  <c r="H133" i="1"/>
  <c r="P133" i="1" s="1"/>
  <c r="Q133" i="1" s="1"/>
  <c r="H132" i="1"/>
  <c r="I132" i="1" s="1"/>
  <c r="H131" i="1"/>
  <c r="I131" i="1" s="1"/>
  <c r="H130" i="1"/>
  <c r="I130" i="1" s="1"/>
  <c r="I129" i="1" l="1"/>
  <c r="P134" i="1"/>
  <c r="Q134" i="1" s="1"/>
  <c r="P127" i="1"/>
  <c r="Q127" i="1" s="1"/>
  <c r="P135" i="1"/>
  <c r="Q135" i="1" s="1"/>
  <c r="I128" i="1"/>
  <c r="P126" i="1"/>
  <c r="Q126" i="1" s="1"/>
  <c r="I136" i="1"/>
  <c r="X136" i="1"/>
  <c r="Y136" i="1" s="1"/>
  <c r="I133" i="1"/>
  <c r="X133" i="1"/>
  <c r="Y133" i="1" s="1"/>
  <c r="P132" i="1"/>
  <c r="Q132" i="1" s="1"/>
  <c r="P131" i="1"/>
  <c r="P130" i="1"/>
  <c r="X129" i="1"/>
  <c r="Y129" i="1" s="1"/>
  <c r="X128" i="1"/>
  <c r="Y128" i="1" s="1"/>
  <c r="W125" i="1"/>
  <c r="W137" i="1" s="1"/>
  <c r="F125" i="1"/>
  <c r="F137" i="1" s="1"/>
  <c r="M125" i="1"/>
  <c r="X134" i="1" l="1"/>
  <c r="Y134" i="1" s="1"/>
  <c r="X135" i="1"/>
  <c r="Y135" i="1" s="1"/>
  <c r="X127" i="1"/>
  <c r="Y127" i="1" s="1"/>
  <c r="X126" i="1"/>
  <c r="Y126" i="1" s="1"/>
  <c r="X130" i="1"/>
  <c r="Y130" i="1" s="1"/>
  <c r="Q130" i="1"/>
  <c r="N125" i="1"/>
  <c r="M137" i="1"/>
  <c r="X131" i="1"/>
  <c r="Y131" i="1" s="1"/>
  <c r="Q131" i="1"/>
  <c r="H125" i="1"/>
  <c r="H137" i="1" s="1"/>
  <c r="I137" i="1" s="1"/>
  <c r="X132" i="1"/>
  <c r="Y132" i="1" s="1"/>
  <c r="J112" i="1"/>
  <c r="I125" i="1" l="1"/>
  <c r="P125" i="1"/>
  <c r="X125" i="1" s="1"/>
  <c r="Y125" i="1" s="1"/>
  <c r="N137" i="1"/>
  <c r="P137" i="1"/>
  <c r="Q137" i="1" s="1"/>
  <c r="R112" i="1"/>
  <c r="B112" i="1"/>
  <c r="K112" i="1"/>
  <c r="Q125" i="1" l="1"/>
  <c r="X137" i="1"/>
  <c r="Y137" i="1" s="1"/>
  <c r="F111" i="1"/>
  <c r="F110" i="1" l="1"/>
  <c r="N92" i="1" l="1"/>
  <c r="R92" i="1"/>
  <c r="R94" i="1" s="1"/>
  <c r="T79" i="1" l="1"/>
  <c r="T80" i="1"/>
  <c r="T81" i="1"/>
  <c r="T82" i="1"/>
  <c r="T83" i="1"/>
  <c r="T84" i="1"/>
  <c r="T85" i="1"/>
  <c r="T86" i="1"/>
  <c r="T102" i="1"/>
  <c r="T103" i="1"/>
  <c r="T104" i="1"/>
  <c r="T105" i="1"/>
  <c r="T106" i="1"/>
  <c r="T107" i="1"/>
  <c r="T109" i="1"/>
  <c r="T110" i="1"/>
  <c r="T111" i="1"/>
  <c r="F109" i="1"/>
  <c r="T87" i="1" l="1"/>
  <c r="F108" i="1"/>
  <c r="F107" i="1" l="1"/>
  <c r="E107" i="1"/>
  <c r="F106" i="1" l="1"/>
  <c r="F105" i="1" l="1"/>
  <c r="F103" i="1" l="1"/>
  <c r="S111" i="1"/>
  <c r="V111" i="1" s="1"/>
  <c r="S110" i="1"/>
  <c r="V110" i="1" s="1"/>
  <c r="S109" i="1"/>
  <c r="V109" i="1" s="1"/>
  <c r="S108" i="1"/>
  <c r="V108" i="1" s="1"/>
  <c r="S107" i="1"/>
  <c r="S106" i="1"/>
  <c r="V106" i="1" s="1"/>
  <c r="S105" i="1"/>
  <c r="V105" i="1" s="1"/>
  <c r="S104" i="1"/>
  <c r="S103" i="1"/>
  <c r="V103" i="1" s="1"/>
  <c r="F104" i="1"/>
  <c r="V107" i="1" l="1"/>
  <c r="V104" i="1"/>
  <c r="S102" i="1"/>
  <c r="F102" i="1"/>
  <c r="E102" i="1"/>
  <c r="S112" i="1" l="1"/>
  <c r="V102" i="1"/>
  <c r="G100" i="1"/>
  <c r="F100" i="1"/>
  <c r="E100" i="1"/>
  <c r="E103" i="1"/>
  <c r="E104" i="1"/>
  <c r="E105" i="1"/>
  <c r="H105" i="1" s="1"/>
  <c r="I105" i="1" s="1"/>
  <c r="E106" i="1"/>
  <c r="E108" i="1"/>
  <c r="E109" i="1"/>
  <c r="E110" i="1"/>
  <c r="E111" i="1"/>
  <c r="E112" i="1"/>
  <c r="C103" i="1"/>
  <c r="C104" i="1"/>
  <c r="C107" i="1"/>
  <c r="C108" i="1"/>
  <c r="C110" i="1"/>
  <c r="C111" i="1"/>
  <c r="C112" i="1"/>
  <c r="G101" i="1"/>
  <c r="F101" i="1"/>
  <c r="E101" i="1"/>
  <c r="C101" i="1"/>
  <c r="O101" i="1"/>
  <c r="W101" i="1" s="1"/>
  <c r="O102" i="1"/>
  <c r="W102" i="1" s="1"/>
  <c r="O103" i="1"/>
  <c r="W103" i="1" s="1"/>
  <c r="O104" i="1"/>
  <c r="W104" i="1" s="1"/>
  <c r="O105" i="1"/>
  <c r="W105" i="1" s="1"/>
  <c r="O106" i="1"/>
  <c r="W106" i="1" s="1"/>
  <c r="O107" i="1"/>
  <c r="W107" i="1" s="1"/>
  <c r="O108" i="1"/>
  <c r="W108" i="1" s="1"/>
  <c r="O109" i="1"/>
  <c r="W109" i="1" s="1"/>
  <c r="O110" i="1"/>
  <c r="W110" i="1" s="1"/>
  <c r="O111" i="1"/>
  <c r="W111" i="1" s="1"/>
  <c r="O112" i="1"/>
  <c r="M102" i="1"/>
  <c r="N102" i="1" s="1"/>
  <c r="M103" i="1"/>
  <c r="N103" i="1" s="1"/>
  <c r="M104" i="1"/>
  <c r="N104" i="1" s="1"/>
  <c r="M105" i="1"/>
  <c r="N105" i="1" s="1"/>
  <c r="M106" i="1"/>
  <c r="N106" i="1" s="1"/>
  <c r="M107" i="1"/>
  <c r="N107" i="1" s="1"/>
  <c r="M108" i="1"/>
  <c r="N108" i="1" s="1"/>
  <c r="M109" i="1"/>
  <c r="N109" i="1" s="1"/>
  <c r="M110" i="1"/>
  <c r="N110" i="1" s="1"/>
  <c r="M111" i="1"/>
  <c r="N111" i="1" s="1"/>
  <c r="M101" i="1"/>
  <c r="N101" i="1" s="1"/>
  <c r="H109" i="1" l="1"/>
  <c r="P109" i="1" s="1"/>
  <c r="H101" i="1"/>
  <c r="H104" i="1"/>
  <c r="P104" i="1" s="1"/>
  <c r="X104" i="1" s="1"/>
  <c r="Y104" i="1" s="1"/>
  <c r="H107" i="1"/>
  <c r="P107" i="1" s="1"/>
  <c r="X107" i="1" s="1"/>
  <c r="Y107" i="1" s="1"/>
  <c r="H110" i="1"/>
  <c r="I110" i="1" s="1"/>
  <c r="H106" i="1"/>
  <c r="P106" i="1" s="1"/>
  <c r="X106" i="1" s="1"/>
  <c r="Y106" i="1" s="1"/>
  <c r="H102" i="1"/>
  <c r="I102" i="1" s="1"/>
  <c r="H108" i="1"/>
  <c r="P108" i="1" s="1"/>
  <c r="X108" i="1" s="1"/>
  <c r="Y108" i="1" s="1"/>
  <c r="H111" i="1"/>
  <c r="P111" i="1" s="1"/>
  <c r="H103" i="1"/>
  <c r="I103" i="1" s="1"/>
  <c r="P105" i="1"/>
  <c r="X105" i="1" s="1"/>
  <c r="Y105" i="1" s="1"/>
  <c r="Q109" i="1" l="1"/>
  <c r="X109" i="1"/>
  <c r="Y109" i="1" s="1"/>
  <c r="P110" i="1"/>
  <c r="I109" i="1"/>
  <c r="I106" i="1"/>
  <c r="Q111" i="1"/>
  <c r="X111" i="1"/>
  <c r="Y111" i="1" s="1"/>
  <c r="I111" i="1"/>
  <c r="P101" i="1"/>
  <c r="I101" i="1"/>
  <c r="P103" i="1"/>
  <c r="X103" i="1" s="1"/>
  <c r="Y103" i="1" s="1"/>
  <c r="Q106" i="1"/>
  <c r="Q105" i="1"/>
  <c r="Q108" i="1"/>
  <c r="Q107" i="1"/>
  <c r="I104" i="1"/>
  <c r="Q104" i="1"/>
  <c r="I108" i="1"/>
  <c r="P102" i="1"/>
  <c r="X102" i="1" s="1"/>
  <c r="Y102" i="1" s="1"/>
  <c r="I107" i="1"/>
  <c r="I112" i="1"/>
  <c r="O100" i="1"/>
  <c r="W100" i="1" s="1"/>
  <c r="W112" i="1" s="1"/>
  <c r="Q110" i="1" l="1"/>
  <c r="X110" i="1"/>
  <c r="Y110" i="1" s="1"/>
  <c r="X101" i="1"/>
  <c r="Y101" i="1" s="1"/>
  <c r="Q101" i="1"/>
  <c r="Q103" i="1"/>
  <c r="Q102" i="1"/>
  <c r="H100" i="1"/>
  <c r="I100" i="1" s="1"/>
  <c r="M100" i="1"/>
  <c r="M112" i="1" s="1"/>
  <c r="R87" i="1"/>
  <c r="G87" i="1"/>
  <c r="B87" i="1"/>
  <c r="F86" i="1"/>
  <c r="S86" i="1"/>
  <c r="N112" i="1" l="1"/>
  <c r="P112" i="1"/>
  <c r="Q112" i="1" s="1"/>
  <c r="N100" i="1"/>
  <c r="P100" i="1"/>
  <c r="X100" i="1" s="1"/>
  <c r="Y100" i="1" l="1"/>
  <c r="X112" i="1"/>
  <c r="Y112" i="1" s="1"/>
  <c r="Q100" i="1"/>
  <c r="S85" i="1"/>
  <c r="F85" i="1"/>
  <c r="S84" i="1"/>
  <c r="F84" i="1"/>
  <c r="F81" i="1"/>
  <c r="F80" i="1"/>
  <c r="V86" i="1"/>
  <c r="F79" i="1"/>
  <c r="S81" i="1"/>
  <c r="S80" i="1"/>
  <c r="S79" i="1"/>
  <c r="V84" i="1" l="1"/>
  <c r="V80" i="1"/>
  <c r="V85" i="1"/>
  <c r="V81" i="1"/>
  <c r="V79" i="1"/>
  <c r="S82" i="1"/>
  <c r="F82" i="1"/>
  <c r="V82" i="1" l="1"/>
  <c r="S83" i="1"/>
  <c r="S87" i="1" s="1"/>
  <c r="F83" i="1"/>
  <c r="V83" i="1" l="1"/>
  <c r="V87" i="1"/>
  <c r="F77" i="1"/>
  <c r="F78" i="1"/>
  <c r="J87" i="1" l="1"/>
  <c r="O87" i="1" s="1"/>
  <c r="W87" i="1" s="1"/>
  <c r="K87" i="1"/>
  <c r="O86" i="1"/>
  <c r="W86" i="1" s="1"/>
  <c r="O85" i="1"/>
  <c r="W85" i="1" s="1"/>
  <c r="O84" i="1"/>
  <c r="W84" i="1" s="1"/>
  <c r="O83" i="1"/>
  <c r="W83" i="1" s="1"/>
  <c r="O82" i="1"/>
  <c r="W82" i="1" s="1"/>
  <c r="O81" i="1"/>
  <c r="W81" i="1" s="1"/>
  <c r="O80" i="1"/>
  <c r="W80" i="1" s="1"/>
  <c r="O79" i="1"/>
  <c r="W79" i="1" s="1"/>
  <c r="O78" i="1"/>
  <c r="W78" i="1" s="1"/>
  <c r="O77" i="1"/>
  <c r="W77" i="1" s="1"/>
  <c r="O76" i="1"/>
  <c r="W76" i="1" s="1"/>
  <c r="M86" i="1"/>
  <c r="M85" i="1"/>
  <c r="M84" i="1"/>
  <c r="M83" i="1"/>
  <c r="M82" i="1"/>
  <c r="M81" i="1"/>
  <c r="M80" i="1"/>
  <c r="M79" i="1"/>
  <c r="M78" i="1"/>
  <c r="M77" i="1"/>
  <c r="M76" i="1"/>
  <c r="F76" i="1"/>
  <c r="E86" i="1"/>
  <c r="E85" i="1"/>
  <c r="E84" i="1"/>
  <c r="E83" i="1"/>
  <c r="E82" i="1"/>
  <c r="E81" i="1"/>
  <c r="E80" i="1"/>
  <c r="E79" i="1"/>
  <c r="C87" i="1"/>
  <c r="C86" i="1"/>
  <c r="C85" i="1"/>
  <c r="C84" i="1"/>
  <c r="C83" i="1"/>
  <c r="C82" i="1"/>
  <c r="C81" i="1"/>
  <c r="C80" i="1"/>
  <c r="C79" i="1"/>
  <c r="C78" i="1"/>
  <c r="H78" i="1" s="1"/>
  <c r="I78" i="1" s="1"/>
  <c r="C77" i="1"/>
  <c r="H77" i="1" s="1"/>
  <c r="I77" i="1" s="1"/>
  <c r="C76" i="1"/>
  <c r="H76" i="1" s="1"/>
  <c r="I76" i="1" s="1"/>
  <c r="F75" i="1"/>
  <c r="C75" i="1"/>
  <c r="O75" i="1"/>
  <c r="W75" i="1" s="1"/>
  <c r="M75" i="1"/>
  <c r="H75" i="1" l="1"/>
  <c r="I75" i="1" s="1"/>
  <c r="H82" i="1"/>
  <c r="I82" i="1" s="1"/>
  <c r="F87" i="1"/>
  <c r="H83" i="1"/>
  <c r="I83" i="1" s="1"/>
  <c r="E87" i="1"/>
  <c r="N75" i="1"/>
  <c r="M87" i="1"/>
  <c r="N87" i="1" s="1"/>
  <c r="H86" i="1"/>
  <c r="I86" i="1" s="1"/>
  <c r="H84" i="1"/>
  <c r="I84" i="1" s="1"/>
  <c r="H81" i="1"/>
  <c r="I81" i="1" s="1"/>
  <c r="H80" i="1"/>
  <c r="I80" i="1" s="1"/>
  <c r="H79" i="1"/>
  <c r="I79" i="1" s="1"/>
  <c r="H85" i="1"/>
  <c r="I85" i="1" s="1"/>
  <c r="P78" i="1"/>
  <c r="P76" i="1"/>
  <c r="P77" i="1"/>
  <c r="N83" i="1"/>
  <c r="N76" i="1"/>
  <c r="N80" i="1"/>
  <c r="N84" i="1"/>
  <c r="N81" i="1"/>
  <c r="N85" i="1"/>
  <c r="N78" i="1"/>
  <c r="N82" i="1"/>
  <c r="N86" i="1"/>
  <c r="N79" i="1"/>
  <c r="N77" i="1"/>
  <c r="P75" i="1"/>
  <c r="P83" i="1" l="1"/>
  <c r="P82" i="1"/>
  <c r="X82" i="1" s="1"/>
  <c r="Y82" i="1" s="1"/>
  <c r="H87" i="1"/>
  <c r="I87" i="1" s="1"/>
  <c r="Q77" i="1"/>
  <c r="Y77" i="1" s="1"/>
  <c r="X77" i="1"/>
  <c r="Q78" i="1"/>
  <c r="Y78" i="1" s="1"/>
  <c r="X78" i="1"/>
  <c r="Q82" i="1"/>
  <c r="P86" i="1"/>
  <c r="Q86" i="1" s="1"/>
  <c r="Q75" i="1"/>
  <c r="Y75" i="1" s="1"/>
  <c r="X75" i="1"/>
  <c r="Q76" i="1"/>
  <c r="Y76" i="1" s="1"/>
  <c r="X76" i="1"/>
  <c r="P84" i="1"/>
  <c r="Q84" i="1" s="1"/>
  <c r="P81" i="1"/>
  <c r="P80" i="1"/>
  <c r="P79" i="1"/>
  <c r="P85" i="1"/>
  <c r="Q83" i="1"/>
  <c r="X83" i="1"/>
  <c r="Y83" i="1" s="1"/>
  <c r="L63" i="1"/>
  <c r="O62" i="1"/>
  <c r="M62" i="1"/>
  <c r="N62" i="1" s="1"/>
  <c r="P87" i="1" l="1"/>
  <c r="Q87" i="1" s="1"/>
  <c r="Q80" i="1"/>
  <c r="X80" i="1"/>
  <c r="Y80" i="1" s="1"/>
  <c r="Q81" i="1"/>
  <c r="X81" i="1"/>
  <c r="Y81" i="1" s="1"/>
  <c r="Q79" i="1"/>
  <c r="X79" i="1"/>
  <c r="Y79" i="1" s="1"/>
  <c r="X87" i="1"/>
  <c r="Y87" i="1" s="1"/>
  <c r="X86" i="1"/>
  <c r="Y86" i="1" s="1"/>
  <c r="Q85" i="1"/>
  <c r="X85" i="1"/>
  <c r="Y85" i="1" s="1"/>
  <c r="X84" i="1"/>
  <c r="Y84" i="1" s="1"/>
  <c r="F62" i="1"/>
  <c r="C62" i="1" l="1"/>
  <c r="H62" i="1" s="1"/>
  <c r="P62" i="1" s="1"/>
  <c r="Q62" i="1" s="1"/>
  <c r="F61" i="1" l="1"/>
  <c r="G61" i="1"/>
  <c r="K63" i="1" l="1"/>
  <c r="M63" i="1" s="1"/>
  <c r="J63" i="1"/>
  <c r="E63" i="1"/>
  <c r="C63" i="1"/>
  <c r="B63" i="1"/>
  <c r="O63" i="1" l="1"/>
  <c r="F60" i="1"/>
  <c r="F59" i="1" l="1"/>
  <c r="F58" i="1" l="1"/>
  <c r="G58" i="1"/>
  <c r="F57" i="1" l="1"/>
  <c r="F56" i="1" l="1"/>
  <c r="G55" i="1" l="1"/>
  <c r="F55" i="1"/>
  <c r="G54" i="1"/>
  <c r="F54" i="1"/>
  <c r="G53" i="1"/>
  <c r="F53" i="1"/>
  <c r="O61" i="1"/>
  <c r="O60" i="1"/>
  <c r="O59" i="1"/>
  <c r="O58" i="1"/>
  <c r="O57" i="1"/>
  <c r="O56" i="1"/>
  <c r="O55" i="1"/>
  <c r="O54" i="1"/>
  <c r="O53" i="1"/>
  <c r="O52" i="1"/>
  <c r="M61" i="1"/>
  <c r="M60" i="1"/>
  <c r="N60" i="1" s="1"/>
  <c r="M59" i="1"/>
  <c r="N59" i="1" s="1"/>
  <c r="M58" i="1"/>
  <c r="M57" i="1"/>
  <c r="N57" i="1" s="1"/>
  <c r="M56" i="1"/>
  <c r="N56" i="1" s="1"/>
  <c r="M55" i="1"/>
  <c r="M54" i="1"/>
  <c r="M53" i="1"/>
  <c r="N53" i="1" s="1"/>
  <c r="M52" i="1"/>
  <c r="F52" i="1"/>
  <c r="I62" i="1"/>
  <c r="H61" i="1"/>
  <c r="P61" i="1" s="1"/>
  <c r="H60" i="1"/>
  <c r="I60" i="1" s="1"/>
  <c r="H59" i="1"/>
  <c r="I59" i="1" s="1"/>
  <c r="H58" i="1"/>
  <c r="I58" i="1" s="1"/>
  <c r="H57" i="1"/>
  <c r="I57" i="1" s="1"/>
  <c r="H56" i="1"/>
  <c r="I56" i="1" s="1"/>
  <c r="G52" i="1"/>
  <c r="F51" i="1"/>
  <c r="G51" i="1"/>
  <c r="O51" i="1"/>
  <c r="M51" i="1"/>
  <c r="N51" i="1" s="1"/>
  <c r="H55" i="1" l="1"/>
  <c r="I55" i="1" s="1"/>
  <c r="H52" i="1"/>
  <c r="I52" i="1" s="1"/>
  <c r="G63" i="1"/>
  <c r="H51" i="1"/>
  <c r="I51" i="1" s="1"/>
  <c r="F63" i="1"/>
  <c r="N61" i="1"/>
  <c r="Q61" i="1"/>
  <c r="I61" i="1"/>
  <c r="P60" i="1"/>
  <c r="Q60" i="1" s="1"/>
  <c r="P58" i="1"/>
  <c r="Q58" i="1" s="1"/>
  <c r="P57" i="1"/>
  <c r="Q57" i="1" s="1"/>
  <c r="P56" i="1"/>
  <c r="Q56" i="1" s="1"/>
  <c r="P55" i="1"/>
  <c r="Q55" i="1" s="1"/>
  <c r="H54" i="1"/>
  <c r="I54" i="1" s="1"/>
  <c r="N55" i="1"/>
  <c r="N54" i="1"/>
  <c r="N58" i="1"/>
  <c r="P59" i="1"/>
  <c r="Q59" i="1" s="1"/>
  <c r="N52" i="1"/>
  <c r="H53" i="1"/>
  <c r="P53" i="1" s="1"/>
  <c r="Q53" i="1" s="1"/>
  <c r="G37" i="1"/>
  <c r="F37" i="1"/>
  <c r="F36" i="1"/>
  <c r="G36" i="1"/>
  <c r="L39" i="1"/>
  <c r="G38" i="1"/>
  <c r="F38" i="1"/>
  <c r="G35" i="1"/>
  <c r="F35" i="1"/>
  <c r="F34" i="1"/>
  <c r="G34" i="1"/>
  <c r="F33" i="1"/>
  <c r="F32" i="1"/>
  <c r="K39" i="1"/>
  <c r="J39" i="1"/>
  <c r="E39" i="1"/>
  <c r="C39" i="1"/>
  <c r="B39" i="1"/>
  <c r="O38" i="1"/>
  <c r="O37" i="1"/>
  <c r="O36" i="1"/>
  <c r="O35" i="1"/>
  <c r="O34" i="1"/>
  <c r="O33" i="1"/>
  <c r="O32" i="1"/>
  <c r="O31" i="1"/>
  <c r="O30" i="1"/>
  <c r="O29" i="1"/>
  <c r="O28" i="1"/>
  <c r="O27" i="1"/>
  <c r="M38" i="1"/>
  <c r="N38" i="1" s="1"/>
  <c r="M37" i="1"/>
  <c r="N37" i="1" s="1"/>
  <c r="M36" i="1"/>
  <c r="N36" i="1" s="1"/>
  <c r="M35" i="1"/>
  <c r="N35" i="1" s="1"/>
  <c r="M34" i="1"/>
  <c r="N34" i="1" s="1"/>
  <c r="M33" i="1"/>
  <c r="N33" i="1" s="1"/>
  <c r="M32" i="1"/>
  <c r="N32" i="1" s="1"/>
  <c r="M31" i="1"/>
  <c r="N31" i="1" s="1"/>
  <c r="M30" i="1"/>
  <c r="N30" i="1" s="1"/>
  <c r="M29" i="1"/>
  <c r="N29" i="1" s="1"/>
  <c r="M28" i="1"/>
  <c r="N28" i="1" s="1"/>
  <c r="M27" i="1"/>
  <c r="N27" i="1" s="1"/>
  <c r="G32" i="1"/>
  <c r="G31" i="1"/>
  <c r="F31" i="1"/>
  <c r="G30" i="1"/>
  <c r="F30" i="1"/>
  <c r="G29" i="1"/>
  <c r="F29" i="1"/>
  <c r="F28" i="1"/>
  <c r="H28" i="1" s="1"/>
  <c r="I28" i="1" s="1"/>
  <c r="F27" i="1"/>
  <c r="O9" i="1"/>
  <c r="O8" i="1"/>
  <c r="K15" i="1"/>
  <c r="J15" i="1"/>
  <c r="O15" i="1" s="1"/>
  <c r="K14" i="1"/>
  <c r="M14" i="1" s="1"/>
  <c r="J14" i="1"/>
  <c r="O14" i="1" s="1"/>
  <c r="K13" i="1"/>
  <c r="M13" i="1" s="1"/>
  <c r="J13" i="1"/>
  <c r="O13" i="1" s="1"/>
  <c r="K12" i="1"/>
  <c r="M12" i="1" s="1"/>
  <c r="J12" i="1"/>
  <c r="O12" i="1" s="1"/>
  <c r="K11" i="1"/>
  <c r="M11" i="1" s="1"/>
  <c r="J11" i="1"/>
  <c r="O11" i="1" s="1"/>
  <c r="K10" i="1"/>
  <c r="M10" i="1" s="1"/>
  <c r="J10" i="1"/>
  <c r="O10" i="1" s="1"/>
  <c r="K7" i="1"/>
  <c r="M7" i="1" s="1"/>
  <c r="J7" i="1"/>
  <c r="O7" i="1" s="1"/>
  <c r="K6" i="1"/>
  <c r="M6" i="1" s="1"/>
  <c r="J6" i="1"/>
  <c r="O6" i="1" s="1"/>
  <c r="K5" i="1"/>
  <c r="M5" i="1" s="1"/>
  <c r="J5" i="1"/>
  <c r="O5" i="1" s="1"/>
  <c r="J4" i="1"/>
  <c r="O4" i="1" s="1"/>
  <c r="K4" i="1"/>
  <c r="L16" i="1"/>
  <c r="E16" i="1"/>
  <c r="B16" i="1"/>
  <c r="F5" i="1"/>
  <c r="F4" i="1"/>
  <c r="F6" i="1"/>
  <c r="F7" i="1"/>
  <c r="F8" i="1"/>
  <c r="C8" i="1"/>
  <c r="F9" i="1"/>
  <c r="C9" i="1"/>
  <c r="F10" i="1"/>
  <c r="F12" i="1"/>
  <c r="F11" i="1"/>
  <c r="F13" i="1"/>
  <c r="G14" i="1"/>
  <c r="F14" i="1"/>
  <c r="C13" i="1"/>
  <c r="C12" i="1"/>
  <c r="C11" i="1"/>
  <c r="C10" i="1"/>
  <c r="C7" i="1"/>
  <c r="C6" i="1"/>
  <c r="C5" i="1"/>
  <c r="H5" i="1" s="1"/>
  <c r="C4" i="1"/>
  <c r="H4" i="1" s="1"/>
  <c r="I4" i="1" s="1"/>
  <c r="C14" i="1"/>
  <c r="G15" i="1"/>
  <c r="F15" i="1"/>
  <c r="M15" i="1"/>
  <c r="M9" i="1"/>
  <c r="N9" i="1" s="1"/>
  <c r="M8" i="1"/>
  <c r="N8" i="1" s="1"/>
  <c r="P52" i="1" l="1"/>
  <c r="Q52" i="1" s="1"/>
  <c r="H34" i="1"/>
  <c r="I34" i="1" s="1"/>
  <c r="H38" i="1"/>
  <c r="I38" i="1" s="1"/>
  <c r="H9" i="1"/>
  <c r="P9" i="1" s="1"/>
  <c r="Q9" i="1" s="1"/>
  <c r="N63" i="1"/>
  <c r="N5" i="1"/>
  <c r="N11" i="1"/>
  <c r="H30" i="1"/>
  <c r="I30" i="1" s="1"/>
  <c r="P51" i="1"/>
  <c r="Q51" i="1" s="1"/>
  <c r="N7" i="1"/>
  <c r="N13" i="1"/>
  <c r="H29" i="1"/>
  <c r="I29" i="1" s="1"/>
  <c r="H31" i="1"/>
  <c r="I31" i="1" s="1"/>
  <c r="P34" i="1"/>
  <c r="Q34" i="1" s="1"/>
  <c r="H37" i="1"/>
  <c r="I37" i="1" s="1"/>
  <c r="K16" i="1"/>
  <c r="H6" i="1"/>
  <c r="I6" i="1" s="1"/>
  <c r="H63" i="1"/>
  <c r="P63" i="1" s="1"/>
  <c r="Q63" i="1" s="1"/>
  <c r="M4" i="1"/>
  <c r="M16" i="1" s="1"/>
  <c r="N10" i="1"/>
  <c r="N14" i="1"/>
  <c r="H10" i="1"/>
  <c r="I10" i="1" s="1"/>
  <c r="H12" i="1"/>
  <c r="I12" i="1" s="1"/>
  <c r="H8" i="1"/>
  <c r="I8" i="1" s="1"/>
  <c r="J16" i="1"/>
  <c r="H32" i="1"/>
  <c r="I32" i="1" s="1"/>
  <c r="H33" i="1"/>
  <c r="I33" i="1" s="1"/>
  <c r="H35" i="1"/>
  <c r="P35" i="1" s="1"/>
  <c r="Q35" i="1" s="1"/>
  <c r="H36" i="1"/>
  <c r="I36" i="1" s="1"/>
  <c r="N6" i="1"/>
  <c r="N12" i="1"/>
  <c r="P54" i="1"/>
  <c r="Q54" i="1" s="1"/>
  <c r="H11" i="1"/>
  <c r="I11" i="1" s="1"/>
  <c r="F39" i="1"/>
  <c r="N39" i="1"/>
  <c r="H15" i="1"/>
  <c r="I15" i="1" s="1"/>
  <c r="H14" i="1"/>
  <c r="P14" i="1" s="1"/>
  <c r="Q14" i="1" s="1"/>
  <c r="H7" i="1"/>
  <c r="P7" i="1" s="1"/>
  <c r="Q7" i="1" s="1"/>
  <c r="G39" i="1"/>
  <c r="I53" i="1"/>
  <c r="I63" i="1" s="1"/>
  <c r="H27" i="1"/>
  <c r="I27" i="1" s="1"/>
  <c r="O39" i="1"/>
  <c r="H42" i="1" s="1"/>
  <c r="P38" i="1"/>
  <c r="Q38" i="1" s="1"/>
  <c r="M39" i="1"/>
  <c r="P28" i="1"/>
  <c r="Q28" i="1" s="1"/>
  <c r="H13" i="1"/>
  <c r="I13" i="1" s="1"/>
  <c r="O16" i="1"/>
  <c r="H19" i="1" s="1"/>
  <c r="C16" i="1"/>
  <c r="F16" i="1"/>
  <c r="G16" i="1"/>
  <c r="P5" i="1"/>
  <c r="Q5" i="1" s="1"/>
  <c r="N15" i="1"/>
  <c r="I5" i="1"/>
  <c r="I9" i="1" l="1"/>
  <c r="P30" i="1"/>
  <c r="Q30" i="1" s="1"/>
  <c r="P6" i="1"/>
  <c r="Q6" i="1" s="1"/>
  <c r="P36" i="1"/>
  <c r="Q36" i="1" s="1"/>
  <c r="P12" i="1"/>
  <c r="Q12" i="1" s="1"/>
  <c r="N4" i="1"/>
  <c r="N16" i="1" s="1"/>
  <c r="P37" i="1"/>
  <c r="Q37" i="1" s="1"/>
  <c r="P4" i="1"/>
  <c r="Q4" i="1" s="1"/>
  <c r="P33" i="1"/>
  <c r="Q33" i="1" s="1"/>
  <c r="I35" i="1"/>
  <c r="I39" i="1" s="1"/>
  <c r="I14" i="1"/>
  <c r="P31" i="1"/>
  <c r="Q31" i="1" s="1"/>
  <c r="P8" i="1"/>
  <c r="Q8" i="1" s="1"/>
  <c r="P29" i="1"/>
  <c r="Q29" i="1" s="1"/>
  <c r="I7" i="1"/>
  <c r="P10" i="1"/>
  <c r="Q10" i="1" s="1"/>
  <c r="H16" i="1"/>
  <c r="P32" i="1"/>
  <c r="Q32" i="1" s="1"/>
  <c r="P11" i="1"/>
  <c r="Q11" i="1" s="1"/>
  <c r="P13" i="1"/>
  <c r="Q13" i="1" s="1"/>
  <c r="P15" i="1"/>
  <c r="Q15" i="1" s="1"/>
  <c r="P27" i="1"/>
  <c r="Q27" i="1" s="1"/>
  <c r="H39" i="1"/>
  <c r="I16" i="1"/>
  <c r="P16" i="1" l="1"/>
  <c r="Q16" i="1" s="1"/>
  <c r="P39" i="1"/>
  <c r="H43" i="1" s="1"/>
  <c r="H20" i="1" l="1"/>
  <c r="Q39" i="1"/>
</calcChain>
</file>

<file path=xl/sharedStrings.xml><?xml version="1.0" encoding="utf-8"?>
<sst xmlns="http://schemas.openxmlformats.org/spreadsheetml/2006/main" count="625" uniqueCount="119">
  <si>
    <t>Power consumption details for the year 2008-09</t>
  </si>
  <si>
    <t>Month</t>
  </si>
  <si>
    <t>Cost of consumption</t>
  </si>
  <si>
    <t>Fixed costs</t>
  </si>
  <si>
    <t>Other costs</t>
  </si>
  <si>
    <t>Incentives</t>
  </si>
  <si>
    <t>Bill Amount</t>
  </si>
  <si>
    <t>Ave cost per unit</t>
  </si>
  <si>
    <t>DG Consumption (in KWH)</t>
  </si>
  <si>
    <t>HSD Consumed</t>
  </si>
  <si>
    <t>HSD Cost</t>
  </si>
  <si>
    <t>Cost per unit</t>
  </si>
  <si>
    <t xml:space="preserve">Total cost </t>
  </si>
  <si>
    <t>TNEB Consumption          (in KWH)</t>
  </si>
  <si>
    <t>April</t>
  </si>
  <si>
    <t>May</t>
  </si>
  <si>
    <t>June</t>
  </si>
  <si>
    <t>July</t>
  </si>
  <si>
    <t>Aug</t>
  </si>
  <si>
    <t>Sep</t>
  </si>
  <si>
    <t>Oct</t>
  </si>
  <si>
    <t xml:space="preserve">Nov </t>
  </si>
  <si>
    <t>Dec</t>
  </si>
  <si>
    <t>Jan</t>
  </si>
  <si>
    <t>Feb</t>
  </si>
  <si>
    <t>March</t>
  </si>
  <si>
    <t>Total tonnes as per the production quantity</t>
  </si>
  <si>
    <t>15011 Tonnes</t>
  </si>
  <si>
    <t>Total</t>
  </si>
  <si>
    <t>Consumption of power per ton of production</t>
  </si>
  <si>
    <t>Cost of power per ton of production</t>
  </si>
  <si>
    <t>Average cost/Unit TNEB+DG</t>
  </si>
  <si>
    <t xml:space="preserve">HSD COST PER LITRE          </t>
  </si>
  <si>
    <t>Total units consumed TNEB+DG</t>
  </si>
  <si>
    <t>Power consumption details for the year 2009-10</t>
  </si>
  <si>
    <t>Rebate &amp; Incentives</t>
  </si>
  <si>
    <t>Rs. 457906 is adjusted on CCCD.</t>
  </si>
  <si>
    <t>M         O         N            T          H</t>
  </si>
  <si>
    <t xml:space="preserve">Total    cost </t>
  </si>
  <si>
    <t>Cost      per      unit</t>
  </si>
  <si>
    <t>Power consumption details for the year 2010-11</t>
  </si>
  <si>
    <t>Rs. 609672 is adjusted on CCCD.</t>
  </si>
  <si>
    <t>Energy cost revised from Rupees 3.5 to Rs. 4 and PF Incentive is with drawn w.e.f 01.08.2010.</t>
  </si>
  <si>
    <t>Transformer losses on peak hr penality paid is considered and the amount of Rs.171052/- is deducted.</t>
  </si>
  <si>
    <t>Power consumption details for the year 2011-12</t>
  </si>
  <si>
    <t>Reached MD</t>
  </si>
  <si>
    <t>Wind energy charges</t>
  </si>
  <si>
    <t xml:space="preserve">Wind energy demand gain </t>
  </si>
  <si>
    <t xml:space="preserve">Wind energy Tax and surcharge </t>
  </si>
  <si>
    <t>Wind energy total cost</t>
  </si>
  <si>
    <t>Wind energy adjustment (in KWH)</t>
  </si>
  <si>
    <t>Total    cost  (TNEB+DG)</t>
  </si>
  <si>
    <t>Total cost (TNEB +DG + Wind energy)</t>
  </si>
  <si>
    <t>Average cost/Unit TNEB+DG+Wind energy</t>
  </si>
  <si>
    <t>Total units consumed TNEB +DG+ Wind ener</t>
  </si>
  <si>
    <t>TNEB Average is high because of high quantum of wind energy supplied by IDPL. The fixed cost shoots up the TNEB average cost.</t>
  </si>
  <si>
    <t>As the total consumption is supported by wind energy average cost cannot be taken in to account.</t>
  </si>
  <si>
    <t>Power consumption details for the year 2012-13</t>
  </si>
  <si>
    <t>Tarriff change effective from APR-2012 from 4.5 rupees to 5.5 rupees.</t>
  </si>
  <si>
    <t>HSD Cost revised.</t>
  </si>
  <si>
    <t>Total units consumed and Total cost incurred is furnished in red colour for quick access</t>
  </si>
  <si>
    <t>Cost per unit is high due to wind mill adjustment</t>
  </si>
  <si>
    <t>SSI DGI Meter error found out due to which reading is shown less for the particular month</t>
  </si>
  <si>
    <t>SSII KWH METER NOT WORKING PROPERLY AND HENCE UNITS CALCULATED BASED ON PREVIOUS MONTHS CONSUMPITON AVERAGE.</t>
  </si>
  <si>
    <t xml:space="preserve">KWH METER FAULT IN SSI DG - I </t>
  </si>
  <si>
    <t>Power consumption details for the year 2013-14</t>
  </si>
  <si>
    <t>BILL AMOUNT ADJUSTED AGAINST EXCESS ACCD</t>
  </si>
  <si>
    <t>Power consumption details for the year 2014-15</t>
  </si>
  <si>
    <t>Note</t>
  </si>
  <si>
    <t>Wind mill power cost considered in the month of April with out any allocation and the same is reversed in the bills of May-14.</t>
  </si>
  <si>
    <t>Billed MD</t>
  </si>
  <si>
    <t>TNEB AVE COST IS MORE DUE TO FIXED CHARGES AND WIND MILL ADJUSTMENT</t>
  </si>
  <si>
    <t>Cost revised as per the TNERC Norms</t>
  </si>
  <si>
    <t>Power consumption details for the year 2015-16</t>
  </si>
  <si>
    <t>Power consumption details for the year 2016-17</t>
  </si>
  <si>
    <t>Detail of power cut           (in hrs)</t>
  </si>
  <si>
    <t>Power consumption details for the year 2017-18</t>
  </si>
  <si>
    <t>Excess ACCD adjusted in the monthly bills.</t>
  </si>
  <si>
    <t>Uint cost shown high because of wind mill adjustment</t>
  </si>
  <si>
    <t>Peak hour running</t>
  </si>
  <si>
    <t>DG Operation due to internal problem</t>
  </si>
  <si>
    <t>DG Operation details</t>
  </si>
  <si>
    <t>Testing</t>
  </si>
  <si>
    <t>Power consumption details for the year 2018-19</t>
  </si>
  <si>
    <t>Power consumption details for the year 2019-20</t>
  </si>
  <si>
    <t>CCD Amount adjusted</t>
  </si>
  <si>
    <t>Total consumption</t>
  </si>
  <si>
    <t>Tariff rate per unit as per TANGEDCO</t>
  </si>
  <si>
    <t>Cost of total consumption as per the tariff</t>
  </si>
  <si>
    <t>Peak hour unit consumption</t>
  </si>
  <si>
    <t>Additional rate per unit for peak hours</t>
  </si>
  <si>
    <t>Total peak hour charges</t>
  </si>
  <si>
    <t>Total cost as per the tariff incl. peak hour charges</t>
  </si>
  <si>
    <t>Rate per unit charged by IDPL for wind power</t>
  </si>
  <si>
    <t xml:space="preserve">Total cost paid to IDPL </t>
  </si>
  <si>
    <t>Wheeling charges</t>
  </si>
  <si>
    <t>Total cost on account of wind mill consumption</t>
  </si>
  <si>
    <t xml:space="preserve">Total cost including tax for units consumed </t>
  </si>
  <si>
    <t>Tax charged @ 5% for the total units</t>
  </si>
  <si>
    <t>Savings in cost due to windmill power allocation</t>
  </si>
  <si>
    <t>Total cost as per grid consumption</t>
  </si>
  <si>
    <t>Actual peak hour units charged as per gird consumption</t>
  </si>
  <si>
    <t>Actual peak hour charges paid as per grid consumption</t>
  </si>
  <si>
    <t>Cost paid as per TANGEDCO billed Consumption incl. peak hour charges</t>
  </si>
  <si>
    <t>Tax paid @ 5% to TANGEDCO as per actual billed consumption</t>
  </si>
  <si>
    <t>Total cost paid to TANGEDCO as per billed consumption incl. peak hour charges and tax</t>
  </si>
  <si>
    <t>Self Generation tax charged on account of wind mill allocation</t>
  </si>
  <si>
    <t>Actual Grid consumption as per the bill</t>
  </si>
  <si>
    <t xml:space="preserve">Note </t>
  </si>
  <si>
    <t>Acutal charges paid on account of wind power allocation</t>
  </si>
  <si>
    <t>Cost actually paid to TANGEDCO after deducting wind power adjustment charges</t>
  </si>
  <si>
    <t>Cost of consumption with out considering Wind power allocation</t>
  </si>
  <si>
    <t>Night shift consumption rebate is not considered in this and the same has to be calculated to arrive at the exact benefit obtained from wind mill units allocation which will have a minor impact in savings</t>
  </si>
  <si>
    <t>3-SSII</t>
  </si>
  <si>
    <t>Power consumption details for the year 2020-21</t>
  </si>
  <si>
    <t>Certain costs of windmill allocation is charged to a value of INR1,63,418/- incl. in our bills to be reverted back in the debit note. Sent mail to Ankur and our accounts for futher followtups.</t>
  </si>
  <si>
    <t>Adjustment of ACCD Excess amount</t>
  </si>
  <si>
    <t>PF Compensation charges levied due to lockdown on COVID 19</t>
  </si>
  <si>
    <t>Power consumption details for the year 2021-22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</si>
</sst>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u/>
      <sz val="11"/>
      <color theme="1"/>
      <name val="Calibri"/>
      <family val="2"/>
      <scheme val="minor"/>
    </font>
    <font>
      <sz val="11"/>
      <name val="Calibri"/>
      <family val="2"/>
      <scheme val="minor"/>
    </font>
    <font>
      <sz val="11"/>
      <color rgb="FFFF0000"/>
      <name val="Calibri"/>
      <family val="2"/>
      <scheme val="minor"/>
    </font>
    <font>
      <b/>
      <sz val="11"/>
      <color rgb="FFFF0000"/>
      <name val="Calibri"/>
      <family val="2"/>
      <scheme val="minor"/>
    </font>
    <font>
      <b/>
      <u/>
      <sz val="14"/>
      <color theme="1"/>
      <name val="Calibri"/>
      <family val="2"/>
      <scheme val="minor"/>
    </font>
    <font>
      <sz val="11"/>
      <color rgb="FF00B0F0"/>
      <name val="Calibri"/>
      <family val="2"/>
      <scheme val="minor"/>
    </font>
    <font>
      <b/>
      <sz val="11"/>
      <name val="Calibri"/>
      <family val="2"/>
      <scheme val="minor"/>
    </font>
    <font>
      <b/>
      <sz val="14"/>
      <color theme="1"/>
      <name val="Calibri"/>
      <family val="2"/>
      <scheme val="minor"/>
    </font>
  </fonts>
  <fills count="16">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theme="5"/>
        <bgColor indexed="64"/>
      </patternFill>
    </fill>
    <fill>
      <patternFill patternType="solid">
        <fgColor theme="6" tint="-0.249977111117893"/>
        <bgColor indexed="64"/>
      </patternFill>
    </fill>
    <fill>
      <patternFill patternType="solid">
        <fgColor rgb="FFFFC000"/>
        <bgColor indexed="64"/>
      </patternFill>
    </fill>
    <fill>
      <patternFill patternType="solid">
        <fgColor theme="5" tint="0.39997558519241921"/>
        <bgColor indexed="64"/>
      </patternFill>
    </fill>
    <fill>
      <patternFill patternType="solid">
        <fgColor theme="8"/>
        <bgColor indexed="64"/>
      </patternFill>
    </fill>
    <fill>
      <patternFill patternType="solid">
        <fgColor theme="0" tint="-0.249977111117893"/>
        <bgColor indexed="64"/>
      </patternFill>
    </fill>
    <fill>
      <patternFill patternType="solid">
        <fgColor theme="4"/>
        <bgColor indexed="64"/>
      </patternFill>
    </fill>
    <fill>
      <patternFill patternType="solid">
        <fgColor theme="0" tint="-0.3499862666707357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142">
    <xf numFmtId="0" fontId="0" fillId="0" borderId="0" xfId="0"/>
    <xf numFmtId="0" fontId="0" fillId="0" borderId="1" xfId="0" applyBorder="1"/>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Border="1"/>
    <xf numFmtId="0" fontId="1" fillId="0" borderId="0" xfId="0" applyFont="1"/>
    <xf numFmtId="2" fontId="0" fillId="0" borderId="1" xfId="0" applyNumberFormat="1" applyBorder="1"/>
    <xf numFmtId="2" fontId="1" fillId="0" borderId="1" xfId="0" applyNumberFormat="1" applyFont="1" applyBorder="1"/>
    <xf numFmtId="0" fontId="1" fillId="0" borderId="0" xfId="0" applyFont="1" applyAlignment="1">
      <alignment wrapText="1"/>
    </xf>
    <xf numFmtId="0" fontId="0" fillId="0" borderId="2" xfId="0" applyFill="1" applyBorder="1"/>
    <xf numFmtId="1" fontId="0" fillId="0" borderId="1" xfId="0" applyNumberFormat="1" applyBorder="1"/>
    <xf numFmtId="0" fontId="0" fillId="2" borderId="1" xfId="0" applyFill="1" applyBorder="1"/>
    <xf numFmtId="0" fontId="0" fillId="2" borderId="0" xfId="0" applyFill="1"/>
    <xf numFmtId="0" fontId="0" fillId="0" borderId="0" xfId="0" applyBorder="1"/>
    <xf numFmtId="2" fontId="0" fillId="0" borderId="3" xfId="0" applyNumberFormat="1" applyBorder="1"/>
    <xf numFmtId="0" fontId="0" fillId="0" borderId="4" xfId="0" applyBorder="1"/>
    <xf numFmtId="0" fontId="0" fillId="0" borderId="5" xfId="0" applyBorder="1"/>
    <xf numFmtId="0" fontId="1" fillId="0" borderId="6" xfId="0" applyFont="1" applyBorder="1"/>
    <xf numFmtId="0" fontId="0" fillId="0" borderId="0" xfId="0" applyFill="1" applyBorder="1"/>
    <xf numFmtId="0" fontId="1" fillId="0" borderId="0" xfId="0" applyFont="1" applyBorder="1"/>
    <xf numFmtId="0" fontId="4" fillId="4" borderId="1" xfId="0" applyFont="1" applyFill="1" applyBorder="1"/>
    <xf numFmtId="0" fontId="3" fillId="3" borderId="1" xfId="0" applyFont="1" applyFill="1" applyBorder="1"/>
    <xf numFmtId="0" fontId="4" fillId="0" borderId="0" xfId="0" applyFont="1"/>
    <xf numFmtId="0" fontId="0" fillId="5" borderId="1" xfId="0" applyFill="1" applyBorder="1"/>
    <xf numFmtId="0" fontId="0" fillId="5" borderId="0" xfId="0" applyFill="1"/>
    <xf numFmtId="0" fontId="1" fillId="0" borderId="0" xfId="0" applyFont="1" applyAlignment="1">
      <alignment wrapText="1"/>
    </xf>
    <xf numFmtId="1" fontId="0" fillId="0" borderId="0" xfId="0" applyNumberFormat="1"/>
    <xf numFmtId="1" fontId="1" fillId="0" borderId="1" xfId="0" applyNumberFormat="1" applyFont="1" applyBorder="1"/>
    <xf numFmtId="0" fontId="4" fillId="0" borderId="1" xfId="0" applyFont="1" applyBorder="1"/>
    <xf numFmtId="1" fontId="4" fillId="0" borderId="1" xfId="0" applyNumberFormat="1" applyFont="1" applyBorder="1"/>
    <xf numFmtId="0" fontId="5" fillId="0" borderId="1" xfId="0" applyFont="1" applyBorder="1"/>
    <xf numFmtId="1" fontId="5" fillId="0" borderId="1" xfId="0" applyNumberFormat="1" applyFont="1" applyBorder="1"/>
    <xf numFmtId="2" fontId="0" fillId="5" borderId="1" xfId="0" applyNumberFormat="1" applyFill="1" applyBorder="1"/>
    <xf numFmtId="2" fontId="0" fillId="4" borderId="1" xfId="0" applyNumberFormat="1" applyFill="1" applyBorder="1"/>
    <xf numFmtId="0" fontId="0" fillId="4" borderId="0" xfId="0" applyFill="1"/>
    <xf numFmtId="1" fontId="3" fillId="6" borderId="1" xfId="0" applyNumberFormat="1" applyFont="1" applyFill="1" applyBorder="1"/>
    <xf numFmtId="0" fontId="0" fillId="6" borderId="0" xfId="0" applyFill="1"/>
    <xf numFmtId="0" fontId="1" fillId="7" borderId="1" xfId="0" applyFont="1" applyFill="1" applyBorder="1"/>
    <xf numFmtId="0" fontId="0" fillId="7" borderId="0" xfId="0" applyFill="1"/>
    <xf numFmtId="2" fontId="0" fillId="8" borderId="1" xfId="0" applyNumberFormat="1" applyFill="1" applyBorder="1"/>
    <xf numFmtId="0" fontId="1" fillId="8" borderId="0" xfId="0" applyFont="1" applyFill="1" applyAlignment="1">
      <alignment wrapText="1"/>
    </xf>
    <xf numFmtId="0" fontId="1" fillId="9" borderId="1" xfId="0" applyFont="1" applyFill="1" applyBorder="1"/>
    <xf numFmtId="0" fontId="1" fillId="9" borderId="0" xfId="0" applyFont="1" applyFill="1" applyAlignment="1">
      <alignment wrapText="1"/>
    </xf>
    <xf numFmtId="0" fontId="1" fillId="5" borderId="1" xfId="0" applyFont="1" applyFill="1" applyBorder="1"/>
    <xf numFmtId="0" fontId="0" fillId="3" borderId="1" xfId="0" applyFill="1" applyBorder="1"/>
    <xf numFmtId="1" fontId="3" fillId="3" borderId="1" xfId="0" applyNumberFormat="1" applyFont="1" applyFill="1" applyBorder="1"/>
    <xf numFmtId="1" fontId="0" fillId="3" borderId="1" xfId="0" applyNumberFormat="1" applyFill="1" applyBorder="1"/>
    <xf numFmtId="2" fontId="0" fillId="3" borderId="1" xfId="0" applyNumberFormat="1" applyFill="1" applyBorder="1"/>
    <xf numFmtId="0" fontId="1" fillId="3" borderId="1" xfId="0" applyFont="1" applyFill="1" applyBorder="1"/>
    <xf numFmtId="0" fontId="4" fillId="3" borderId="1" xfId="0" applyFont="1" applyFill="1" applyBorder="1"/>
    <xf numFmtId="1" fontId="4" fillId="3" borderId="1" xfId="0" applyNumberFormat="1" applyFont="1" applyFill="1" applyBorder="1"/>
    <xf numFmtId="1" fontId="0" fillId="5" borderId="1" xfId="0" applyNumberFormat="1" applyFill="1" applyBorder="1"/>
    <xf numFmtId="2" fontId="0" fillId="10" borderId="1" xfId="0" applyNumberFormat="1" applyFill="1" applyBorder="1"/>
    <xf numFmtId="0" fontId="0" fillId="10" borderId="0" xfId="0" applyFill="1"/>
    <xf numFmtId="2" fontId="0" fillId="11" borderId="1" xfId="0" applyNumberFormat="1" applyFill="1" applyBorder="1"/>
    <xf numFmtId="2" fontId="7" fillId="3" borderId="1" xfId="0" applyNumberFormat="1" applyFont="1" applyFill="1" applyBorder="1"/>
    <xf numFmtId="1" fontId="5" fillId="0" borderId="0" xfId="0" applyNumberFormat="1" applyFont="1"/>
    <xf numFmtId="1" fontId="5" fillId="3" borderId="1" xfId="0" applyNumberFormat="1" applyFont="1" applyFill="1" applyBorder="1"/>
    <xf numFmtId="2" fontId="3" fillId="5" borderId="1" xfId="0" applyNumberFormat="1" applyFont="1" applyFill="1" applyBorder="1"/>
    <xf numFmtId="1" fontId="1" fillId="3" borderId="1" xfId="0" applyNumberFormat="1" applyFont="1" applyFill="1" applyBorder="1"/>
    <xf numFmtId="0" fontId="5" fillId="3" borderId="1" xfId="0" applyFont="1" applyFill="1" applyBorder="1"/>
    <xf numFmtId="2" fontId="1" fillId="3" borderId="1" xfId="0" applyNumberFormat="1" applyFont="1" applyFill="1" applyBorder="1"/>
    <xf numFmtId="1" fontId="8" fillId="3" borderId="1" xfId="0" applyNumberFormat="1" applyFont="1" applyFill="1" applyBorder="1"/>
    <xf numFmtId="0" fontId="0" fillId="12" borderId="1" xfId="0" applyFill="1" applyBorder="1"/>
    <xf numFmtId="1" fontId="3" fillId="12" borderId="1" xfId="0" applyNumberFormat="1" applyFont="1" applyFill="1" applyBorder="1"/>
    <xf numFmtId="1" fontId="0" fillId="12" borderId="1" xfId="0" applyNumberFormat="1" applyFill="1" applyBorder="1"/>
    <xf numFmtId="2" fontId="0" fillId="12" borderId="1" xfId="0" applyNumberFormat="1" applyFill="1" applyBorder="1"/>
    <xf numFmtId="0" fontId="0" fillId="12" borderId="0" xfId="0" applyFill="1"/>
    <xf numFmtId="0" fontId="0" fillId="0" borderId="1" xfId="0" applyBorder="1"/>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Border="1"/>
    <xf numFmtId="0" fontId="0" fillId="3" borderId="1" xfId="0" applyFill="1" applyBorder="1"/>
    <xf numFmtId="1" fontId="3" fillId="3" borderId="1" xfId="0" applyNumberFormat="1" applyFont="1" applyFill="1" applyBorder="1"/>
    <xf numFmtId="1" fontId="0" fillId="3" borderId="1" xfId="0" applyNumberFormat="1" applyFill="1" applyBorder="1"/>
    <xf numFmtId="2" fontId="0" fillId="3" borderId="1" xfId="0" applyNumberFormat="1" applyFill="1" applyBorder="1"/>
    <xf numFmtId="0" fontId="1" fillId="3" borderId="1" xfId="0" applyFont="1" applyFill="1" applyBorder="1"/>
    <xf numFmtId="0" fontId="4" fillId="3" borderId="1" xfId="0" applyFont="1" applyFill="1" applyBorder="1"/>
    <xf numFmtId="1" fontId="4" fillId="3" borderId="1" xfId="0" applyNumberFormat="1" applyFont="1" applyFill="1" applyBorder="1"/>
    <xf numFmtId="1" fontId="5" fillId="3" borderId="1" xfId="0" applyNumberFormat="1" applyFont="1" applyFill="1" applyBorder="1"/>
    <xf numFmtId="1" fontId="1" fillId="3" borderId="1" xfId="0" applyNumberFormat="1" applyFont="1" applyFill="1" applyBorder="1"/>
    <xf numFmtId="0" fontId="5" fillId="3" borderId="1" xfId="0" applyFont="1" applyFill="1" applyBorder="1"/>
    <xf numFmtId="2" fontId="1" fillId="3" borderId="1" xfId="0" applyNumberFormat="1" applyFont="1" applyFill="1" applyBorder="1"/>
    <xf numFmtId="1" fontId="8" fillId="3" borderId="1" xfId="0" applyNumberFormat="1" applyFont="1" applyFill="1" applyBorder="1"/>
    <xf numFmtId="0" fontId="0" fillId="3" borderId="1" xfId="0" applyFont="1" applyFill="1" applyBorder="1"/>
    <xf numFmtId="2" fontId="4" fillId="3" borderId="1" xfId="0" applyNumberFormat="1" applyFont="1" applyFill="1" applyBorder="1"/>
    <xf numFmtId="0" fontId="0" fillId="4" borderId="1" xfId="0" applyFill="1" applyBorder="1"/>
    <xf numFmtId="0" fontId="1" fillId="0" borderId="3" xfId="0" applyFont="1" applyFill="1" applyBorder="1" applyAlignment="1">
      <alignment horizontal="center" vertical="center" wrapText="1"/>
    </xf>
    <xf numFmtId="0" fontId="0" fillId="3" borderId="3" xfId="0" applyFill="1" applyBorder="1" applyAlignment="1">
      <alignment horizontal="right"/>
    </xf>
    <xf numFmtId="1" fontId="0" fillId="3" borderId="3" xfId="0" applyNumberFormat="1" applyFill="1" applyBorder="1" applyAlignment="1">
      <alignment horizontal="right"/>
    </xf>
    <xf numFmtId="0" fontId="1" fillId="3" borderId="1" xfId="0" applyFont="1" applyFill="1" applyBorder="1" applyAlignment="1">
      <alignment horizontal="right"/>
    </xf>
    <xf numFmtId="0" fontId="0" fillId="3" borderId="1" xfId="0" applyFill="1" applyBorder="1" applyAlignment="1">
      <alignment horizontal="right"/>
    </xf>
    <xf numFmtId="1" fontId="0" fillId="3" borderId="1" xfId="0" applyNumberFormat="1" applyFill="1" applyBorder="1" applyAlignment="1">
      <alignment horizontal="right"/>
    </xf>
    <xf numFmtId="0" fontId="1" fillId="3" borderId="3" xfId="0" applyFont="1" applyFill="1" applyBorder="1" applyAlignment="1">
      <alignment horizontal="right"/>
    </xf>
    <xf numFmtId="2" fontId="0" fillId="3" borderId="3" xfId="0" applyNumberFormat="1" applyFill="1" applyBorder="1"/>
    <xf numFmtId="2" fontId="0" fillId="4" borderId="3" xfId="0" applyNumberFormat="1" applyFill="1" applyBorder="1"/>
    <xf numFmtId="2" fontId="1" fillId="3" borderId="3" xfId="0" applyNumberFormat="1" applyFont="1" applyFill="1" applyBorder="1"/>
    <xf numFmtId="0" fontId="1" fillId="0" borderId="1" xfId="0" applyFont="1" applyBorder="1" applyAlignment="1">
      <alignment horizontal="center" vertical="center"/>
    </xf>
    <xf numFmtId="1" fontId="0" fillId="3" borderId="1" xfId="0" applyNumberFormat="1" applyFont="1" applyFill="1" applyBorder="1"/>
    <xf numFmtId="0" fontId="0" fillId="3" borderId="0" xfId="0" applyFill="1" applyBorder="1"/>
    <xf numFmtId="0" fontId="0" fillId="3" borderId="3" xfId="0" applyFill="1" applyBorder="1" applyAlignment="1">
      <alignment horizontal="right"/>
    </xf>
    <xf numFmtId="0" fontId="1" fillId="0" borderId="1" xfId="0" applyFont="1" applyFill="1" applyBorder="1" applyAlignment="1">
      <alignment horizontal="center" vertical="center" wrapText="1"/>
    </xf>
    <xf numFmtId="0" fontId="0" fillId="3" borderId="3" xfId="0" applyFill="1" applyBorder="1" applyAlignment="1">
      <alignment horizontal="right"/>
    </xf>
    <xf numFmtId="0" fontId="1" fillId="0" borderId="1" xfId="0" applyFont="1" applyFill="1" applyBorder="1" applyAlignment="1">
      <alignment horizontal="center" vertical="center" wrapText="1"/>
    </xf>
    <xf numFmtId="0" fontId="0" fillId="13" borderId="1" xfId="0" applyFill="1" applyBorder="1"/>
    <xf numFmtId="2" fontId="3" fillId="3" borderId="1" xfId="0" applyNumberFormat="1" applyFont="1" applyFill="1" applyBorder="1"/>
    <xf numFmtId="14" fontId="0" fillId="0" borderId="0" xfId="0" applyNumberFormat="1"/>
    <xf numFmtId="0" fontId="0" fillId="3" borderId="3" xfId="0" applyFill="1" applyBorder="1" applyAlignment="1">
      <alignment horizontal="right"/>
    </xf>
    <xf numFmtId="0" fontId="1" fillId="0" borderId="1" xfId="0" applyFont="1" applyFill="1" applyBorder="1" applyAlignment="1">
      <alignment horizontal="center" vertical="center" wrapText="1"/>
    </xf>
    <xf numFmtId="1" fontId="0" fillId="14" borderId="1" xfId="0" applyNumberFormat="1" applyFill="1" applyBorder="1"/>
    <xf numFmtId="0" fontId="0" fillId="14" borderId="0" xfId="0" applyFill="1"/>
    <xf numFmtId="1" fontId="0" fillId="14" borderId="1" xfId="0" applyNumberFormat="1" applyFill="1" applyBorder="1" applyAlignment="1">
      <alignment horizontal="right"/>
    </xf>
    <xf numFmtId="0" fontId="0" fillId="15" borderId="1" xfId="0" applyFill="1" applyBorder="1"/>
    <xf numFmtId="0" fontId="0" fillId="15" borderId="0" xfId="0" applyFill="1"/>
    <xf numFmtId="1" fontId="3" fillId="13" borderId="1" xfId="0" applyNumberFormat="1" applyFont="1" applyFill="1" applyBorder="1"/>
    <xf numFmtId="0" fontId="1" fillId="0" borderId="1" xfId="0" applyFont="1" applyFill="1" applyBorder="1" applyAlignment="1">
      <alignment horizontal="center" vertical="center" wrapText="1"/>
    </xf>
    <xf numFmtId="2" fontId="0" fillId="3" borderId="1" xfId="0" applyNumberFormat="1" applyFont="1" applyFill="1" applyBorder="1"/>
    <xf numFmtId="0" fontId="0" fillId="3" borderId="3" xfId="0" applyFill="1" applyBorder="1" applyAlignment="1">
      <alignment horizontal="right"/>
    </xf>
    <xf numFmtId="0" fontId="0" fillId="3" borderId="4" xfId="0" applyFill="1" applyBorder="1" applyAlignment="1">
      <alignment horizontal="right"/>
    </xf>
    <xf numFmtId="0" fontId="1" fillId="3" borderId="3" xfId="0" applyFont="1" applyFill="1" applyBorder="1" applyAlignment="1">
      <alignment horizontal="right"/>
    </xf>
    <xf numFmtId="0" fontId="1" fillId="3" borderId="4" xfId="0" applyFont="1" applyFill="1" applyBorder="1" applyAlignment="1">
      <alignment horizontal="right"/>
    </xf>
    <xf numFmtId="0" fontId="1" fillId="0" borderId="1" xfId="0" applyFont="1" applyFill="1" applyBorder="1" applyAlignment="1">
      <alignment horizontal="center" vertical="center" wrapText="1"/>
    </xf>
    <xf numFmtId="0" fontId="1" fillId="0" borderId="1" xfId="0" applyFont="1" applyBorder="1" applyAlignment="1">
      <alignment horizontal="center"/>
    </xf>
    <xf numFmtId="0" fontId="6" fillId="0" borderId="7" xfId="0" applyFont="1" applyBorder="1" applyAlignment="1">
      <alignment horizontal="center" vertical="center" wrapText="1"/>
    </xf>
    <xf numFmtId="0" fontId="1" fillId="0" borderId="1" xfId="0" applyFont="1" applyBorder="1" applyAlignment="1">
      <alignment horizontal="center" vertical="center" wrapText="1"/>
    </xf>
    <xf numFmtId="0" fontId="6" fillId="0" borderId="0" xfId="0" applyFont="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0" xfId="0" applyFont="1" applyAlignment="1">
      <alignment horizontal="left" wrapText="1"/>
    </xf>
    <xf numFmtId="0" fontId="0" fillId="0" borderId="0" xfId="0" applyAlignment="1">
      <alignment horizontal="center" wrapText="1"/>
    </xf>
    <xf numFmtId="0" fontId="2" fillId="0" borderId="0" xfId="0" applyFont="1" applyAlignment="1">
      <alignment horizontal="center" vertical="center" wrapText="1"/>
    </xf>
    <xf numFmtId="0" fontId="0" fillId="0" borderId="0" xfId="0" applyAlignment="1">
      <alignment wrapText="1"/>
    </xf>
    <xf numFmtId="0" fontId="5" fillId="0" borderId="0" xfId="0" applyFont="1" applyAlignment="1">
      <alignment horizontal="left" wrapText="1"/>
    </xf>
    <xf numFmtId="0" fontId="0" fillId="0" borderId="0" xfId="0" applyFont="1" applyAlignment="1">
      <alignment horizontal="left"/>
    </xf>
    <xf numFmtId="0" fontId="0" fillId="0" borderId="0" xfId="0" applyFont="1" applyAlignment="1">
      <alignment horizontal="left" wrapText="1"/>
    </xf>
    <xf numFmtId="0" fontId="1" fillId="0" borderId="0" xfId="0" applyFont="1" applyAlignment="1">
      <alignment wrapText="1"/>
    </xf>
    <xf numFmtId="2" fontId="1" fillId="0" borderId="0" xfId="0" applyNumberFormat="1" applyFont="1" applyAlignment="1">
      <alignment horizontal="left" wrapText="1"/>
    </xf>
    <xf numFmtId="2" fontId="0" fillId="0" borderId="0" xfId="0" applyNumberFormat="1" applyAlignment="1">
      <alignment horizontal="left" wrapText="1"/>
    </xf>
    <xf numFmtId="0" fontId="0" fillId="0" borderId="0" xfId="0" applyAlignment="1">
      <alignment horizontal="left" wrapText="1"/>
    </xf>
    <xf numFmtId="0" fontId="0" fillId="0" borderId="0" xfId="0" applyAlignment="1">
      <alignment horizontal="left"/>
    </xf>
    <xf numFmtId="0" fontId="9" fillId="0" borderId="1" xfId="0" applyFont="1" applyBorder="1" applyAlignment="1">
      <alignment horizontal="center" vertical="center" wrapText="1"/>
    </xf>
    <xf numFmtId="0" fontId="6" fillId="0" borderId="1"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C320"/>
  <sheetViews>
    <sheetView tabSelected="1" topLeftCell="A250" zoomScale="80" zoomScaleNormal="80" workbookViewId="0">
      <selection activeCell="O270" sqref="O270"/>
    </sheetView>
  </sheetViews>
  <sheetFormatPr defaultRowHeight="15" x14ac:dyDescent="0.25"/>
  <cols>
    <col min="1" max="1" width="8.5703125" customWidth="1"/>
    <col min="2" max="2" width="9.28515625" customWidth="1"/>
    <col min="3" max="3" width="13.140625" customWidth="1"/>
    <col min="4" max="4" width="9.28515625" customWidth="1"/>
    <col min="5" max="5" width="9" customWidth="1"/>
    <col min="6" max="6" width="9.5703125" customWidth="1"/>
    <col min="7" max="7" width="10.140625" customWidth="1"/>
    <col min="8" max="8" width="9.85546875" customWidth="1"/>
    <col min="9" max="9" width="8.42578125" customWidth="1"/>
    <col min="10" max="10" width="10.7109375" customWidth="1"/>
    <col min="11" max="11" width="9.7109375" customWidth="1"/>
    <col min="12" max="12" width="6.5703125" customWidth="1"/>
    <col min="13" max="13" width="10.140625" customWidth="1"/>
    <col min="14" max="14" width="8.7109375" customWidth="1"/>
    <col min="15" max="15" width="10.140625" customWidth="1"/>
    <col min="16" max="16" width="11" customWidth="1"/>
    <col min="17" max="17" width="10.85546875" customWidth="1"/>
    <col min="18" max="18" width="11.5703125" customWidth="1"/>
    <col min="19" max="19" width="10" customWidth="1"/>
    <col min="20" max="20" width="7.140625" customWidth="1"/>
    <col min="21" max="21" width="4.5703125" customWidth="1"/>
    <col min="22" max="22" width="11.140625" customWidth="1"/>
    <col min="23" max="23" width="11.28515625" customWidth="1"/>
    <col min="24" max="24" width="12.5703125" customWidth="1"/>
    <col min="25" max="25" width="9.5703125" customWidth="1"/>
    <col min="28" max="28" width="10.42578125" customWidth="1"/>
  </cols>
  <sheetData>
    <row r="1" spans="1:17" x14ac:dyDescent="0.25">
      <c r="A1" s="130" t="s">
        <v>0</v>
      </c>
      <c r="B1" s="130"/>
      <c r="C1" s="130"/>
      <c r="D1" s="130"/>
      <c r="E1" s="130"/>
      <c r="F1" s="130"/>
      <c r="G1" s="130"/>
      <c r="H1" s="130"/>
      <c r="I1" s="130"/>
      <c r="J1" s="130"/>
      <c r="K1" s="130"/>
      <c r="L1" s="130"/>
      <c r="M1" s="130"/>
      <c r="N1" s="130"/>
      <c r="O1" s="130"/>
      <c r="P1" s="130"/>
    </row>
    <row r="3" spans="1:17" ht="75" customHeight="1" x14ac:dyDescent="0.25">
      <c r="A3" s="2" t="s">
        <v>1</v>
      </c>
      <c r="B3" s="2" t="s">
        <v>13</v>
      </c>
      <c r="C3" s="2" t="s">
        <v>2</v>
      </c>
      <c r="D3" s="2" t="s">
        <v>45</v>
      </c>
      <c r="E3" s="2" t="s">
        <v>3</v>
      </c>
      <c r="F3" s="2" t="s">
        <v>4</v>
      </c>
      <c r="G3" s="2" t="s">
        <v>5</v>
      </c>
      <c r="H3" s="2" t="s">
        <v>6</v>
      </c>
      <c r="I3" s="2" t="s">
        <v>7</v>
      </c>
      <c r="J3" s="2" t="s">
        <v>8</v>
      </c>
      <c r="K3" s="2" t="s">
        <v>9</v>
      </c>
      <c r="L3" s="2" t="s">
        <v>32</v>
      </c>
      <c r="M3" s="2" t="s">
        <v>10</v>
      </c>
      <c r="N3" s="2" t="s">
        <v>11</v>
      </c>
      <c r="O3" s="2" t="s">
        <v>33</v>
      </c>
      <c r="P3" s="2" t="s">
        <v>12</v>
      </c>
      <c r="Q3" s="3" t="s">
        <v>31</v>
      </c>
    </row>
    <row r="4" spans="1:17" x14ac:dyDescent="0.25">
      <c r="A4" s="1" t="s">
        <v>14</v>
      </c>
      <c r="B4" s="1">
        <v>288975</v>
      </c>
      <c r="C4" s="1">
        <f t="shared" ref="C4:C13" si="0">+B4*3.5</f>
        <v>1011412.5</v>
      </c>
      <c r="D4" s="1"/>
      <c r="E4" s="1">
        <v>310500</v>
      </c>
      <c r="F4" s="1">
        <f>37149+2000+66727</f>
        <v>105876</v>
      </c>
      <c r="G4" s="1">
        <v>16419</v>
      </c>
      <c r="H4" s="1">
        <f t="shared" ref="H4:H14" si="1">+C4+E4+F4-G4</f>
        <v>1411369.5</v>
      </c>
      <c r="I4" s="6">
        <f t="shared" ref="I4:I14" si="2">+H4/B4</f>
        <v>4.8840539839086423</v>
      </c>
      <c r="J4" s="1">
        <f>22464+6412</f>
        <v>28876</v>
      </c>
      <c r="K4" s="1">
        <f>7720+1900</f>
        <v>9620</v>
      </c>
      <c r="L4" s="1">
        <v>34</v>
      </c>
      <c r="M4" s="1">
        <f>+K4*L4</f>
        <v>327080</v>
      </c>
      <c r="N4" s="6">
        <f>+M4/J4</f>
        <v>11.327053608533038</v>
      </c>
      <c r="O4" s="1">
        <f>+J4+B4</f>
        <v>317851</v>
      </c>
      <c r="P4" s="1">
        <f t="shared" ref="P4:P14" si="3">+M4+H4</f>
        <v>1738449.5</v>
      </c>
      <c r="Q4" s="6">
        <f>+P4/O4</f>
        <v>5.4693850263173625</v>
      </c>
    </row>
    <row r="5" spans="1:17" x14ac:dyDescent="0.25">
      <c r="A5" s="1" t="s">
        <v>15</v>
      </c>
      <c r="B5" s="1">
        <v>255105</v>
      </c>
      <c r="C5" s="1">
        <f t="shared" si="0"/>
        <v>892867.5</v>
      </c>
      <c r="D5" s="1"/>
      <c r="E5" s="1">
        <v>310500</v>
      </c>
      <c r="F5" s="1">
        <f>34041+2000+58600</f>
        <v>94641</v>
      </c>
      <c r="G5" s="1">
        <v>15012</v>
      </c>
      <c r="H5" s="1">
        <f t="shared" si="1"/>
        <v>1282996.5</v>
      </c>
      <c r="I5" s="6">
        <f t="shared" si="2"/>
        <v>5.0292879402598931</v>
      </c>
      <c r="J5" s="1">
        <f>15000+900</f>
        <v>15900</v>
      </c>
      <c r="K5" s="1">
        <f>5005+400</f>
        <v>5405</v>
      </c>
      <c r="L5" s="1">
        <v>34</v>
      </c>
      <c r="M5" s="1">
        <f t="shared" ref="M5:M15" si="4">+K5*L5</f>
        <v>183770</v>
      </c>
      <c r="N5" s="6">
        <f t="shared" ref="N5:N15" si="5">+M5/J5</f>
        <v>11.557861635220126</v>
      </c>
      <c r="O5" s="1">
        <f t="shared" ref="O5:O15" si="6">+J5+B5</f>
        <v>271005</v>
      </c>
      <c r="P5" s="1">
        <f t="shared" si="3"/>
        <v>1466766.5</v>
      </c>
      <c r="Q5" s="6">
        <f t="shared" ref="Q5:Q16" si="7">+P5/O5</f>
        <v>5.4123226508736</v>
      </c>
    </row>
    <row r="6" spans="1:17" x14ac:dyDescent="0.25">
      <c r="A6" s="1" t="s">
        <v>16</v>
      </c>
      <c r="B6" s="1">
        <v>296790</v>
      </c>
      <c r="C6" s="1">
        <f t="shared" si="0"/>
        <v>1038765</v>
      </c>
      <c r="D6" s="1"/>
      <c r="E6" s="1">
        <v>310500</v>
      </c>
      <c r="F6" s="1">
        <f>40677+2000+67981</f>
        <v>110658</v>
      </c>
      <c r="G6" s="1">
        <v>15910</v>
      </c>
      <c r="H6" s="1">
        <f t="shared" si="1"/>
        <v>1444013</v>
      </c>
      <c r="I6" s="6">
        <f t="shared" si="2"/>
        <v>4.8654368408639108</v>
      </c>
      <c r="J6" s="1">
        <f>7020+761</f>
        <v>7781</v>
      </c>
      <c r="K6" s="1">
        <f>2535+400</f>
        <v>2935</v>
      </c>
      <c r="L6" s="1">
        <v>36.65</v>
      </c>
      <c r="M6" s="10">
        <f t="shared" si="4"/>
        <v>107567.75</v>
      </c>
      <c r="N6" s="6">
        <f t="shared" si="5"/>
        <v>13.824412029302147</v>
      </c>
      <c r="O6" s="1">
        <f t="shared" si="6"/>
        <v>304571</v>
      </c>
      <c r="P6" s="1">
        <f t="shared" si="3"/>
        <v>1551580.75</v>
      </c>
      <c r="Q6" s="6">
        <f t="shared" si="7"/>
        <v>5.0943154469729555</v>
      </c>
    </row>
    <row r="7" spans="1:17" x14ac:dyDescent="0.25">
      <c r="A7" s="1" t="s">
        <v>17</v>
      </c>
      <c r="B7" s="1">
        <v>268230</v>
      </c>
      <c r="C7" s="1">
        <f t="shared" si="0"/>
        <v>938805</v>
      </c>
      <c r="D7" s="1"/>
      <c r="E7" s="1">
        <v>310500</v>
      </c>
      <c r="F7" s="1">
        <f>35931+2000+6000+62661</f>
        <v>106592</v>
      </c>
      <c r="G7" s="1">
        <v>15367</v>
      </c>
      <c r="H7" s="1">
        <f t="shared" si="1"/>
        <v>1340530</v>
      </c>
      <c r="I7" s="6">
        <f t="shared" si="2"/>
        <v>4.9976885508705218</v>
      </c>
      <c r="J7" s="1">
        <f>11916+1481</f>
        <v>13397</v>
      </c>
      <c r="K7" s="1">
        <f>4035+680</f>
        <v>4715</v>
      </c>
      <c r="L7" s="1">
        <v>36.65</v>
      </c>
      <c r="M7" s="10">
        <f t="shared" si="4"/>
        <v>172804.75</v>
      </c>
      <c r="N7" s="6">
        <f t="shared" si="5"/>
        <v>12.89876464880197</v>
      </c>
      <c r="O7" s="1">
        <f t="shared" si="6"/>
        <v>281627</v>
      </c>
      <c r="P7" s="1">
        <f t="shared" si="3"/>
        <v>1513334.75</v>
      </c>
      <c r="Q7" s="6">
        <f t="shared" si="7"/>
        <v>5.3735428421280629</v>
      </c>
    </row>
    <row r="8" spans="1:17" x14ac:dyDescent="0.25">
      <c r="A8" s="1" t="s">
        <v>18</v>
      </c>
      <c r="B8" s="1">
        <v>319545</v>
      </c>
      <c r="C8" s="1">
        <f t="shared" si="0"/>
        <v>1118407.5</v>
      </c>
      <c r="D8" s="1"/>
      <c r="E8" s="1">
        <v>324450</v>
      </c>
      <c r="F8" s="1">
        <f>42535+2000+4000+73361</f>
        <v>121896</v>
      </c>
      <c r="G8" s="1">
        <v>18176</v>
      </c>
      <c r="H8" s="1">
        <f t="shared" si="1"/>
        <v>1546577.5</v>
      </c>
      <c r="I8" s="6">
        <f t="shared" si="2"/>
        <v>4.8399364721713685</v>
      </c>
      <c r="J8" s="1">
        <v>8628</v>
      </c>
      <c r="K8" s="1">
        <v>2645</v>
      </c>
      <c r="L8" s="1">
        <v>36.65</v>
      </c>
      <c r="M8" s="10">
        <f t="shared" si="4"/>
        <v>96939.25</v>
      </c>
      <c r="N8" s="6">
        <f t="shared" si="5"/>
        <v>11.235425359295318</v>
      </c>
      <c r="O8" s="1">
        <f t="shared" si="6"/>
        <v>328173</v>
      </c>
      <c r="P8" s="1">
        <f t="shared" si="3"/>
        <v>1643516.75</v>
      </c>
      <c r="Q8" s="6">
        <f t="shared" si="7"/>
        <v>5.0080803417709561</v>
      </c>
    </row>
    <row r="9" spans="1:17" x14ac:dyDescent="0.25">
      <c r="A9" s="1" t="s">
        <v>19</v>
      </c>
      <c r="B9" s="1">
        <v>275535</v>
      </c>
      <c r="C9" s="1">
        <f t="shared" si="0"/>
        <v>964372.5</v>
      </c>
      <c r="D9" s="1"/>
      <c r="E9" s="1">
        <v>310500</v>
      </c>
      <c r="F9" s="1">
        <f>25799+2000+64040</f>
        <v>91839</v>
      </c>
      <c r="G9" s="1">
        <v>15816</v>
      </c>
      <c r="H9" s="1">
        <f t="shared" si="1"/>
        <v>1350895.5</v>
      </c>
      <c r="I9" s="6">
        <f t="shared" si="2"/>
        <v>4.9028090805160867</v>
      </c>
      <c r="J9" s="1">
        <v>18468</v>
      </c>
      <c r="K9" s="1">
        <v>6510</v>
      </c>
      <c r="L9" s="1">
        <v>37</v>
      </c>
      <c r="M9" s="10">
        <f t="shared" si="4"/>
        <v>240870</v>
      </c>
      <c r="N9" s="6">
        <f t="shared" si="5"/>
        <v>13.042560103963613</v>
      </c>
      <c r="O9" s="1">
        <f t="shared" si="6"/>
        <v>294003</v>
      </c>
      <c r="P9" s="1">
        <f t="shared" si="3"/>
        <v>1591765.5</v>
      </c>
      <c r="Q9" s="6">
        <f t="shared" si="7"/>
        <v>5.4141131212946805</v>
      </c>
    </row>
    <row r="10" spans="1:17" x14ac:dyDescent="0.25">
      <c r="A10" s="1" t="s">
        <v>20</v>
      </c>
      <c r="B10" s="1">
        <v>168390</v>
      </c>
      <c r="C10" s="1">
        <f t="shared" si="0"/>
        <v>589365</v>
      </c>
      <c r="D10" s="1"/>
      <c r="E10" s="1">
        <v>310500</v>
      </c>
      <c r="F10" s="1">
        <f>11130+2000+43157</f>
        <v>56287</v>
      </c>
      <c r="G10" s="1">
        <v>10949</v>
      </c>
      <c r="H10" s="1">
        <f t="shared" si="1"/>
        <v>945203</v>
      </c>
      <c r="I10" s="6">
        <f t="shared" si="2"/>
        <v>5.6131777421462079</v>
      </c>
      <c r="J10" s="1">
        <f>37175+1204</f>
        <v>38379</v>
      </c>
      <c r="K10" s="1">
        <f>12560+730</f>
        <v>13290</v>
      </c>
      <c r="L10" s="1">
        <v>37</v>
      </c>
      <c r="M10" s="10">
        <f t="shared" si="4"/>
        <v>491730</v>
      </c>
      <c r="N10" s="6">
        <f t="shared" si="5"/>
        <v>12.812475572578753</v>
      </c>
      <c r="O10" s="1">
        <f t="shared" si="6"/>
        <v>206769</v>
      </c>
      <c r="P10" s="1">
        <f t="shared" si="3"/>
        <v>1436933</v>
      </c>
      <c r="Q10" s="6">
        <f t="shared" si="7"/>
        <v>6.9494605090705086</v>
      </c>
    </row>
    <row r="11" spans="1:17" x14ac:dyDescent="0.25">
      <c r="A11" s="1" t="s">
        <v>21</v>
      </c>
      <c r="B11" s="1">
        <v>179025</v>
      </c>
      <c r="C11" s="1">
        <f t="shared" si="0"/>
        <v>626587.5</v>
      </c>
      <c r="D11" s="1"/>
      <c r="E11" s="1">
        <v>229095</v>
      </c>
      <c r="F11" s="1">
        <f>16369+2000+42276</f>
        <v>60645</v>
      </c>
      <c r="G11" s="1">
        <v>10820</v>
      </c>
      <c r="H11" s="1">
        <f t="shared" si="1"/>
        <v>905507.5</v>
      </c>
      <c r="I11" s="6">
        <f t="shared" si="2"/>
        <v>5.0579946934785642</v>
      </c>
      <c r="J11" s="1">
        <f>46704+341</f>
        <v>47045</v>
      </c>
      <c r="K11" s="1">
        <f>15595+270</f>
        <v>15865</v>
      </c>
      <c r="L11" s="1">
        <v>37</v>
      </c>
      <c r="M11" s="10">
        <f t="shared" si="4"/>
        <v>587005</v>
      </c>
      <c r="N11" s="6">
        <f t="shared" si="5"/>
        <v>12.477521521947072</v>
      </c>
      <c r="O11" s="1">
        <f t="shared" si="6"/>
        <v>226070</v>
      </c>
      <c r="P11" s="1">
        <f t="shared" si="3"/>
        <v>1492512.5</v>
      </c>
      <c r="Q11" s="6">
        <f t="shared" si="7"/>
        <v>6.6019927456097669</v>
      </c>
    </row>
    <row r="12" spans="1:17" x14ac:dyDescent="0.25">
      <c r="A12" s="1" t="s">
        <v>22</v>
      </c>
      <c r="B12" s="1">
        <v>217890</v>
      </c>
      <c r="C12" s="1">
        <f t="shared" si="0"/>
        <v>762615</v>
      </c>
      <c r="D12" s="1"/>
      <c r="E12" s="1">
        <v>220050</v>
      </c>
      <c r="F12" s="1">
        <f>29096+148855+29264+51117+2000</f>
        <v>260332</v>
      </c>
      <c r="G12" s="1">
        <v>11479.13</v>
      </c>
      <c r="H12" s="1">
        <f t="shared" si="1"/>
        <v>1231517.8700000001</v>
      </c>
      <c r="I12" s="6">
        <f t="shared" si="2"/>
        <v>5.6520164762035892</v>
      </c>
      <c r="J12" s="1">
        <f>4938+30024</f>
        <v>34962</v>
      </c>
      <c r="K12" s="1">
        <f>1700+9295</f>
        <v>10995</v>
      </c>
      <c r="L12" s="1">
        <v>37</v>
      </c>
      <c r="M12" s="10">
        <f t="shared" si="4"/>
        <v>406815</v>
      </c>
      <c r="N12" s="6">
        <f t="shared" si="5"/>
        <v>11.635918997769007</v>
      </c>
      <c r="O12" s="1">
        <f t="shared" si="6"/>
        <v>252852</v>
      </c>
      <c r="P12" s="1">
        <f t="shared" si="3"/>
        <v>1638332.87</v>
      </c>
      <c r="Q12" s="6">
        <f t="shared" si="7"/>
        <v>6.4794143214212268</v>
      </c>
    </row>
    <row r="13" spans="1:17" x14ac:dyDescent="0.25">
      <c r="A13" s="1" t="s">
        <v>23</v>
      </c>
      <c r="B13" s="1">
        <v>213645</v>
      </c>
      <c r="C13" s="1">
        <f t="shared" si="0"/>
        <v>747757.5</v>
      </c>
      <c r="D13" s="1"/>
      <c r="E13" s="1">
        <v>224100</v>
      </c>
      <c r="F13" s="1">
        <f>29494.5+2000+119140+49525</f>
        <v>200159.5</v>
      </c>
      <c r="G13" s="1">
        <v>10857</v>
      </c>
      <c r="H13" s="1">
        <f t="shared" si="1"/>
        <v>1161160</v>
      </c>
      <c r="I13" s="6">
        <f t="shared" si="2"/>
        <v>5.4349973086194385</v>
      </c>
      <c r="J13" s="1">
        <f>1317+13620</f>
        <v>14937</v>
      </c>
      <c r="K13" s="1">
        <f>360+4390</f>
        <v>4750</v>
      </c>
      <c r="L13" s="1">
        <v>34.700000000000003</v>
      </c>
      <c r="M13" s="1">
        <f t="shared" si="4"/>
        <v>164825</v>
      </c>
      <c r="N13" s="6">
        <f t="shared" si="5"/>
        <v>11.034678985070631</v>
      </c>
      <c r="O13" s="1">
        <f t="shared" si="6"/>
        <v>228582</v>
      </c>
      <c r="P13" s="1">
        <f t="shared" si="3"/>
        <v>1325985</v>
      </c>
      <c r="Q13" s="6">
        <f t="shared" si="7"/>
        <v>5.8009160826311783</v>
      </c>
    </row>
    <row r="14" spans="1:17" x14ac:dyDescent="0.25">
      <c r="A14" s="1" t="s">
        <v>24</v>
      </c>
      <c r="B14" s="1">
        <v>213540</v>
      </c>
      <c r="C14" s="1">
        <f>+B14*3.5</f>
        <v>747390</v>
      </c>
      <c r="D14" s="1"/>
      <c r="E14" s="1">
        <v>220050</v>
      </c>
      <c r="F14" s="1">
        <f>29620+2000+118405+48634</f>
        <v>198659</v>
      </c>
      <c r="G14" s="1">
        <f>11925+4799</f>
        <v>16724</v>
      </c>
      <c r="H14" s="1">
        <f t="shared" si="1"/>
        <v>1149375</v>
      </c>
      <c r="I14" s="6">
        <f t="shared" si="2"/>
        <v>5.3824810339983138</v>
      </c>
      <c r="J14" s="1">
        <f>4504+45780</f>
        <v>50284</v>
      </c>
      <c r="K14" s="1">
        <f>1990+14400</f>
        <v>16390</v>
      </c>
      <c r="L14" s="1">
        <v>32.5</v>
      </c>
      <c r="M14" s="1">
        <f t="shared" si="4"/>
        <v>532675</v>
      </c>
      <c r="N14" s="6">
        <f t="shared" si="5"/>
        <v>10.593329886246122</v>
      </c>
      <c r="O14" s="1">
        <f t="shared" si="6"/>
        <v>263824</v>
      </c>
      <c r="P14" s="1">
        <f t="shared" si="3"/>
        <v>1682050</v>
      </c>
      <c r="Q14" s="6">
        <f t="shared" si="7"/>
        <v>6.3756519497847046</v>
      </c>
    </row>
    <row r="15" spans="1:17" x14ac:dyDescent="0.25">
      <c r="A15" s="1" t="s">
        <v>25</v>
      </c>
      <c r="B15" s="1">
        <v>223680</v>
      </c>
      <c r="C15" s="1">
        <v>782880</v>
      </c>
      <c r="D15" s="1"/>
      <c r="E15" s="1">
        <v>220500</v>
      </c>
      <c r="F15" s="1">
        <f>12705+2000+189385+33000+49610</f>
        <v>286700</v>
      </c>
      <c r="G15" s="1">
        <f>13852+10034</f>
        <v>23886</v>
      </c>
      <c r="H15" s="1">
        <f>+C15+E15+F15-G15</f>
        <v>1266194</v>
      </c>
      <c r="I15" s="6">
        <f>+H15/B15</f>
        <v>5.6607385550786837</v>
      </c>
      <c r="J15" s="1">
        <f>4832+40452</f>
        <v>45284</v>
      </c>
      <c r="K15" s="1">
        <f>2255+12745</f>
        <v>15000</v>
      </c>
      <c r="L15" s="1">
        <v>32.5</v>
      </c>
      <c r="M15" s="1">
        <f t="shared" si="4"/>
        <v>487500</v>
      </c>
      <c r="N15" s="6">
        <f t="shared" si="5"/>
        <v>10.765391749845421</v>
      </c>
      <c r="O15" s="1">
        <f t="shared" si="6"/>
        <v>268964</v>
      </c>
      <c r="P15" s="1">
        <f>+M15+H15</f>
        <v>1753694</v>
      </c>
      <c r="Q15" s="6">
        <f t="shared" si="7"/>
        <v>6.5201811394833511</v>
      </c>
    </row>
    <row r="16" spans="1:17" s="5" customFormat="1" x14ac:dyDescent="0.25">
      <c r="A16" s="4" t="s">
        <v>28</v>
      </c>
      <c r="B16" s="4">
        <f>SUM(B4:B15)</f>
        <v>2920350</v>
      </c>
      <c r="C16" s="4">
        <f t="shared" ref="C16:P16" si="8">SUM(C4:C15)</f>
        <v>10221225</v>
      </c>
      <c r="D16" s="4"/>
      <c r="E16" s="4">
        <f t="shared" si="8"/>
        <v>3301245</v>
      </c>
      <c r="F16" s="4">
        <f t="shared" si="8"/>
        <v>1694284.5</v>
      </c>
      <c r="G16" s="4">
        <f t="shared" si="8"/>
        <v>181415.13</v>
      </c>
      <c r="H16" s="4">
        <f t="shared" si="8"/>
        <v>15035339.370000001</v>
      </c>
      <c r="I16" s="7">
        <f>SUM(I4:I15)/12</f>
        <v>5.1933848898429344</v>
      </c>
      <c r="J16" s="4">
        <f t="shared" si="8"/>
        <v>323941</v>
      </c>
      <c r="K16" s="4">
        <f t="shared" si="8"/>
        <v>108120</v>
      </c>
      <c r="L16" s="4">
        <f>SUM(L4:L15)/12</f>
        <v>35.470833333333339</v>
      </c>
      <c r="M16" s="27">
        <f t="shared" si="8"/>
        <v>3799581.75</v>
      </c>
      <c r="N16" s="7">
        <f>SUM(N4:N15)/12</f>
        <v>11.933782841547767</v>
      </c>
      <c r="O16" s="4">
        <f>SUM(O4:O15)</f>
        <v>3244291</v>
      </c>
      <c r="P16" s="4">
        <f t="shared" si="8"/>
        <v>18834921.120000001</v>
      </c>
      <c r="Q16" s="7">
        <f t="shared" si="7"/>
        <v>5.805558477954043</v>
      </c>
    </row>
    <row r="17" spans="1:17" x14ac:dyDescent="0.25">
      <c r="O17" s="9"/>
    </row>
    <row r="18" spans="1:17" ht="12.75" customHeight="1" x14ac:dyDescent="0.25">
      <c r="A18" s="135" t="s">
        <v>26</v>
      </c>
      <c r="B18" s="131"/>
      <c r="C18" s="131"/>
      <c r="D18" s="131"/>
      <c r="E18" s="131"/>
      <c r="F18" s="131"/>
      <c r="G18" s="131"/>
      <c r="H18" s="135" t="s">
        <v>27</v>
      </c>
      <c r="I18" s="131"/>
    </row>
    <row r="19" spans="1:17" ht="12.75" customHeight="1" x14ac:dyDescent="0.25">
      <c r="A19" s="135" t="s">
        <v>29</v>
      </c>
      <c r="B19" s="131"/>
      <c r="C19" s="131"/>
      <c r="D19" s="131"/>
      <c r="E19" s="131"/>
      <c r="F19" s="131"/>
      <c r="G19" s="131"/>
      <c r="H19" s="136">
        <f>+O16/15011</f>
        <v>216.12757311305043</v>
      </c>
      <c r="I19" s="137"/>
    </row>
    <row r="20" spans="1:17" x14ac:dyDescent="0.25">
      <c r="A20" s="135" t="s">
        <v>30</v>
      </c>
      <c r="B20" s="131"/>
      <c r="C20" s="131"/>
      <c r="D20" s="131"/>
      <c r="E20" s="131"/>
      <c r="F20" s="131"/>
      <c r="G20" s="131"/>
      <c r="H20" s="136">
        <f>+P16/15011</f>
        <v>1254.7412644061023</v>
      </c>
      <c r="I20" s="137"/>
    </row>
    <row r="21" spans="1:17" ht="9" customHeight="1" x14ac:dyDescent="0.25">
      <c r="A21" s="8"/>
      <c r="B21" s="8"/>
      <c r="C21" s="8"/>
      <c r="D21" s="25"/>
      <c r="E21" s="8"/>
      <c r="F21" s="8"/>
      <c r="G21" s="8"/>
    </row>
    <row r="24" spans="1:17" x14ac:dyDescent="0.25">
      <c r="A24" s="130" t="s">
        <v>34</v>
      </c>
      <c r="B24" s="130"/>
      <c r="C24" s="130"/>
      <c r="D24" s="130"/>
      <c r="E24" s="130"/>
      <c r="F24" s="130"/>
      <c r="G24" s="130"/>
      <c r="H24" s="130"/>
      <c r="I24" s="130"/>
      <c r="J24" s="130"/>
      <c r="K24" s="130"/>
      <c r="L24" s="130"/>
      <c r="M24" s="130"/>
      <c r="N24" s="130"/>
      <c r="O24" s="130"/>
      <c r="P24" s="130"/>
    </row>
    <row r="26" spans="1:17" ht="60" x14ac:dyDescent="0.25">
      <c r="A26" s="2" t="s">
        <v>37</v>
      </c>
      <c r="B26" s="2" t="s">
        <v>13</v>
      </c>
      <c r="C26" s="2" t="s">
        <v>2</v>
      </c>
      <c r="D26" s="2" t="s">
        <v>45</v>
      </c>
      <c r="E26" s="2" t="s">
        <v>3</v>
      </c>
      <c r="F26" s="2" t="s">
        <v>4</v>
      </c>
      <c r="G26" s="2" t="s">
        <v>35</v>
      </c>
      <c r="H26" s="2" t="s">
        <v>6</v>
      </c>
      <c r="I26" s="2" t="s">
        <v>7</v>
      </c>
      <c r="J26" s="2" t="s">
        <v>8</v>
      </c>
      <c r="K26" s="2" t="s">
        <v>9</v>
      </c>
      <c r="L26" s="2" t="s">
        <v>32</v>
      </c>
      <c r="M26" s="2" t="s">
        <v>10</v>
      </c>
      <c r="N26" s="2" t="s">
        <v>39</v>
      </c>
      <c r="O26" s="2" t="s">
        <v>33</v>
      </c>
      <c r="P26" s="2" t="s">
        <v>38</v>
      </c>
      <c r="Q26" s="3" t="s">
        <v>31</v>
      </c>
    </row>
    <row r="27" spans="1:17" x14ac:dyDescent="0.25">
      <c r="A27" s="1" t="s">
        <v>14</v>
      </c>
      <c r="B27" s="1">
        <v>180810</v>
      </c>
      <c r="C27" s="1">
        <v>632835</v>
      </c>
      <c r="D27" s="1"/>
      <c r="E27" s="1">
        <v>194400</v>
      </c>
      <c r="F27" s="1">
        <f>8641.5+2000+41252.2</f>
        <v>51893.7</v>
      </c>
      <c r="G27" s="1">
        <v>10833.4</v>
      </c>
      <c r="H27" s="10">
        <f t="shared" ref="H27:H38" si="9">+C27+E27+F27-G27</f>
        <v>868295.29999999993</v>
      </c>
      <c r="I27" s="6">
        <f t="shared" ref="I27:I38" si="10">+H27/B27</f>
        <v>4.8022526408937551</v>
      </c>
      <c r="J27" s="1">
        <v>31759</v>
      </c>
      <c r="K27" s="1">
        <v>10773</v>
      </c>
      <c r="L27" s="1">
        <v>32.549999999999997</v>
      </c>
      <c r="M27" s="10">
        <f>+K27*L27</f>
        <v>350661.14999999997</v>
      </c>
      <c r="N27" s="6">
        <f>+M27/J27</f>
        <v>11.041315847476305</v>
      </c>
      <c r="O27" s="1">
        <f t="shared" ref="O27:O38" si="11">+J27+B27</f>
        <v>212569</v>
      </c>
      <c r="P27" s="1">
        <f t="shared" ref="P27:P38" si="12">+M27+H27</f>
        <v>1218956.45</v>
      </c>
      <c r="Q27" s="6">
        <f t="shared" ref="Q27:Q39" si="13">+P27/O27</f>
        <v>5.7344036524610829</v>
      </c>
    </row>
    <row r="28" spans="1:17" x14ac:dyDescent="0.25">
      <c r="A28" s="1" t="s">
        <v>15</v>
      </c>
      <c r="B28" s="1">
        <v>166440</v>
      </c>
      <c r="C28" s="1">
        <v>582540</v>
      </c>
      <c r="D28" s="1"/>
      <c r="E28" s="1">
        <v>203400</v>
      </c>
      <c r="F28" s="1">
        <f>29494.5+2000+40396.5</f>
        <v>71891</v>
      </c>
      <c r="G28" s="1">
        <v>7504.9</v>
      </c>
      <c r="H28" s="10">
        <f t="shared" si="9"/>
        <v>850326.1</v>
      </c>
      <c r="I28" s="6">
        <f t="shared" si="10"/>
        <v>5.1089047104061525</v>
      </c>
      <c r="J28" s="1">
        <v>34493</v>
      </c>
      <c r="K28" s="1">
        <v>11490</v>
      </c>
      <c r="L28" s="1">
        <v>32.549999999999997</v>
      </c>
      <c r="M28" s="10">
        <f t="shared" ref="M28:M38" si="14">+K28*L28</f>
        <v>373999.49999999994</v>
      </c>
      <c r="N28" s="6">
        <f t="shared" ref="N28:N38" si="15">+M28/J28</f>
        <v>10.842765198735973</v>
      </c>
      <c r="O28" s="1">
        <f t="shared" si="11"/>
        <v>200933</v>
      </c>
      <c r="P28" s="1">
        <f t="shared" si="12"/>
        <v>1224325.5999999999</v>
      </c>
      <c r="Q28" s="6">
        <f t="shared" si="13"/>
        <v>6.0932032070391617</v>
      </c>
    </row>
    <row r="29" spans="1:17" x14ac:dyDescent="0.25">
      <c r="A29" s="1" t="s">
        <v>16</v>
      </c>
      <c r="B29" s="1">
        <v>220965</v>
      </c>
      <c r="C29" s="1">
        <v>773377.5</v>
      </c>
      <c r="D29" s="1"/>
      <c r="E29" s="1">
        <v>226506</v>
      </c>
      <c r="F29" s="1">
        <f>8442+2000+49476.5</f>
        <v>59918.5</v>
      </c>
      <c r="G29" s="1">
        <f>1270.5+4936.5</f>
        <v>6207</v>
      </c>
      <c r="H29" s="10">
        <f t="shared" si="9"/>
        <v>1053595</v>
      </c>
      <c r="I29" s="6">
        <f t="shared" si="10"/>
        <v>4.7681533274500483</v>
      </c>
      <c r="J29" s="1">
        <v>28745</v>
      </c>
      <c r="K29" s="1">
        <v>9755</v>
      </c>
      <c r="L29" s="1">
        <v>32.549999999999997</v>
      </c>
      <c r="M29" s="10">
        <f t="shared" si="14"/>
        <v>317525.25</v>
      </c>
      <c r="N29" s="6">
        <f t="shared" si="15"/>
        <v>11.046277613497999</v>
      </c>
      <c r="O29" s="1">
        <f t="shared" si="11"/>
        <v>249710</v>
      </c>
      <c r="P29" s="1">
        <f t="shared" si="12"/>
        <v>1371120.25</v>
      </c>
      <c r="Q29" s="6">
        <f t="shared" si="13"/>
        <v>5.4908503864482796</v>
      </c>
    </row>
    <row r="30" spans="1:17" x14ac:dyDescent="0.25">
      <c r="A30" s="1" t="s">
        <v>17</v>
      </c>
      <c r="B30" s="1">
        <v>207780</v>
      </c>
      <c r="C30" s="1">
        <v>727230</v>
      </c>
      <c r="D30" s="1"/>
      <c r="E30" s="1">
        <v>244620</v>
      </c>
      <c r="F30" s="1">
        <f>14773.5+2000+46401.8</f>
        <v>63175.3</v>
      </c>
      <c r="G30" s="11">
        <f>12516+9351+457906</f>
        <v>479773</v>
      </c>
      <c r="H30" s="10">
        <f t="shared" si="9"/>
        <v>555252.30000000005</v>
      </c>
      <c r="I30" s="6">
        <f t="shared" si="10"/>
        <v>2.6723086918856485</v>
      </c>
      <c r="J30" s="1">
        <v>29238</v>
      </c>
      <c r="K30" s="1">
        <v>9705</v>
      </c>
      <c r="L30" s="1">
        <v>34.71</v>
      </c>
      <c r="M30" s="10">
        <f t="shared" si="14"/>
        <v>336860.55</v>
      </c>
      <c r="N30" s="6">
        <f t="shared" si="15"/>
        <v>11.521326698132567</v>
      </c>
      <c r="O30" s="1">
        <f t="shared" si="11"/>
        <v>237018</v>
      </c>
      <c r="P30" s="1">
        <f t="shared" si="12"/>
        <v>892112.85000000009</v>
      </c>
      <c r="Q30" s="6">
        <f t="shared" si="13"/>
        <v>3.763903374427259</v>
      </c>
    </row>
    <row r="31" spans="1:17" x14ac:dyDescent="0.25">
      <c r="A31" s="1" t="s">
        <v>18</v>
      </c>
      <c r="B31" s="1">
        <v>165450</v>
      </c>
      <c r="C31" s="1">
        <v>579075</v>
      </c>
      <c r="D31" s="1"/>
      <c r="E31" s="1">
        <v>244620</v>
      </c>
      <c r="F31" s="1">
        <f>6909+2000+12000+39029</f>
        <v>59938</v>
      </c>
      <c r="G31" s="1">
        <f>10704+3941.6</f>
        <v>14645.6</v>
      </c>
      <c r="H31" s="10">
        <f t="shared" si="9"/>
        <v>868987.4</v>
      </c>
      <c r="I31" s="6">
        <f t="shared" si="10"/>
        <v>5.2522659413720154</v>
      </c>
      <c r="J31" s="1">
        <v>61536</v>
      </c>
      <c r="K31" s="1">
        <v>20035</v>
      </c>
      <c r="L31" s="1">
        <v>34.71</v>
      </c>
      <c r="M31" s="10">
        <f t="shared" si="14"/>
        <v>695414.85</v>
      </c>
      <c r="N31" s="6">
        <f t="shared" si="15"/>
        <v>11.300943350234009</v>
      </c>
      <c r="O31" s="1">
        <f t="shared" si="11"/>
        <v>226986</v>
      </c>
      <c r="P31" s="1">
        <f t="shared" si="12"/>
        <v>1564402.25</v>
      </c>
      <c r="Q31" s="6">
        <f t="shared" si="13"/>
        <v>6.8920649291145706</v>
      </c>
    </row>
    <row r="32" spans="1:17" x14ac:dyDescent="0.25">
      <c r="A32" s="1" t="s">
        <v>19</v>
      </c>
      <c r="B32" s="1">
        <v>156495</v>
      </c>
      <c r="C32" s="1">
        <v>547732.5</v>
      </c>
      <c r="D32" s="1"/>
      <c r="E32" s="1">
        <v>244620</v>
      </c>
      <c r="F32" s="1">
        <f>4389+2000+37527</f>
        <v>43916</v>
      </c>
      <c r="G32" s="1">
        <f>10187.6+3800.7</f>
        <v>13988.3</v>
      </c>
      <c r="H32" s="10">
        <f t="shared" si="9"/>
        <v>822280.2</v>
      </c>
      <c r="I32" s="6">
        <f t="shared" si="10"/>
        <v>5.2543544522189203</v>
      </c>
      <c r="J32" s="16">
        <v>43061</v>
      </c>
      <c r="K32" s="1">
        <v>13590</v>
      </c>
      <c r="L32" s="1">
        <v>34.71</v>
      </c>
      <c r="M32" s="10">
        <f t="shared" si="14"/>
        <v>471708.9</v>
      </c>
      <c r="N32" s="6">
        <f t="shared" si="15"/>
        <v>10.954434407004019</v>
      </c>
      <c r="O32" s="1">
        <f t="shared" si="11"/>
        <v>199556</v>
      </c>
      <c r="P32" s="1">
        <f t="shared" si="12"/>
        <v>1293989.1000000001</v>
      </c>
      <c r="Q32" s="6">
        <f t="shared" si="13"/>
        <v>6.484340736434886</v>
      </c>
    </row>
    <row r="33" spans="1:17" x14ac:dyDescent="0.25">
      <c r="A33" s="1" t="s">
        <v>20</v>
      </c>
      <c r="B33" s="1">
        <v>179580</v>
      </c>
      <c r="C33" s="1">
        <v>628530</v>
      </c>
      <c r="D33" s="1"/>
      <c r="E33" s="1">
        <v>244620</v>
      </c>
      <c r="F33" s="1">
        <f>3643.5+2000+8000+41039</f>
        <v>54682.5</v>
      </c>
      <c r="G33" s="1">
        <f>11815+8373</f>
        <v>20188</v>
      </c>
      <c r="H33" s="10">
        <f t="shared" si="9"/>
        <v>907644.5</v>
      </c>
      <c r="I33" s="14">
        <f t="shared" si="10"/>
        <v>5.0542627241340909</v>
      </c>
      <c r="J33" s="1">
        <v>53296</v>
      </c>
      <c r="K33" s="15">
        <v>16940</v>
      </c>
      <c r="L33" s="1">
        <v>34.71</v>
      </c>
      <c r="M33" s="10">
        <f t="shared" si="14"/>
        <v>587987.4</v>
      </c>
      <c r="N33" s="6">
        <f t="shared" si="15"/>
        <v>11.032486490543381</v>
      </c>
      <c r="O33" s="1">
        <f t="shared" si="11"/>
        <v>232876</v>
      </c>
      <c r="P33" s="1">
        <f t="shared" si="12"/>
        <v>1495631.9</v>
      </c>
      <c r="Q33" s="6">
        <f t="shared" si="13"/>
        <v>6.4224389804015871</v>
      </c>
    </row>
    <row r="34" spans="1:17" x14ac:dyDescent="0.25">
      <c r="A34" s="1" t="s">
        <v>21</v>
      </c>
      <c r="B34" s="1">
        <v>194895</v>
      </c>
      <c r="C34" s="1">
        <v>682132.5</v>
      </c>
      <c r="D34" s="1"/>
      <c r="E34" s="1">
        <v>244620</v>
      </c>
      <c r="F34" s="1">
        <f>3454.5+2000+42746</f>
        <v>48200.5</v>
      </c>
      <c r="G34" s="1">
        <f>13623.8+8738.3</f>
        <v>22362.1</v>
      </c>
      <c r="H34" s="10">
        <f t="shared" si="9"/>
        <v>952590.9</v>
      </c>
      <c r="I34" s="14">
        <f t="shared" si="10"/>
        <v>4.8877133841299161</v>
      </c>
      <c r="J34" s="1">
        <v>55597</v>
      </c>
      <c r="K34" s="15">
        <v>19375</v>
      </c>
      <c r="L34" s="1">
        <v>34.71</v>
      </c>
      <c r="M34" s="10">
        <f t="shared" si="14"/>
        <v>672506.25</v>
      </c>
      <c r="N34" s="6">
        <f t="shared" si="15"/>
        <v>12.096088817741965</v>
      </c>
      <c r="O34" s="1">
        <f t="shared" si="11"/>
        <v>250492</v>
      </c>
      <c r="P34" s="1">
        <f t="shared" si="12"/>
        <v>1625097.15</v>
      </c>
      <c r="Q34" s="6">
        <f t="shared" si="13"/>
        <v>6.4876209619468881</v>
      </c>
    </row>
    <row r="35" spans="1:17" x14ac:dyDescent="0.25">
      <c r="A35" s="1" t="s">
        <v>22</v>
      </c>
      <c r="B35" s="1">
        <v>193950</v>
      </c>
      <c r="C35" s="1">
        <v>678825</v>
      </c>
      <c r="D35" s="1"/>
      <c r="E35" s="1">
        <v>244620</v>
      </c>
      <c r="F35" s="1">
        <f>4809+2000+44623</f>
        <v>51432</v>
      </c>
      <c r="G35" s="1">
        <f>12372+13706</f>
        <v>26078</v>
      </c>
      <c r="H35" s="10">
        <f t="shared" si="9"/>
        <v>948799</v>
      </c>
      <c r="I35" s="14">
        <f t="shared" si="10"/>
        <v>4.8919773137406546</v>
      </c>
      <c r="J35" s="1">
        <v>69338</v>
      </c>
      <c r="K35" s="15">
        <v>24100</v>
      </c>
      <c r="L35" s="1">
        <v>34.71</v>
      </c>
      <c r="M35" s="10">
        <f t="shared" si="14"/>
        <v>836511</v>
      </c>
      <c r="N35" s="6">
        <f t="shared" si="15"/>
        <v>12.064250483140558</v>
      </c>
      <c r="O35" s="1">
        <f t="shared" si="11"/>
        <v>263288</v>
      </c>
      <c r="P35" s="1">
        <f t="shared" si="12"/>
        <v>1785310</v>
      </c>
      <c r="Q35" s="6">
        <f t="shared" si="13"/>
        <v>6.7808255598432137</v>
      </c>
    </row>
    <row r="36" spans="1:17" x14ac:dyDescent="0.25">
      <c r="A36" s="1" t="s">
        <v>23</v>
      </c>
      <c r="B36" s="1">
        <v>222825</v>
      </c>
      <c r="C36" s="1">
        <v>779887.5</v>
      </c>
      <c r="D36" s="1"/>
      <c r="E36" s="1">
        <v>216450</v>
      </c>
      <c r="F36" s="1">
        <f>5260.5+2000+66618+28170+53473.7</f>
        <v>155522.20000000001</v>
      </c>
      <c r="G36" s="1">
        <f>14679+14945</f>
        <v>29624</v>
      </c>
      <c r="H36" s="10">
        <f t="shared" si="9"/>
        <v>1122235.7</v>
      </c>
      <c r="I36" s="14">
        <f t="shared" si="10"/>
        <v>5.0363994165825199</v>
      </c>
      <c r="J36" s="1">
        <v>47474</v>
      </c>
      <c r="K36" s="15">
        <v>16575</v>
      </c>
      <c r="L36" s="1">
        <v>34.71</v>
      </c>
      <c r="M36" s="10">
        <f t="shared" si="14"/>
        <v>575318.25</v>
      </c>
      <c r="N36" s="6">
        <f t="shared" si="15"/>
        <v>12.118596494923537</v>
      </c>
      <c r="O36" s="1">
        <f t="shared" si="11"/>
        <v>270299</v>
      </c>
      <c r="P36" s="1">
        <f t="shared" si="12"/>
        <v>1697553.95</v>
      </c>
      <c r="Q36" s="6">
        <f t="shared" si="13"/>
        <v>6.280282021021165</v>
      </c>
    </row>
    <row r="37" spans="1:17" x14ac:dyDescent="0.25">
      <c r="A37" s="1" t="s">
        <v>24</v>
      </c>
      <c r="B37" s="1">
        <v>234885</v>
      </c>
      <c r="C37" s="1">
        <v>822097.5</v>
      </c>
      <c r="D37" s="1"/>
      <c r="E37" s="1">
        <v>261000</v>
      </c>
      <c r="F37" s="1">
        <f>6037.5+2000+139518+282750+66975</f>
        <v>497280.5</v>
      </c>
      <c r="G37" s="1">
        <f>16131+16246</f>
        <v>32377</v>
      </c>
      <c r="H37" s="10">
        <f t="shared" si="9"/>
        <v>1548001</v>
      </c>
      <c r="I37" s="14">
        <f t="shared" si="10"/>
        <v>6.5904634182685147</v>
      </c>
      <c r="J37" s="1">
        <v>31411</v>
      </c>
      <c r="K37" s="15">
        <v>10700</v>
      </c>
      <c r="L37" s="1">
        <v>34.71</v>
      </c>
      <c r="M37" s="10">
        <f t="shared" si="14"/>
        <v>371397</v>
      </c>
      <c r="N37" s="6">
        <f t="shared" si="15"/>
        <v>11.823787845022444</v>
      </c>
      <c r="O37" s="1">
        <f t="shared" si="11"/>
        <v>266296</v>
      </c>
      <c r="P37" s="1">
        <f t="shared" si="12"/>
        <v>1919398</v>
      </c>
      <c r="Q37" s="6">
        <f t="shared" si="13"/>
        <v>7.2077612881905848</v>
      </c>
    </row>
    <row r="38" spans="1:17" x14ac:dyDescent="0.25">
      <c r="A38" s="1" t="s">
        <v>25</v>
      </c>
      <c r="B38" s="1">
        <v>282585</v>
      </c>
      <c r="C38" s="1">
        <v>989047</v>
      </c>
      <c r="D38" s="1"/>
      <c r="E38" s="1">
        <v>272250</v>
      </c>
      <c r="F38" s="1">
        <f>6079+2000+142933+900+4000+40200+63566</f>
        <v>259678</v>
      </c>
      <c r="G38" s="1">
        <f>17325+18919</f>
        <v>36244</v>
      </c>
      <c r="H38" s="10">
        <f t="shared" si="9"/>
        <v>1484731</v>
      </c>
      <c r="I38" s="14">
        <f t="shared" si="10"/>
        <v>5.2541040748801242</v>
      </c>
      <c r="J38" s="1">
        <v>112769</v>
      </c>
      <c r="K38" s="15">
        <v>36550</v>
      </c>
      <c r="L38" s="1">
        <v>37.5</v>
      </c>
      <c r="M38" s="10">
        <f t="shared" si="14"/>
        <v>1370625</v>
      </c>
      <c r="N38" s="6">
        <f t="shared" si="15"/>
        <v>12.154271120609387</v>
      </c>
      <c r="O38" s="1">
        <f t="shared" si="11"/>
        <v>395354</v>
      </c>
      <c r="P38" s="1">
        <f t="shared" si="12"/>
        <v>2855356</v>
      </c>
      <c r="Q38" s="6">
        <f t="shared" si="13"/>
        <v>7.2222767443860443</v>
      </c>
    </row>
    <row r="39" spans="1:17" x14ac:dyDescent="0.25">
      <c r="A39" s="4" t="s">
        <v>28</v>
      </c>
      <c r="B39" s="4">
        <f>SUM(B27:B38)</f>
        <v>2406660</v>
      </c>
      <c r="C39" s="4">
        <f t="shared" ref="C39:P39" si="16">SUM(C27:C38)</f>
        <v>8423309.5</v>
      </c>
      <c r="D39" s="4"/>
      <c r="E39" s="4">
        <f t="shared" si="16"/>
        <v>2841726</v>
      </c>
      <c r="F39" s="4">
        <f t="shared" si="16"/>
        <v>1417528.2</v>
      </c>
      <c r="G39" s="4">
        <f t="shared" si="16"/>
        <v>699825.29999999993</v>
      </c>
      <c r="H39" s="4">
        <f t="shared" si="16"/>
        <v>11982738.4</v>
      </c>
      <c r="I39" s="7">
        <f>SUM(I27:I38)/12</f>
        <v>4.9644300079968628</v>
      </c>
      <c r="J39" s="17">
        <f t="shared" si="16"/>
        <v>598717</v>
      </c>
      <c r="K39" s="4">
        <f t="shared" si="16"/>
        <v>199588</v>
      </c>
      <c r="L39" s="4">
        <f>SUM(L27:L38)/12</f>
        <v>34.402499999999996</v>
      </c>
      <c r="M39" s="27">
        <f t="shared" si="16"/>
        <v>6960515.0999999996</v>
      </c>
      <c r="N39" s="7">
        <f>SUM(N27:N38)/12</f>
        <v>11.499712030588512</v>
      </c>
      <c r="O39" s="4">
        <f>SUM(O27:O38)</f>
        <v>3005377</v>
      </c>
      <c r="P39" s="4">
        <f t="shared" si="16"/>
        <v>18943253.5</v>
      </c>
      <c r="Q39" s="7">
        <f t="shared" si="13"/>
        <v>6.3031205402849624</v>
      </c>
    </row>
    <row r="40" spans="1:17" x14ac:dyDescent="0.25">
      <c r="O40" s="18"/>
    </row>
    <row r="41" spans="1:17" x14ac:dyDescent="0.25">
      <c r="A41" s="135" t="s">
        <v>26</v>
      </c>
      <c r="B41" s="131"/>
      <c r="C41" s="131"/>
      <c r="D41" s="131"/>
      <c r="E41" s="131"/>
      <c r="F41" s="131"/>
      <c r="G41" s="131"/>
      <c r="H41" s="128">
        <v>14694.456</v>
      </c>
      <c r="I41" s="138"/>
      <c r="M41" s="13"/>
    </row>
    <row r="42" spans="1:17" x14ac:dyDescent="0.25">
      <c r="A42" s="135" t="s">
        <v>29</v>
      </c>
      <c r="B42" s="131"/>
      <c r="C42" s="131"/>
      <c r="D42" s="131"/>
      <c r="E42" s="131"/>
      <c r="F42" s="131"/>
      <c r="G42" s="131"/>
      <c r="H42" s="136">
        <f>+O39/H41</f>
        <v>204.52454993910629</v>
      </c>
      <c r="I42" s="137"/>
    </row>
    <row r="43" spans="1:17" x14ac:dyDescent="0.25">
      <c r="A43" s="135" t="s">
        <v>30</v>
      </c>
      <c r="B43" s="131"/>
      <c r="C43" s="131"/>
      <c r="D43" s="131"/>
      <c r="E43" s="131"/>
      <c r="F43" s="131"/>
      <c r="G43" s="131"/>
      <c r="H43" s="136">
        <f>+P39/H41</f>
        <v>1289.1428917137184</v>
      </c>
      <c r="I43" s="137"/>
    </row>
    <row r="45" spans="1:17" x14ac:dyDescent="0.25">
      <c r="B45" s="12"/>
      <c r="C45" t="s">
        <v>36</v>
      </c>
    </row>
    <row r="48" spans="1:17" x14ac:dyDescent="0.25">
      <c r="A48" s="130" t="s">
        <v>40</v>
      </c>
      <c r="B48" s="130"/>
      <c r="C48" s="130"/>
      <c r="D48" s="130"/>
      <c r="E48" s="130"/>
      <c r="F48" s="130"/>
      <c r="G48" s="130"/>
      <c r="H48" s="130"/>
      <c r="I48" s="130"/>
      <c r="J48" s="130"/>
      <c r="K48" s="130"/>
      <c r="L48" s="130"/>
      <c r="M48" s="130"/>
      <c r="N48" s="130"/>
      <c r="O48" s="130"/>
      <c r="P48" s="130"/>
      <c r="Q48" s="131"/>
    </row>
    <row r="50" spans="1:18" ht="60" x14ac:dyDescent="0.25">
      <c r="A50" s="2" t="s">
        <v>37</v>
      </c>
      <c r="B50" s="2" t="s">
        <v>13</v>
      </c>
      <c r="C50" s="2" t="s">
        <v>2</v>
      </c>
      <c r="D50" s="2" t="s">
        <v>45</v>
      </c>
      <c r="E50" s="2" t="s">
        <v>3</v>
      </c>
      <c r="F50" s="2" t="s">
        <v>4</v>
      </c>
      <c r="G50" s="2" t="s">
        <v>35</v>
      </c>
      <c r="H50" s="2" t="s">
        <v>6</v>
      </c>
      <c r="I50" s="2" t="s">
        <v>7</v>
      </c>
      <c r="J50" s="2" t="s">
        <v>8</v>
      </c>
      <c r="K50" s="2" t="s">
        <v>9</v>
      </c>
      <c r="L50" s="2" t="s">
        <v>32</v>
      </c>
      <c r="M50" s="2" t="s">
        <v>10</v>
      </c>
      <c r="N50" s="2" t="s">
        <v>39</v>
      </c>
      <c r="O50" s="2" t="s">
        <v>33</v>
      </c>
      <c r="P50" s="2" t="s">
        <v>38</v>
      </c>
      <c r="Q50" s="3" t="s">
        <v>31</v>
      </c>
    </row>
    <row r="51" spans="1:18" x14ac:dyDescent="0.25">
      <c r="A51" s="1" t="s">
        <v>14</v>
      </c>
      <c r="B51" s="1">
        <v>166485</v>
      </c>
      <c r="C51" s="1">
        <v>582698</v>
      </c>
      <c r="D51" s="1"/>
      <c r="E51" s="1">
        <v>219150</v>
      </c>
      <c r="F51" s="1">
        <f>588+2000+39243</f>
        <v>41831</v>
      </c>
      <c r="G51" s="1">
        <f>9563+8019</f>
        <v>17582</v>
      </c>
      <c r="H51" s="10">
        <f>+C51+E51+F51-G51</f>
        <v>826097</v>
      </c>
      <c r="I51" s="6">
        <f t="shared" ref="I51:I62" si="17">+H51/B51</f>
        <v>4.9619905697209958</v>
      </c>
      <c r="J51" s="1">
        <v>128552</v>
      </c>
      <c r="K51" s="1">
        <v>42795</v>
      </c>
      <c r="L51" s="1">
        <v>37.5</v>
      </c>
      <c r="M51" s="10">
        <f>+K51*L51</f>
        <v>1604812.5</v>
      </c>
      <c r="N51" s="6">
        <f>+M51/J51</f>
        <v>12.483761435061298</v>
      </c>
      <c r="O51" s="1">
        <f t="shared" ref="O51:O61" si="18">+J51+B51</f>
        <v>295037</v>
      </c>
      <c r="P51" s="10">
        <f t="shared" ref="P51:P61" si="19">+M51+H51</f>
        <v>2430909.5</v>
      </c>
      <c r="Q51" s="6">
        <f t="shared" ref="Q51:Q61" si="20">+P51/O51</f>
        <v>8.2393377779736099</v>
      </c>
    </row>
    <row r="52" spans="1:18" x14ac:dyDescent="0.25">
      <c r="A52" s="1" t="s">
        <v>15</v>
      </c>
      <c r="B52" s="1">
        <v>154350</v>
      </c>
      <c r="C52" s="1">
        <v>540225</v>
      </c>
      <c r="D52" s="1"/>
      <c r="E52" s="1">
        <v>214110</v>
      </c>
      <c r="F52" s="1">
        <f>3643+2000+10000+36957</f>
        <v>52600</v>
      </c>
      <c r="G52" s="1">
        <f>9329+3742</f>
        <v>13071</v>
      </c>
      <c r="H52" s="10">
        <f t="shared" ref="H52:H61" si="21">+C52+E52+F52-G52</f>
        <v>793864</v>
      </c>
      <c r="I52" s="6">
        <f t="shared" si="17"/>
        <v>5.1432717849044378</v>
      </c>
      <c r="J52" s="1">
        <v>98271</v>
      </c>
      <c r="K52" s="1">
        <v>32425</v>
      </c>
      <c r="L52" s="1">
        <v>37.5</v>
      </c>
      <c r="M52" s="10">
        <f t="shared" ref="M52:M61" si="22">+K52*L52</f>
        <v>1215937.5</v>
      </c>
      <c r="N52" s="6">
        <f t="shared" ref="N52:N61" si="23">+M52/J52</f>
        <v>12.373309521628965</v>
      </c>
      <c r="O52" s="1">
        <f t="shared" si="18"/>
        <v>252621</v>
      </c>
      <c r="P52" s="10">
        <f t="shared" si="19"/>
        <v>2009801.5</v>
      </c>
      <c r="Q52" s="6">
        <f t="shared" si="20"/>
        <v>7.9557974198502892</v>
      </c>
    </row>
    <row r="53" spans="1:18" x14ac:dyDescent="0.25">
      <c r="A53" s="1" t="s">
        <v>16</v>
      </c>
      <c r="B53" s="1">
        <v>182160</v>
      </c>
      <c r="C53" s="1">
        <v>637560</v>
      </c>
      <c r="D53" s="1"/>
      <c r="E53" s="1">
        <v>244620</v>
      </c>
      <c r="F53" s="1">
        <f>4651+2000+40654</f>
        <v>47305</v>
      </c>
      <c r="G53" s="20">
        <f>12534+8292+609672</f>
        <v>630498</v>
      </c>
      <c r="H53" s="10">
        <f t="shared" si="21"/>
        <v>298987</v>
      </c>
      <c r="I53" s="6">
        <f t="shared" si="17"/>
        <v>1.6413427755819061</v>
      </c>
      <c r="J53" s="1">
        <v>63259</v>
      </c>
      <c r="K53" s="1">
        <v>21180</v>
      </c>
      <c r="L53" s="1">
        <v>37.5</v>
      </c>
      <c r="M53" s="10">
        <f t="shared" si="22"/>
        <v>794250</v>
      </c>
      <c r="N53" s="6">
        <f t="shared" si="23"/>
        <v>12.555525695948402</v>
      </c>
      <c r="O53" s="1">
        <f t="shared" si="18"/>
        <v>245419</v>
      </c>
      <c r="P53" s="10">
        <f t="shared" si="19"/>
        <v>1093237</v>
      </c>
      <c r="Q53" s="6">
        <f t="shared" si="20"/>
        <v>4.4545736067704622</v>
      </c>
    </row>
    <row r="54" spans="1:18" x14ac:dyDescent="0.25">
      <c r="A54" s="1" t="s">
        <v>17</v>
      </c>
      <c r="B54" s="1">
        <v>203190</v>
      </c>
      <c r="C54" s="1">
        <v>711165</v>
      </c>
      <c r="D54" s="1"/>
      <c r="E54" s="1">
        <v>244620</v>
      </c>
      <c r="F54" s="1">
        <f>5113+2000+2000+47806</f>
        <v>56919</v>
      </c>
      <c r="G54" s="21">
        <f>12728+14265</f>
        <v>26993</v>
      </c>
      <c r="H54" s="10">
        <f t="shared" si="21"/>
        <v>985711</v>
      </c>
      <c r="I54" s="6">
        <f t="shared" si="17"/>
        <v>4.8511786997391608</v>
      </c>
      <c r="J54" s="1">
        <v>69740</v>
      </c>
      <c r="K54" s="1">
        <v>22910</v>
      </c>
      <c r="L54" s="1">
        <v>39.700000000000003</v>
      </c>
      <c r="M54" s="10">
        <f t="shared" si="22"/>
        <v>909527.00000000012</v>
      </c>
      <c r="N54" s="6">
        <f t="shared" si="23"/>
        <v>13.041683395468887</v>
      </c>
      <c r="O54" s="1">
        <f t="shared" si="18"/>
        <v>272930</v>
      </c>
      <c r="P54" s="10">
        <f t="shared" si="19"/>
        <v>1895238</v>
      </c>
      <c r="Q54" s="6">
        <f t="shared" si="20"/>
        <v>6.9440442604330777</v>
      </c>
    </row>
    <row r="55" spans="1:18" x14ac:dyDescent="0.25">
      <c r="A55" s="1" t="s">
        <v>18</v>
      </c>
      <c r="B55" s="1">
        <v>214005</v>
      </c>
      <c r="C55" s="10">
        <v>840412.5</v>
      </c>
      <c r="D55" s="10"/>
      <c r="E55" s="1">
        <v>244620</v>
      </c>
      <c r="F55" s="1">
        <f>5443.5+2000+53273</f>
        <v>60716.5</v>
      </c>
      <c r="G55" s="1">
        <f>16079+2721</f>
        <v>18800</v>
      </c>
      <c r="H55" s="10">
        <f t="shared" si="21"/>
        <v>1126949</v>
      </c>
      <c r="I55" s="6">
        <f t="shared" si="17"/>
        <v>5.2659937851919345</v>
      </c>
      <c r="J55" s="1">
        <v>63748</v>
      </c>
      <c r="K55" s="1">
        <v>21450</v>
      </c>
      <c r="L55" s="1">
        <v>39.700000000000003</v>
      </c>
      <c r="M55" s="10">
        <f t="shared" si="22"/>
        <v>851565.00000000012</v>
      </c>
      <c r="N55" s="6">
        <f t="shared" si="23"/>
        <v>13.358301436907826</v>
      </c>
      <c r="O55" s="1">
        <f t="shared" si="18"/>
        <v>277753</v>
      </c>
      <c r="P55" s="10">
        <f t="shared" si="19"/>
        <v>1978514</v>
      </c>
      <c r="Q55" s="6">
        <f t="shared" si="20"/>
        <v>7.1232857970931009</v>
      </c>
      <c r="R55" s="22" t="s">
        <v>42</v>
      </c>
    </row>
    <row r="56" spans="1:18" x14ac:dyDescent="0.25">
      <c r="A56" s="1" t="s">
        <v>19</v>
      </c>
      <c r="B56" s="1">
        <v>215025</v>
      </c>
      <c r="C56" s="1">
        <v>860100</v>
      </c>
      <c r="D56" s="1"/>
      <c r="E56" s="1">
        <v>244620</v>
      </c>
      <c r="F56" s="1">
        <f>10416+2000+4000+54731</f>
        <v>71147</v>
      </c>
      <c r="G56" s="1">
        <v>16197</v>
      </c>
      <c r="H56" s="10">
        <f t="shared" si="21"/>
        <v>1159670</v>
      </c>
      <c r="I56" s="6">
        <f t="shared" si="17"/>
        <v>5.3931868387396813</v>
      </c>
      <c r="J56" s="1">
        <v>54258</v>
      </c>
      <c r="K56" s="1">
        <v>19220</v>
      </c>
      <c r="L56" s="1">
        <v>39.700000000000003</v>
      </c>
      <c r="M56" s="10">
        <f t="shared" si="22"/>
        <v>763034</v>
      </c>
      <c r="N56" s="6">
        <f t="shared" si="23"/>
        <v>14.063069040510156</v>
      </c>
      <c r="O56" s="1">
        <f t="shared" si="18"/>
        <v>269283</v>
      </c>
      <c r="P56" s="10">
        <f t="shared" si="19"/>
        <v>1922704</v>
      </c>
      <c r="Q56" s="6">
        <f t="shared" si="20"/>
        <v>7.1400868231563077</v>
      </c>
    </row>
    <row r="57" spans="1:18" x14ac:dyDescent="0.25">
      <c r="A57" s="1" t="s">
        <v>20</v>
      </c>
      <c r="B57" s="1">
        <v>201930</v>
      </c>
      <c r="C57" s="1">
        <v>807720</v>
      </c>
      <c r="D57" s="1"/>
      <c r="E57" s="1">
        <v>244620</v>
      </c>
      <c r="F57" s="1">
        <f>10848+2000+51616</f>
        <v>64464</v>
      </c>
      <c r="G57" s="1">
        <v>14418</v>
      </c>
      <c r="H57" s="10">
        <f t="shared" si="21"/>
        <v>1102386</v>
      </c>
      <c r="I57" s="6">
        <f t="shared" si="17"/>
        <v>5.4592482543455656</v>
      </c>
      <c r="J57" s="1">
        <v>46908</v>
      </c>
      <c r="K57" s="1">
        <v>16470</v>
      </c>
      <c r="L57" s="1">
        <v>39.700000000000003</v>
      </c>
      <c r="M57" s="10">
        <f t="shared" si="22"/>
        <v>653859</v>
      </c>
      <c r="N57" s="6">
        <f t="shared" si="23"/>
        <v>13.939178818112049</v>
      </c>
      <c r="O57" s="1">
        <f t="shared" si="18"/>
        <v>248838</v>
      </c>
      <c r="P57" s="10">
        <f t="shared" si="19"/>
        <v>1756245</v>
      </c>
      <c r="Q57" s="6">
        <f t="shared" si="20"/>
        <v>7.0577845827405783</v>
      </c>
    </row>
    <row r="58" spans="1:18" x14ac:dyDescent="0.25">
      <c r="A58" s="1" t="s">
        <v>21</v>
      </c>
      <c r="B58" s="1">
        <v>209520</v>
      </c>
      <c r="C58" s="1">
        <v>838080</v>
      </c>
      <c r="D58" s="1"/>
      <c r="E58" s="1">
        <v>244620</v>
      </c>
      <c r="F58" s="1">
        <f>9072+2000+52550</f>
        <v>63622</v>
      </c>
      <c r="G58" s="23">
        <f>16062+171052</f>
        <v>187114</v>
      </c>
      <c r="H58" s="10">
        <f t="shared" si="21"/>
        <v>959208</v>
      </c>
      <c r="I58" s="6">
        <f t="shared" si="17"/>
        <v>4.5781214203894613</v>
      </c>
      <c r="J58" s="1">
        <v>51768</v>
      </c>
      <c r="K58" s="1">
        <v>18340</v>
      </c>
      <c r="L58" s="1">
        <v>39.700000000000003</v>
      </c>
      <c r="M58" s="10">
        <f t="shared" si="22"/>
        <v>728098</v>
      </c>
      <c r="N58" s="6">
        <f t="shared" si="23"/>
        <v>14.064634523257611</v>
      </c>
      <c r="O58" s="1">
        <f t="shared" si="18"/>
        <v>261288</v>
      </c>
      <c r="P58" s="10">
        <f t="shared" si="19"/>
        <v>1687306</v>
      </c>
      <c r="Q58" s="6">
        <f t="shared" si="20"/>
        <v>6.4576482655154468</v>
      </c>
    </row>
    <row r="59" spans="1:18" x14ac:dyDescent="0.25">
      <c r="A59" s="1" t="s">
        <v>22</v>
      </c>
      <c r="B59" s="1">
        <v>207150</v>
      </c>
      <c r="C59" s="1">
        <v>828600</v>
      </c>
      <c r="D59" s="1"/>
      <c r="E59" s="1">
        <v>244620</v>
      </c>
      <c r="F59" s="1">
        <f>10020+2000+2000+52416</f>
        <v>66436</v>
      </c>
      <c r="G59" s="1">
        <v>16353</v>
      </c>
      <c r="H59" s="10">
        <f t="shared" si="21"/>
        <v>1123303</v>
      </c>
      <c r="I59" s="6">
        <f t="shared" si="17"/>
        <v>5.4226550808592808</v>
      </c>
      <c r="J59" s="1">
        <v>62535</v>
      </c>
      <c r="K59" s="1">
        <v>21650</v>
      </c>
      <c r="L59" s="1">
        <v>39.700000000000003</v>
      </c>
      <c r="M59" s="10">
        <f t="shared" si="22"/>
        <v>859505.00000000012</v>
      </c>
      <c r="N59" s="6">
        <f t="shared" si="23"/>
        <v>13.744383145438556</v>
      </c>
      <c r="O59" s="1">
        <f t="shared" si="18"/>
        <v>269685</v>
      </c>
      <c r="P59" s="10">
        <f t="shared" si="19"/>
        <v>1982808</v>
      </c>
      <c r="Q59" s="6">
        <f t="shared" si="20"/>
        <v>7.3523110295344569</v>
      </c>
    </row>
    <row r="60" spans="1:18" x14ac:dyDescent="0.25">
      <c r="A60" s="1" t="s">
        <v>23</v>
      </c>
      <c r="B60" s="1">
        <v>207720</v>
      </c>
      <c r="C60" s="1">
        <v>830880</v>
      </c>
      <c r="D60" s="1"/>
      <c r="E60" s="1">
        <v>244620</v>
      </c>
      <c r="F60" s="1">
        <f>9372+2000+6840+52632</f>
        <v>70844</v>
      </c>
      <c r="G60" s="1">
        <v>16338</v>
      </c>
      <c r="H60" s="10">
        <f t="shared" si="21"/>
        <v>1130006</v>
      </c>
      <c r="I60" s="6">
        <f t="shared" si="17"/>
        <v>5.4400442903909108</v>
      </c>
      <c r="J60" s="1">
        <v>54187</v>
      </c>
      <c r="K60" s="1">
        <v>18635</v>
      </c>
      <c r="L60" s="1">
        <v>39.700000000000003</v>
      </c>
      <c r="M60" s="10">
        <f t="shared" si="22"/>
        <v>739809.5</v>
      </c>
      <c r="N60" s="6">
        <f t="shared" si="23"/>
        <v>13.652896451178327</v>
      </c>
      <c r="O60" s="1">
        <f t="shared" si="18"/>
        <v>261907</v>
      </c>
      <c r="P60" s="10">
        <f t="shared" si="19"/>
        <v>1869815.5</v>
      </c>
      <c r="Q60" s="6">
        <f t="shared" si="20"/>
        <v>7.1392345374503163</v>
      </c>
    </row>
    <row r="61" spans="1:18" x14ac:dyDescent="0.25">
      <c r="A61" s="1" t="s">
        <v>24</v>
      </c>
      <c r="B61" s="1">
        <v>231210</v>
      </c>
      <c r="C61" s="1">
        <v>924840</v>
      </c>
      <c r="D61" s="1"/>
      <c r="E61" s="1">
        <v>244620</v>
      </c>
      <c r="F61" s="1">
        <f>6984+2000+2000+57639</f>
        <v>68623</v>
      </c>
      <c r="G61" s="1">
        <f>18939</f>
        <v>18939</v>
      </c>
      <c r="H61" s="10">
        <f t="shared" si="21"/>
        <v>1219144</v>
      </c>
      <c r="I61" s="6">
        <f t="shared" si="17"/>
        <v>5.2728861208425242</v>
      </c>
      <c r="J61" s="1">
        <v>67868</v>
      </c>
      <c r="K61" s="1">
        <v>22365</v>
      </c>
      <c r="L61" s="1">
        <v>39.700000000000003</v>
      </c>
      <c r="M61" s="10">
        <f t="shared" si="22"/>
        <v>887890.50000000012</v>
      </c>
      <c r="N61" s="6">
        <f t="shared" si="23"/>
        <v>13.082608887841104</v>
      </c>
      <c r="O61" s="1">
        <f t="shared" si="18"/>
        <v>299078</v>
      </c>
      <c r="P61" s="10">
        <f t="shared" si="19"/>
        <v>2107034.5</v>
      </c>
      <c r="Q61" s="6">
        <f t="shared" si="20"/>
        <v>7.0451002748446889</v>
      </c>
    </row>
    <row r="62" spans="1:18" x14ac:dyDescent="0.25">
      <c r="A62" s="1" t="s">
        <v>25</v>
      </c>
      <c r="B62" s="1">
        <v>225120</v>
      </c>
      <c r="C62" s="1">
        <f>B62*4</f>
        <v>900480</v>
      </c>
      <c r="D62" s="1">
        <v>793.5</v>
      </c>
      <c r="E62" s="1">
        <v>244620</v>
      </c>
      <c r="F62" s="1">
        <f>7236+2000+2000+57288</f>
        <v>68524</v>
      </c>
      <c r="G62" s="1">
        <v>18738</v>
      </c>
      <c r="H62" s="10">
        <f>+C62+E62+F62-G62</f>
        <v>1194886</v>
      </c>
      <c r="I62" s="6">
        <f t="shared" si="17"/>
        <v>5.3077736318407958</v>
      </c>
      <c r="J62" s="1">
        <v>86568</v>
      </c>
      <c r="K62" s="1">
        <v>27850</v>
      </c>
      <c r="L62" s="1">
        <v>39.700000000000003</v>
      </c>
      <c r="M62" s="10">
        <f t="shared" ref="M62:M63" si="24">+K62*L62</f>
        <v>1105645</v>
      </c>
      <c r="N62" s="6">
        <f t="shared" ref="N62" si="25">+M62/J62</f>
        <v>12.771982718787543</v>
      </c>
      <c r="O62" s="1">
        <f t="shared" ref="O62:O63" si="26">+J62+B62</f>
        <v>311688</v>
      </c>
      <c r="P62" s="10">
        <f t="shared" ref="P62:P63" si="27">+M62+H62</f>
        <v>2300531</v>
      </c>
      <c r="Q62" s="6">
        <f t="shared" ref="Q62:Q63" si="28">+P62/O62</f>
        <v>7.3808776725443392</v>
      </c>
    </row>
    <row r="63" spans="1:18" x14ac:dyDescent="0.25">
      <c r="A63" s="4" t="s">
        <v>28</v>
      </c>
      <c r="B63" s="4">
        <f>SUM(B51:B62)</f>
        <v>2417865</v>
      </c>
      <c r="C63" s="4">
        <f t="shared" ref="C63:I63" si="29">SUM(C51:C62)</f>
        <v>9302760.5</v>
      </c>
      <c r="D63" s="1"/>
      <c r="E63" s="4">
        <f t="shared" si="29"/>
        <v>2879460</v>
      </c>
      <c r="F63" s="4">
        <f t="shared" si="29"/>
        <v>733031.5</v>
      </c>
      <c r="G63" s="4">
        <f t="shared" si="29"/>
        <v>995041</v>
      </c>
      <c r="H63" s="4">
        <f t="shared" si="29"/>
        <v>11920211</v>
      </c>
      <c r="I63" s="4">
        <f t="shared" si="29"/>
        <v>58.737693252546649</v>
      </c>
      <c r="J63" s="4">
        <f>SUM(J51:J62)</f>
        <v>847662</v>
      </c>
      <c r="K63" s="4">
        <f>SUM(K51:K62)</f>
        <v>285290</v>
      </c>
      <c r="L63" s="4">
        <f>SUM(L51:L62)/12</f>
        <v>39.149999999999991</v>
      </c>
      <c r="M63" s="10">
        <f t="shared" si="24"/>
        <v>11169103.499999998</v>
      </c>
      <c r="N63" s="7">
        <f>SUM(N51:N62)/12</f>
        <v>13.260944589178395</v>
      </c>
      <c r="O63" s="1">
        <f t="shared" si="26"/>
        <v>3265527</v>
      </c>
      <c r="P63" s="10">
        <f t="shared" si="27"/>
        <v>23089314.5</v>
      </c>
      <c r="Q63" s="6">
        <f t="shared" si="28"/>
        <v>7.0706242820837186</v>
      </c>
    </row>
    <row r="66" spans="1:25" x14ac:dyDescent="0.25">
      <c r="B66" s="12"/>
      <c r="C66" t="s">
        <v>41</v>
      </c>
      <c r="P66" s="26"/>
    </row>
    <row r="67" spans="1:25" x14ac:dyDescent="0.25">
      <c r="B67" s="24"/>
      <c r="C67" t="s">
        <v>43</v>
      </c>
      <c r="P67" s="26"/>
    </row>
    <row r="68" spans="1:25" x14ac:dyDescent="0.25">
      <c r="B68" s="135" t="s">
        <v>26</v>
      </c>
      <c r="C68" s="131"/>
      <c r="D68" s="131"/>
      <c r="E68" s="131"/>
      <c r="F68" s="131"/>
      <c r="G68" s="131"/>
      <c r="H68" s="131"/>
      <c r="I68" s="128"/>
      <c r="J68" s="138"/>
    </row>
    <row r="69" spans="1:25" x14ac:dyDescent="0.25">
      <c r="B69" s="135" t="s">
        <v>29</v>
      </c>
      <c r="C69" s="131"/>
      <c r="D69" s="131"/>
      <c r="E69" s="131"/>
      <c r="F69" s="131"/>
      <c r="G69" s="131"/>
      <c r="H69" s="131"/>
      <c r="I69" s="136"/>
      <c r="J69" s="137"/>
    </row>
    <row r="70" spans="1:25" x14ac:dyDescent="0.25">
      <c r="B70" s="135" t="s">
        <v>30</v>
      </c>
      <c r="C70" s="131"/>
      <c r="D70" s="131"/>
      <c r="E70" s="131"/>
      <c r="F70" s="131"/>
      <c r="G70" s="131"/>
      <c r="H70" s="131"/>
      <c r="I70" s="136"/>
      <c r="J70" s="137"/>
    </row>
    <row r="72" spans="1:25" x14ac:dyDescent="0.25">
      <c r="A72" s="130" t="s">
        <v>44</v>
      </c>
      <c r="B72" s="130"/>
      <c r="C72" s="130"/>
      <c r="D72" s="130"/>
      <c r="E72" s="130"/>
      <c r="F72" s="130"/>
      <c r="G72" s="130"/>
      <c r="H72" s="130"/>
      <c r="I72" s="130"/>
      <c r="J72" s="130"/>
      <c r="K72" s="130"/>
      <c r="L72" s="130"/>
      <c r="M72" s="130"/>
      <c r="N72" s="130"/>
      <c r="O72" s="130"/>
      <c r="P72" s="130"/>
      <c r="Q72" s="131"/>
    </row>
    <row r="74" spans="1:25" ht="80.25" customHeight="1" x14ac:dyDescent="0.25">
      <c r="A74" s="2" t="s">
        <v>37</v>
      </c>
      <c r="B74" s="2" t="s">
        <v>13</v>
      </c>
      <c r="C74" s="2" t="s">
        <v>2</v>
      </c>
      <c r="D74" s="2" t="s">
        <v>45</v>
      </c>
      <c r="E74" s="2" t="s">
        <v>3</v>
      </c>
      <c r="F74" s="2" t="s">
        <v>4</v>
      </c>
      <c r="G74" s="2" t="s">
        <v>35</v>
      </c>
      <c r="H74" s="2" t="s">
        <v>6</v>
      </c>
      <c r="I74" s="2" t="s">
        <v>7</v>
      </c>
      <c r="J74" s="2" t="s">
        <v>8</v>
      </c>
      <c r="K74" s="2" t="s">
        <v>9</v>
      </c>
      <c r="L74" s="2" t="s">
        <v>32</v>
      </c>
      <c r="M74" s="2" t="s">
        <v>10</v>
      </c>
      <c r="N74" s="2" t="s">
        <v>39</v>
      </c>
      <c r="O74" s="2" t="s">
        <v>33</v>
      </c>
      <c r="P74" s="2" t="s">
        <v>51</v>
      </c>
      <c r="Q74" s="3" t="s">
        <v>31</v>
      </c>
      <c r="R74" s="3" t="s">
        <v>50</v>
      </c>
      <c r="S74" s="3" t="s">
        <v>46</v>
      </c>
      <c r="T74" s="3" t="s">
        <v>47</v>
      </c>
      <c r="U74" s="3" t="s">
        <v>48</v>
      </c>
      <c r="V74" s="3" t="s">
        <v>49</v>
      </c>
      <c r="W74" s="2" t="s">
        <v>54</v>
      </c>
      <c r="X74" s="3" t="s">
        <v>52</v>
      </c>
      <c r="Y74" s="3" t="s">
        <v>53</v>
      </c>
    </row>
    <row r="75" spans="1:25" x14ac:dyDescent="0.25">
      <c r="A75" s="1" t="s">
        <v>14</v>
      </c>
      <c r="B75" s="1">
        <v>220230</v>
      </c>
      <c r="C75" s="1">
        <f>B75*4</f>
        <v>880920</v>
      </c>
      <c r="D75" s="1">
        <v>779.86</v>
      </c>
      <c r="E75" s="1">
        <v>244620</v>
      </c>
      <c r="F75" s="1">
        <f>5364+2000+2000+55857</f>
        <v>65221</v>
      </c>
      <c r="G75" s="1">
        <v>17169</v>
      </c>
      <c r="H75" s="10">
        <f>+C75+E75+F75-G75</f>
        <v>1173592</v>
      </c>
      <c r="I75" s="6">
        <f t="shared" ref="I75:I87" si="30">+H75/B75</f>
        <v>5.3289379285292648</v>
      </c>
      <c r="J75" s="4">
        <v>70573</v>
      </c>
      <c r="K75" s="4">
        <v>23330</v>
      </c>
      <c r="L75" s="1">
        <v>39.700000000000003</v>
      </c>
      <c r="M75" s="10">
        <f>+K75*L75</f>
        <v>926201.00000000012</v>
      </c>
      <c r="N75" s="6">
        <f>+M75/J75</f>
        <v>13.12401343289927</v>
      </c>
      <c r="O75" s="1">
        <f t="shared" ref="O75:O87" si="31">+J75+B75</f>
        <v>290803</v>
      </c>
      <c r="P75" s="10">
        <f t="shared" ref="P75:P87" si="32">+M75+H75</f>
        <v>2099793</v>
      </c>
      <c r="Q75" s="6">
        <f t="shared" ref="Q75:Q87" si="33">+P75/O75</f>
        <v>7.2206717262201563</v>
      </c>
      <c r="R75" s="1"/>
      <c r="S75" s="1"/>
      <c r="T75" s="1"/>
      <c r="U75" s="1"/>
      <c r="V75" s="1"/>
      <c r="W75" s="28">
        <f t="shared" ref="W75:Y78" si="34">O75</f>
        <v>290803</v>
      </c>
      <c r="X75" s="29">
        <f t="shared" si="34"/>
        <v>2099793</v>
      </c>
      <c r="Y75" s="6">
        <f t="shared" si="34"/>
        <v>7.2206717262201563</v>
      </c>
    </row>
    <row r="76" spans="1:25" x14ac:dyDescent="0.25">
      <c r="A76" s="1" t="s">
        <v>15</v>
      </c>
      <c r="B76" s="1">
        <v>221760</v>
      </c>
      <c r="C76" s="1">
        <f t="shared" ref="C76:C87" si="35">B76*4</f>
        <v>887040</v>
      </c>
      <c r="D76" s="1">
        <v>813.13</v>
      </c>
      <c r="E76" s="1">
        <v>244620</v>
      </c>
      <c r="F76" s="1">
        <f>9804+4278+2000+56352</f>
        <v>72434</v>
      </c>
      <c r="G76" s="1">
        <v>17601</v>
      </c>
      <c r="H76" s="10">
        <f t="shared" ref="H76:H87" si="36">+C76+E76+F76-G76</f>
        <v>1186493</v>
      </c>
      <c r="I76" s="6">
        <f t="shared" si="30"/>
        <v>5.3503472222222221</v>
      </c>
      <c r="J76" s="4">
        <v>70566</v>
      </c>
      <c r="K76" s="4">
        <v>23620</v>
      </c>
      <c r="L76" s="1">
        <v>39.700000000000003</v>
      </c>
      <c r="M76" s="10">
        <f t="shared" ref="M76:M86" si="37">+K76*L76</f>
        <v>937714.00000000012</v>
      </c>
      <c r="N76" s="6">
        <f t="shared" ref="N76:N87" si="38">+M76/J76</f>
        <v>13.28846753393986</v>
      </c>
      <c r="O76" s="1">
        <f t="shared" si="31"/>
        <v>292326</v>
      </c>
      <c r="P76" s="10">
        <f t="shared" si="32"/>
        <v>2124207</v>
      </c>
      <c r="Q76" s="6">
        <f t="shared" si="33"/>
        <v>7.2665688306890255</v>
      </c>
      <c r="R76" s="1"/>
      <c r="S76" s="1"/>
      <c r="T76" s="1"/>
      <c r="U76" s="1"/>
      <c r="V76" s="1"/>
      <c r="W76" s="28">
        <f t="shared" si="34"/>
        <v>292326</v>
      </c>
      <c r="X76" s="29">
        <f t="shared" si="34"/>
        <v>2124207</v>
      </c>
      <c r="Y76" s="6">
        <f t="shared" si="34"/>
        <v>7.2665688306890255</v>
      </c>
    </row>
    <row r="77" spans="1:25" x14ac:dyDescent="0.25">
      <c r="A77" s="1" t="s">
        <v>16</v>
      </c>
      <c r="B77" s="1">
        <v>223395</v>
      </c>
      <c r="C77" s="1">
        <f t="shared" si="35"/>
        <v>893580</v>
      </c>
      <c r="D77" s="1">
        <v>763.5</v>
      </c>
      <c r="E77" s="1">
        <v>244620</v>
      </c>
      <c r="F77" s="1">
        <f>9432+2000+56603</f>
        <v>68035</v>
      </c>
      <c r="G77" s="1">
        <v>17583</v>
      </c>
      <c r="H77" s="10">
        <f t="shared" si="36"/>
        <v>1188652</v>
      </c>
      <c r="I77" s="6">
        <f t="shared" si="30"/>
        <v>5.3208531972515054</v>
      </c>
      <c r="J77" s="4">
        <v>64746</v>
      </c>
      <c r="K77" s="4">
        <v>22480</v>
      </c>
      <c r="L77" s="1">
        <v>43.35</v>
      </c>
      <c r="M77" s="10">
        <f t="shared" si="37"/>
        <v>974508</v>
      </c>
      <c r="N77" s="6">
        <f t="shared" si="38"/>
        <v>15.051246409044575</v>
      </c>
      <c r="O77" s="1">
        <f t="shared" si="31"/>
        <v>288141</v>
      </c>
      <c r="P77" s="10">
        <f t="shared" si="32"/>
        <v>2163160</v>
      </c>
      <c r="Q77" s="6">
        <f t="shared" si="33"/>
        <v>7.5072967748428718</v>
      </c>
      <c r="R77" s="1"/>
      <c r="S77" s="1"/>
      <c r="T77" s="1"/>
      <c r="U77" s="1"/>
      <c r="V77" s="1"/>
      <c r="W77" s="28">
        <f t="shared" si="34"/>
        <v>288141</v>
      </c>
      <c r="X77" s="29">
        <f t="shared" si="34"/>
        <v>2163160</v>
      </c>
      <c r="Y77" s="6">
        <f t="shared" si="34"/>
        <v>7.5072967748428718</v>
      </c>
    </row>
    <row r="78" spans="1:25" x14ac:dyDescent="0.25">
      <c r="A78" s="1" t="s">
        <v>17</v>
      </c>
      <c r="B78" s="1">
        <v>202125</v>
      </c>
      <c r="C78" s="1">
        <f t="shared" si="35"/>
        <v>808500</v>
      </c>
      <c r="D78" s="1">
        <v>787.5</v>
      </c>
      <c r="E78" s="1">
        <v>244620</v>
      </c>
      <c r="F78" s="1">
        <f>7092+2000+52592</f>
        <v>61684</v>
      </c>
      <c r="G78" s="1">
        <v>15285</v>
      </c>
      <c r="H78" s="10">
        <f t="shared" si="36"/>
        <v>1099519</v>
      </c>
      <c r="I78" s="6">
        <f t="shared" si="30"/>
        <v>5.4397971552257269</v>
      </c>
      <c r="J78" s="4">
        <v>59271</v>
      </c>
      <c r="K78" s="4">
        <v>20560</v>
      </c>
      <c r="L78" s="1">
        <v>43.35</v>
      </c>
      <c r="M78" s="10">
        <f t="shared" si="37"/>
        <v>891276</v>
      </c>
      <c r="N78" s="6">
        <f t="shared" si="38"/>
        <v>15.037303234296704</v>
      </c>
      <c r="O78" s="1">
        <f t="shared" si="31"/>
        <v>261396</v>
      </c>
      <c r="P78" s="10">
        <f t="shared" si="32"/>
        <v>1990795</v>
      </c>
      <c r="Q78" s="6">
        <f t="shared" si="33"/>
        <v>7.6160117216789853</v>
      </c>
      <c r="R78" s="1"/>
      <c r="S78" s="1"/>
      <c r="T78" s="1"/>
      <c r="U78" s="1"/>
      <c r="V78" s="1"/>
      <c r="W78" s="28">
        <f t="shared" si="34"/>
        <v>261396</v>
      </c>
      <c r="X78" s="29">
        <f t="shared" si="34"/>
        <v>1990795</v>
      </c>
      <c r="Y78" s="6">
        <f t="shared" si="34"/>
        <v>7.6160117216789853</v>
      </c>
    </row>
    <row r="79" spans="1:25" x14ac:dyDescent="0.25">
      <c r="A79" s="1" t="s">
        <v>18</v>
      </c>
      <c r="B79" s="1">
        <v>55045</v>
      </c>
      <c r="C79" s="1">
        <f t="shared" si="35"/>
        <v>220180</v>
      </c>
      <c r="D79" s="1">
        <v>764.3</v>
      </c>
      <c r="E79" s="1">
        <f t="shared" ref="E79:E86" si="39">D79*300</f>
        <v>229290</v>
      </c>
      <c r="F79" s="1">
        <f>6620+2000+23152.5</f>
        <v>31772.5</v>
      </c>
      <c r="G79" s="1">
        <v>2475</v>
      </c>
      <c r="H79" s="10">
        <f t="shared" si="36"/>
        <v>478767.5</v>
      </c>
      <c r="I79" s="32">
        <f t="shared" si="30"/>
        <v>8.697747297665547</v>
      </c>
      <c r="J79" s="4">
        <v>65023</v>
      </c>
      <c r="K79" s="4">
        <v>21505</v>
      </c>
      <c r="L79" s="1">
        <v>43.35</v>
      </c>
      <c r="M79" s="10">
        <f t="shared" si="37"/>
        <v>932241.75</v>
      </c>
      <c r="N79" s="6">
        <f t="shared" si="38"/>
        <v>14.337107638835489</v>
      </c>
      <c r="O79" s="1">
        <f t="shared" si="31"/>
        <v>120068</v>
      </c>
      <c r="P79" s="10">
        <f t="shared" si="32"/>
        <v>1411009.25</v>
      </c>
      <c r="Q79" s="6">
        <f t="shared" si="33"/>
        <v>11.751751091048407</v>
      </c>
      <c r="R79" s="1">
        <v>195500</v>
      </c>
      <c r="S79" s="1">
        <f t="shared" ref="S79:S81" si="40">R79*3</f>
        <v>586500</v>
      </c>
      <c r="T79" s="1" t="e">
        <f>#REF!*300</f>
        <v>#REF!</v>
      </c>
      <c r="U79" s="1">
        <f>300+13836</f>
        <v>14136</v>
      </c>
      <c r="V79" s="1">
        <f t="shared" ref="V79:V87" si="41">U79+S79</f>
        <v>600636</v>
      </c>
      <c r="W79" s="28">
        <f t="shared" ref="W79:W87" si="42">O79+R79</f>
        <v>315568</v>
      </c>
      <c r="X79" s="29">
        <f t="shared" ref="X79:X87" si="43">P79+S79</f>
        <v>1997509.25</v>
      </c>
      <c r="Y79" s="6">
        <f>X79/W79</f>
        <v>6.3298853179029555</v>
      </c>
    </row>
    <row r="80" spans="1:25" x14ac:dyDescent="0.25">
      <c r="A80" s="1" t="s">
        <v>19</v>
      </c>
      <c r="B80" s="1">
        <v>45284</v>
      </c>
      <c r="C80" s="1">
        <f t="shared" si="35"/>
        <v>181136</v>
      </c>
      <c r="D80" s="1">
        <v>764.32</v>
      </c>
      <c r="E80" s="1">
        <f t="shared" si="39"/>
        <v>229296.00000000003</v>
      </c>
      <c r="F80" s="1">
        <f>3608+2000+21027</f>
        <v>26635</v>
      </c>
      <c r="G80" s="1">
        <v>2022</v>
      </c>
      <c r="H80" s="10">
        <f t="shared" si="36"/>
        <v>435045</v>
      </c>
      <c r="I80" s="32">
        <f t="shared" si="30"/>
        <v>9.6070355975620529</v>
      </c>
      <c r="J80" s="4">
        <v>69291</v>
      </c>
      <c r="K80" s="4">
        <v>23100</v>
      </c>
      <c r="L80" s="1">
        <v>43.35</v>
      </c>
      <c r="M80" s="10">
        <f t="shared" si="37"/>
        <v>1001385</v>
      </c>
      <c r="N80" s="6">
        <f t="shared" si="38"/>
        <v>14.4518768671256</v>
      </c>
      <c r="O80" s="1">
        <f t="shared" si="31"/>
        <v>114575</v>
      </c>
      <c r="P80" s="10">
        <f t="shared" si="32"/>
        <v>1436430</v>
      </c>
      <c r="Q80" s="6">
        <f t="shared" si="33"/>
        <v>12.537028147501637</v>
      </c>
      <c r="R80" s="1">
        <v>189316</v>
      </c>
      <c r="S80" s="1">
        <f t="shared" si="40"/>
        <v>567948</v>
      </c>
      <c r="T80" s="1" t="e">
        <f>#REF!*300</f>
        <v>#REF!</v>
      </c>
      <c r="U80" s="1">
        <f>300+11836</f>
        <v>12136</v>
      </c>
      <c r="V80" s="1">
        <f t="shared" si="41"/>
        <v>580084</v>
      </c>
      <c r="W80" s="28">
        <f t="shared" si="42"/>
        <v>303891</v>
      </c>
      <c r="X80" s="29">
        <f t="shared" si="43"/>
        <v>2004378</v>
      </c>
      <c r="Y80" s="6">
        <f t="shared" ref="Y80:Y87" si="44">X80/W80</f>
        <v>6.5957135946770391</v>
      </c>
    </row>
    <row r="81" spans="1:25" x14ac:dyDescent="0.25">
      <c r="A81" s="1" t="s">
        <v>20</v>
      </c>
      <c r="B81" s="1">
        <v>0</v>
      </c>
      <c r="C81" s="1">
        <f t="shared" si="35"/>
        <v>0</v>
      </c>
      <c r="D81" s="1">
        <v>764.35</v>
      </c>
      <c r="E81" s="1">
        <f t="shared" si="39"/>
        <v>229305</v>
      </c>
      <c r="F81" s="1">
        <f>2000+11665</f>
        <v>13665</v>
      </c>
      <c r="G81" s="1">
        <v>0</v>
      </c>
      <c r="H81" s="10">
        <f t="shared" si="36"/>
        <v>242970</v>
      </c>
      <c r="I81" s="33" t="e">
        <f>+H81/B81</f>
        <v>#DIV/0!</v>
      </c>
      <c r="J81" s="4">
        <v>63777</v>
      </c>
      <c r="K81" s="4">
        <v>21365</v>
      </c>
      <c r="L81" s="1">
        <v>43.35</v>
      </c>
      <c r="M81" s="10">
        <f t="shared" si="37"/>
        <v>926172.75</v>
      </c>
      <c r="N81" s="6">
        <f t="shared" si="38"/>
        <v>14.522049484924032</v>
      </c>
      <c r="O81" s="1">
        <f t="shared" si="31"/>
        <v>63777</v>
      </c>
      <c r="P81" s="10">
        <f t="shared" si="32"/>
        <v>1169142.75</v>
      </c>
      <c r="Q81" s="6">
        <f t="shared" si="33"/>
        <v>18.331730090785079</v>
      </c>
      <c r="R81" s="1">
        <v>177000</v>
      </c>
      <c r="S81" s="1">
        <f t="shared" si="40"/>
        <v>531000</v>
      </c>
      <c r="T81" s="1" t="e">
        <f>#REF!*300</f>
        <v>#REF!</v>
      </c>
      <c r="U81" s="1">
        <f>300+13836+17700</f>
        <v>31836</v>
      </c>
      <c r="V81" s="1">
        <f t="shared" si="41"/>
        <v>562836</v>
      </c>
      <c r="W81" s="28">
        <f t="shared" si="42"/>
        <v>240777</v>
      </c>
      <c r="X81" s="29">
        <f t="shared" si="43"/>
        <v>1700142.75</v>
      </c>
      <c r="Y81" s="6">
        <f t="shared" si="44"/>
        <v>7.0610679176167155</v>
      </c>
    </row>
    <row r="82" spans="1:25" x14ac:dyDescent="0.25">
      <c r="A82" s="1" t="s">
        <v>21</v>
      </c>
      <c r="B82" s="1">
        <v>206302</v>
      </c>
      <c r="C82" s="1">
        <f t="shared" si="35"/>
        <v>825208</v>
      </c>
      <c r="D82" s="1">
        <v>839.27</v>
      </c>
      <c r="E82" s="1">
        <f t="shared" si="39"/>
        <v>251781</v>
      </c>
      <c r="F82" s="1">
        <f>4664+2000+300+11836+3423+54116+836</f>
        <v>77175</v>
      </c>
      <c r="G82" s="1">
        <v>17128</v>
      </c>
      <c r="H82" s="10">
        <f t="shared" si="36"/>
        <v>1137036</v>
      </c>
      <c r="I82" s="6">
        <f t="shared" si="30"/>
        <v>5.5115122490329709</v>
      </c>
      <c r="J82" s="4">
        <v>82466</v>
      </c>
      <c r="K82" s="4">
        <v>27250</v>
      </c>
      <c r="L82" s="1">
        <v>43.35</v>
      </c>
      <c r="M82" s="10">
        <f t="shared" si="37"/>
        <v>1181287.5</v>
      </c>
      <c r="N82" s="6">
        <f t="shared" si="38"/>
        <v>14.324539810346081</v>
      </c>
      <c r="O82" s="1">
        <f t="shared" si="31"/>
        <v>288768</v>
      </c>
      <c r="P82" s="10">
        <f t="shared" si="32"/>
        <v>2318323.5</v>
      </c>
      <c r="Q82" s="6">
        <f t="shared" si="33"/>
        <v>8.0283255069813837</v>
      </c>
      <c r="R82" s="1">
        <v>8363</v>
      </c>
      <c r="S82" s="1">
        <f>R82*3</f>
        <v>25089</v>
      </c>
      <c r="T82" s="1" t="e">
        <f>#REF!*300</f>
        <v>#REF!</v>
      </c>
      <c r="U82" s="1">
        <f>836+11836+300</f>
        <v>12972</v>
      </c>
      <c r="V82" s="1">
        <f t="shared" si="41"/>
        <v>38061</v>
      </c>
      <c r="W82" s="28">
        <f t="shared" si="42"/>
        <v>297131</v>
      </c>
      <c r="X82" s="29">
        <f t="shared" si="43"/>
        <v>2343412.5</v>
      </c>
      <c r="Y82" s="6">
        <f t="shared" si="44"/>
        <v>7.8867990886174786</v>
      </c>
    </row>
    <row r="83" spans="1:25" x14ac:dyDescent="0.25">
      <c r="A83" s="1" t="s">
        <v>22</v>
      </c>
      <c r="B83" s="1">
        <v>212083</v>
      </c>
      <c r="C83" s="1">
        <f t="shared" si="35"/>
        <v>848332</v>
      </c>
      <c r="D83" s="1">
        <v>817.25</v>
      </c>
      <c r="E83" s="1">
        <f t="shared" si="39"/>
        <v>245175</v>
      </c>
      <c r="F83" s="1">
        <f>3883+2000+300+11836+54941+1796</f>
        <v>74756</v>
      </c>
      <c r="G83" s="1">
        <v>19041</v>
      </c>
      <c r="H83" s="10">
        <f t="shared" si="36"/>
        <v>1149222</v>
      </c>
      <c r="I83" s="6">
        <f t="shared" si="30"/>
        <v>5.4187370039088467</v>
      </c>
      <c r="J83" s="4">
        <v>92839</v>
      </c>
      <c r="K83" s="4">
        <v>30790</v>
      </c>
      <c r="L83" s="1">
        <v>43.35</v>
      </c>
      <c r="M83" s="10">
        <f t="shared" si="37"/>
        <v>1334746.5</v>
      </c>
      <c r="N83" s="6">
        <f t="shared" si="38"/>
        <v>14.377002121953058</v>
      </c>
      <c r="O83" s="1">
        <f t="shared" si="31"/>
        <v>304922</v>
      </c>
      <c r="P83" s="10">
        <f t="shared" si="32"/>
        <v>2483968.5</v>
      </c>
      <c r="Q83" s="6">
        <f t="shared" si="33"/>
        <v>8.146242317707479</v>
      </c>
      <c r="R83" s="1">
        <v>17957</v>
      </c>
      <c r="S83" s="1">
        <f>R83*3</f>
        <v>53871</v>
      </c>
      <c r="T83" s="1" t="e">
        <f>#REF!*300</f>
        <v>#REF!</v>
      </c>
      <c r="U83" s="1">
        <f>300+1796</f>
        <v>2096</v>
      </c>
      <c r="V83" s="1">
        <f t="shared" si="41"/>
        <v>55967</v>
      </c>
      <c r="W83" s="28">
        <f t="shared" si="42"/>
        <v>322879</v>
      </c>
      <c r="X83" s="29">
        <f t="shared" si="43"/>
        <v>2537839.5</v>
      </c>
      <c r="Y83" s="6">
        <f t="shared" si="44"/>
        <v>7.8600327057504513</v>
      </c>
    </row>
    <row r="84" spans="1:25" x14ac:dyDescent="0.25">
      <c r="A84" s="1" t="s">
        <v>23</v>
      </c>
      <c r="B84" s="1">
        <v>197711</v>
      </c>
      <c r="C84" s="1">
        <f t="shared" si="35"/>
        <v>790844</v>
      </c>
      <c r="D84" s="1">
        <v>833.12</v>
      </c>
      <c r="E84" s="1">
        <f t="shared" si="39"/>
        <v>249936</v>
      </c>
      <c r="F84" s="1">
        <f>4464+2000+52298</f>
        <v>58762</v>
      </c>
      <c r="G84" s="1">
        <v>17555</v>
      </c>
      <c r="H84" s="10">
        <f t="shared" si="36"/>
        <v>1081987</v>
      </c>
      <c r="I84" s="6">
        <f t="shared" si="30"/>
        <v>5.4725685470206518</v>
      </c>
      <c r="J84" s="4">
        <v>94641</v>
      </c>
      <c r="K84" s="4">
        <v>31600</v>
      </c>
      <c r="L84" s="1">
        <v>43.35</v>
      </c>
      <c r="M84" s="10">
        <f t="shared" si="37"/>
        <v>1369860</v>
      </c>
      <c r="N84" s="6">
        <f t="shared" si="38"/>
        <v>14.474276476368592</v>
      </c>
      <c r="O84" s="1">
        <f t="shared" si="31"/>
        <v>292352</v>
      </c>
      <c r="P84" s="10">
        <f t="shared" si="32"/>
        <v>2451847</v>
      </c>
      <c r="Q84" s="6">
        <f t="shared" si="33"/>
        <v>8.3866263955779328</v>
      </c>
      <c r="R84" s="1">
        <v>8539</v>
      </c>
      <c r="S84" s="1">
        <f>R84*3</f>
        <v>25617</v>
      </c>
      <c r="T84" s="1" t="e">
        <f>#REF!*300</f>
        <v>#REF!</v>
      </c>
      <c r="U84" s="1">
        <f>300+11836+854</f>
        <v>12990</v>
      </c>
      <c r="V84" s="1">
        <f t="shared" si="41"/>
        <v>38607</v>
      </c>
      <c r="W84" s="28">
        <f t="shared" si="42"/>
        <v>300891</v>
      </c>
      <c r="X84" s="29">
        <f t="shared" si="43"/>
        <v>2477464</v>
      </c>
      <c r="Y84" s="6">
        <f t="shared" si="44"/>
        <v>8.2337590688987046</v>
      </c>
    </row>
    <row r="85" spans="1:25" x14ac:dyDescent="0.25">
      <c r="A85" s="1" t="s">
        <v>24</v>
      </c>
      <c r="B85" s="1">
        <v>198509</v>
      </c>
      <c r="C85" s="1">
        <f t="shared" si="35"/>
        <v>794036</v>
      </c>
      <c r="D85" s="1">
        <v>832.32</v>
      </c>
      <c r="E85" s="1">
        <f t="shared" si="39"/>
        <v>249696.00000000003</v>
      </c>
      <c r="F85" s="1">
        <f>2989.6+2000+52361.3</f>
        <v>57350.9</v>
      </c>
      <c r="G85" s="1">
        <v>16747.599999999999</v>
      </c>
      <c r="H85" s="10">
        <f t="shared" si="36"/>
        <v>1084335.2999999998</v>
      </c>
      <c r="I85" s="6">
        <f t="shared" si="30"/>
        <v>5.4623986821756185</v>
      </c>
      <c r="J85" s="4">
        <v>128380</v>
      </c>
      <c r="K85" s="4">
        <v>42040</v>
      </c>
      <c r="L85" s="1">
        <v>43.35</v>
      </c>
      <c r="M85" s="10">
        <f t="shared" si="37"/>
        <v>1822434</v>
      </c>
      <c r="N85" s="6">
        <f t="shared" si="38"/>
        <v>14.19562237108584</v>
      </c>
      <c r="O85" s="1">
        <f t="shared" si="31"/>
        <v>326889</v>
      </c>
      <c r="P85" s="10">
        <f t="shared" si="32"/>
        <v>2906769.3</v>
      </c>
      <c r="Q85" s="6">
        <f t="shared" si="33"/>
        <v>8.8922212127052305</v>
      </c>
      <c r="R85" s="1">
        <v>6106</v>
      </c>
      <c r="S85" s="1">
        <f>R85*3</f>
        <v>18318</v>
      </c>
      <c r="T85" s="1" t="e">
        <f>#REF!*300</f>
        <v>#REF!</v>
      </c>
      <c r="U85" s="1">
        <f>300+13836+611</f>
        <v>14747</v>
      </c>
      <c r="V85" s="1">
        <f t="shared" si="41"/>
        <v>33065</v>
      </c>
      <c r="W85" s="28">
        <f t="shared" si="42"/>
        <v>332995</v>
      </c>
      <c r="X85" s="29">
        <f t="shared" si="43"/>
        <v>2925087.3</v>
      </c>
      <c r="Y85" s="6">
        <f t="shared" si="44"/>
        <v>8.7841778405081143</v>
      </c>
    </row>
    <row r="86" spans="1:25" x14ac:dyDescent="0.25">
      <c r="A86" s="1" t="s">
        <v>25</v>
      </c>
      <c r="B86" s="1">
        <v>110731</v>
      </c>
      <c r="C86" s="1">
        <f t="shared" si="35"/>
        <v>442924</v>
      </c>
      <c r="D86" s="1">
        <v>613.76</v>
      </c>
      <c r="E86" s="1">
        <f t="shared" si="39"/>
        <v>184128</v>
      </c>
      <c r="F86" s="1">
        <f>2000+31371</f>
        <v>33371</v>
      </c>
      <c r="G86" s="1">
        <v>8628</v>
      </c>
      <c r="H86" s="10">
        <f t="shared" si="36"/>
        <v>651795</v>
      </c>
      <c r="I86" s="6">
        <f t="shared" si="30"/>
        <v>5.8862920049489302</v>
      </c>
      <c r="J86" s="4">
        <v>210692</v>
      </c>
      <c r="K86" s="4">
        <v>66830</v>
      </c>
      <c r="L86" s="1">
        <v>43.35</v>
      </c>
      <c r="M86" s="10">
        <f t="shared" si="37"/>
        <v>2897080.5</v>
      </c>
      <c r="N86" s="6">
        <f t="shared" si="38"/>
        <v>13.750310880337175</v>
      </c>
      <c r="O86" s="1">
        <f t="shared" si="31"/>
        <v>321423</v>
      </c>
      <c r="P86" s="10">
        <f t="shared" si="32"/>
        <v>3548875.5</v>
      </c>
      <c r="Q86" s="6">
        <f t="shared" si="33"/>
        <v>11.041137379714582</v>
      </c>
      <c r="R86" s="1">
        <v>4439</v>
      </c>
      <c r="S86" s="1">
        <f>R86*3</f>
        <v>13317</v>
      </c>
      <c r="T86" s="1" t="e">
        <f>#REF!*300</f>
        <v>#REF!</v>
      </c>
      <c r="U86" s="1">
        <f>300+444+11836</f>
        <v>12580</v>
      </c>
      <c r="V86" s="1">
        <f t="shared" si="41"/>
        <v>25897</v>
      </c>
      <c r="W86" s="28">
        <f t="shared" si="42"/>
        <v>325862</v>
      </c>
      <c r="X86" s="29">
        <f t="shared" si="43"/>
        <v>3562192.5</v>
      </c>
      <c r="Y86" s="6">
        <f t="shared" si="44"/>
        <v>10.931598345311819</v>
      </c>
    </row>
    <row r="87" spans="1:25" x14ac:dyDescent="0.25">
      <c r="A87" s="4" t="s">
        <v>28</v>
      </c>
      <c r="B87" s="4">
        <f>SUM(B75:B86)</f>
        <v>1893175</v>
      </c>
      <c r="C87" s="1">
        <f t="shared" si="35"/>
        <v>7572700</v>
      </c>
      <c r="D87" s="1"/>
      <c r="E87" s="4">
        <f>SUM(E75:E86)</f>
        <v>2847087</v>
      </c>
      <c r="F87" s="4">
        <f>SUM(F75:F86)</f>
        <v>640861.4</v>
      </c>
      <c r="G87" s="4">
        <f>SUM(G75:G86)</f>
        <v>151234.6</v>
      </c>
      <c r="H87" s="10">
        <f t="shared" si="36"/>
        <v>10909413.800000001</v>
      </c>
      <c r="I87" s="6">
        <f t="shared" si="30"/>
        <v>5.7624962298783791</v>
      </c>
      <c r="J87" s="4">
        <f>SUM(J75:J86)</f>
        <v>1072265</v>
      </c>
      <c r="K87" s="4">
        <f>SUM(K75:K86)</f>
        <v>354470</v>
      </c>
      <c r="L87" s="1"/>
      <c r="M87" s="4">
        <f>SUM(M75:M86)</f>
        <v>15194907</v>
      </c>
      <c r="N87" s="6">
        <f t="shared" si="38"/>
        <v>14.17085048938462</v>
      </c>
      <c r="O87" s="1">
        <f t="shared" si="31"/>
        <v>2965440</v>
      </c>
      <c r="P87" s="10">
        <f t="shared" si="32"/>
        <v>26104320.800000001</v>
      </c>
      <c r="Q87" s="6">
        <f t="shared" si="33"/>
        <v>8.8028490881622972</v>
      </c>
      <c r="R87" s="4">
        <f>SUM(R75:R86)</f>
        <v>607220</v>
      </c>
      <c r="S87" s="4">
        <f>SUM(S75:S86)</f>
        <v>1821660</v>
      </c>
      <c r="T87" s="4" t="e">
        <f>SUM(T75:T86)</f>
        <v>#REF!</v>
      </c>
      <c r="U87" s="4">
        <f>SUM(U75:U86)</f>
        <v>113493</v>
      </c>
      <c r="V87" s="1">
        <f t="shared" si="41"/>
        <v>1935153</v>
      </c>
      <c r="W87" s="30">
        <f t="shared" si="42"/>
        <v>3572660</v>
      </c>
      <c r="X87" s="31">
        <f t="shared" si="43"/>
        <v>27925980.800000001</v>
      </c>
      <c r="Y87" s="6">
        <f t="shared" si="44"/>
        <v>7.8165794673996407</v>
      </c>
    </row>
    <row r="88" spans="1:25" x14ac:dyDescent="0.25">
      <c r="J88" s="19"/>
      <c r="K88" s="19"/>
    </row>
    <row r="89" spans="1:25" x14ac:dyDescent="0.25">
      <c r="B89" s="24"/>
      <c r="C89" t="s">
        <v>55</v>
      </c>
    </row>
    <row r="90" spans="1:25" x14ac:dyDescent="0.25">
      <c r="B90" s="34"/>
      <c r="C90" t="s">
        <v>56</v>
      </c>
      <c r="S90" s="26"/>
    </row>
    <row r="92" spans="1:25" ht="15" customHeight="1" x14ac:dyDescent="0.25">
      <c r="B92" s="128" t="s">
        <v>26</v>
      </c>
      <c r="C92" s="128"/>
      <c r="D92" s="128"/>
      <c r="E92" s="128"/>
      <c r="F92" s="128"/>
      <c r="G92" s="129"/>
      <c r="H92" s="129"/>
      <c r="I92" s="129"/>
      <c r="N92">
        <f>5663326/134595</f>
        <v>42.076793342991941</v>
      </c>
      <c r="R92">
        <f>384816*3.5</f>
        <v>1346856</v>
      </c>
    </row>
    <row r="93" spans="1:25" ht="15" customHeight="1" x14ac:dyDescent="0.25">
      <c r="B93" s="128" t="s">
        <v>29</v>
      </c>
      <c r="C93" s="128"/>
      <c r="D93" s="128"/>
      <c r="E93" s="128"/>
      <c r="F93" s="128"/>
      <c r="G93" s="129"/>
      <c r="H93" s="129"/>
      <c r="I93" s="129"/>
      <c r="R93">
        <v>5562069</v>
      </c>
    </row>
    <row r="94" spans="1:25" ht="15" customHeight="1" x14ac:dyDescent="0.25">
      <c r="B94" s="128" t="s">
        <v>30</v>
      </c>
      <c r="C94" s="128"/>
      <c r="D94" s="128"/>
      <c r="E94" s="128"/>
      <c r="F94" s="128"/>
      <c r="G94" s="129"/>
      <c r="H94" s="129"/>
      <c r="I94" s="129"/>
      <c r="R94">
        <f>SUM(R92:R93)</f>
        <v>6908925</v>
      </c>
    </row>
    <row r="97" spans="1:25" x14ac:dyDescent="0.25">
      <c r="A97" s="130" t="s">
        <v>57</v>
      </c>
      <c r="B97" s="130"/>
      <c r="C97" s="130"/>
      <c r="D97" s="130"/>
      <c r="E97" s="130"/>
      <c r="F97" s="130"/>
      <c r="G97" s="130"/>
      <c r="H97" s="130"/>
      <c r="I97" s="130"/>
      <c r="J97" s="130"/>
      <c r="K97" s="130"/>
      <c r="L97" s="130"/>
      <c r="M97" s="130"/>
      <c r="N97" s="130"/>
      <c r="O97" s="130"/>
      <c r="P97" s="130"/>
      <c r="Q97" s="131"/>
    </row>
    <row r="99" spans="1:25" ht="135" x14ac:dyDescent="0.25">
      <c r="A99" s="2" t="s">
        <v>37</v>
      </c>
      <c r="B99" s="2" t="s">
        <v>13</v>
      </c>
      <c r="C99" s="2" t="s">
        <v>2</v>
      </c>
      <c r="D99" s="2" t="s">
        <v>45</v>
      </c>
      <c r="E99" s="2" t="s">
        <v>3</v>
      </c>
      <c r="F99" s="2" t="s">
        <v>4</v>
      </c>
      <c r="G99" s="2" t="s">
        <v>35</v>
      </c>
      <c r="H99" s="2" t="s">
        <v>6</v>
      </c>
      <c r="I99" s="2" t="s">
        <v>7</v>
      </c>
      <c r="J99" s="2" t="s">
        <v>8</v>
      </c>
      <c r="K99" s="2" t="s">
        <v>9</v>
      </c>
      <c r="L99" s="2" t="s">
        <v>32</v>
      </c>
      <c r="M99" s="2" t="s">
        <v>10</v>
      </c>
      <c r="N99" s="2" t="s">
        <v>39</v>
      </c>
      <c r="O99" s="2" t="s">
        <v>33</v>
      </c>
      <c r="P99" s="2" t="s">
        <v>51</v>
      </c>
      <c r="Q99" s="3" t="s">
        <v>31</v>
      </c>
      <c r="R99" s="3" t="s">
        <v>50</v>
      </c>
      <c r="S99" s="3" t="s">
        <v>46</v>
      </c>
      <c r="T99" s="3" t="s">
        <v>47</v>
      </c>
      <c r="U99" s="3" t="s">
        <v>48</v>
      </c>
      <c r="V99" s="3" t="s">
        <v>49</v>
      </c>
      <c r="W99" s="2" t="s">
        <v>54</v>
      </c>
      <c r="X99" s="3" t="s">
        <v>52</v>
      </c>
      <c r="Y99" s="3" t="s">
        <v>53</v>
      </c>
    </row>
    <row r="100" spans="1:25" x14ac:dyDescent="0.25">
      <c r="A100" s="1" t="s">
        <v>14</v>
      </c>
      <c r="B100" s="1">
        <v>120435</v>
      </c>
      <c r="C100" s="35">
        <v>640747.5</v>
      </c>
      <c r="D100" s="1">
        <v>612</v>
      </c>
      <c r="E100" s="1">
        <f>D100*300</f>
        <v>183600</v>
      </c>
      <c r="F100" s="1">
        <f>948+2000+300+41129</f>
        <v>44377</v>
      </c>
      <c r="G100" s="1">
        <f>13396</f>
        <v>13396</v>
      </c>
      <c r="H100" s="10">
        <f>+C100+E100+F100-G100</f>
        <v>855328.5</v>
      </c>
      <c r="I100" s="6">
        <f t="shared" ref="I100:I112" si="45">+H100/B100</f>
        <v>7.1019927761863242</v>
      </c>
      <c r="J100" s="4">
        <v>118514</v>
      </c>
      <c r="K100" s="4">
        <v>39030</v>
      </c>
      <c r="L100" s="1">
        <v>43.35</v>
      </c>
      <c r="M100" s="10">
        <f>+K100*L100</f>
        <v>1691950.5</v>
      </c>
      <c r="N100" s="6">
        <f>+M100/J100</f>
        <v>14.276376630609041</v>
      </c>
      <c r="O100" s="1">
        <f t="shared" ref="O100:O112" si="46">+J100+B100</f>
        <v>238949</v>
      </c>
      <c r="P100" s="10">
        <f t="shared" ref="P100:P112" si="47">+M100+H100</f>
        <v>2547279</v>
      </c>
      <c r="Q100" s="6">
        <f t="shared" ref="Q100:Q112" si="48">+P100/O100</f>
        <v>10.660345931558616</v>
      </c>
      <c r="R100" s="1">
        <v>0</v>
      </c>
      <c r="S100" s="23">
        <v>0</v>
      </c>
      <c r="T100" s="1">
        <v>0</v>
      </c>
      <c r="U100" s="1">
        <v>0</v>
      </c>
      <c r="V100" s="1">
        <v>0</v>
      </c>
      <c r="W100" s="28">
        <f>O100</f>
        <v>238949</v>
      </c>
      <c r="X100" s="29">
        <f>P100</f>
        <v>2547279</v>
      </c>
      <c r="Y100" s="6">
        <f>X100/W100</f>
        <v>10.660345931558616</v>
      </c>
    </row>
    <row r="101" spans="1:25" x14ac:dyDescent="0.25">
      <c r="A101" s="1" t="s">
        <v>15</v>
      </c>
      <c r="B101" s="1">
        <v>101790</v>
      </c>
      <c r="C101" s="1">
        <f>B101*5.5</f>
        <v>559845</v>
      </c>
      <c r="D101" s="1">
        <v>618</v>
      </c>
      <c r="E101" s="1">
        <f>D101*300</f>
        <v>185400</v>
      </c>
      <c r="F101" s="1">
        <f>4620+2000+300+2000+37493</f>
        <v>46413</v>
      </c>
      <c r="G101" s="1">
        <f>11838+3900</f>
        <v>15738</v>
      </c>
      <c r="H101" s="10">
        <f>(C101+E101+F101)-G101</f>
        <v>775920</v>
      </c>
      <c r="I101" s="6">
        <f t="shared" si="45"/>
        <v>7.6227527262010017</v>
      </c>
      <c r="J101" s="4">
        <v>86601</v>
      </c>
      <c r="K101" s="4">
        <v>28440</v>
      </c>
      <c r="L101" s="1">
        <v>43.35</v>
      </c>
      <c r="M101" s="10">
        <f>+K101*L101</f>
        <v>1232874</v>
      </c>
      <c r="N101" s="6">
        <f t="shared" ref="N101:N112" si="49">+M101/J101</f>
        <v>14.236255932379533</v>
      </c>
      <c r="O101" s="1">
        <f t="shared" si="46"/>
        <v>188391</v>
      </c>
      <c r="P101" s="10">
        <f t="shared" si="47"/>
        <v>2008794</v>
      </c>
      <c r="Q101" s="6">
        <f t="shared" si="48"/>
        <v>10.662897909135786</v>
      </c>
      <c r="R101" s="1">
        <v>0</v>
      </c>
      <c r="S101" s="23">
        <v>0</v>
      </c>
      <c r="T101" s="1">
        <v>0</v>
      </c>
      <c r="U101" s="1">
        <v>0</v>
      </c>
      <c r="V101" s="1">
        <v>0</v>
      </c>
      <c r="W101" s="28">
        <f>O101</f>
        <v>188391</v>
      </c>
      <c r="X101" s="29">
        <f>P101</f>
        <v>2008794</v>
      </c>
      <c r="Y101" s="6">
        <f t="shared" ref="Y101:Y110" si="50">X101/W101</f>
        <v>10.662897909135786</v>
      </c>
    </row>
    <row r="102" spans="1:25" x14ac:dyDescent="0.25">
      <c r="A102" s="1" t="s">
        <v>16</v>
      </c>
      <c r="B102" s="1">
        <v>0</v>
      </c>
      <c r="C102" s="1">
        <v>0</v>
      </c>
      <c r="D102" s="1">
        <v>607.5</v>
      </c>
      <c r="E102" s="1">
        <f>565.77*300</f>
        <v>169731</v>
      </c>
      <c r="F102" s="1">
        <f>2000+300+11836+9113+16755</f>
        <v>40004</v>
      </c>
      <c r="G102" s="1">
        <v>0</v>
      </c>
      <c r="H102" s="10">
        <f t="shared" ref="H102:H111" si="51">(C102+E102+F102)-G102</f>
        <v>209735</v>
      </c>
      <c r="I102" s="6" t="e">
        <f t="shared" si="45"/>
        <v>#DIV/0!</v>
      </c>
      <c r="J102" s="4">
        <v>71495</v>
      </c>
      <c r="K102" s="4">
        <v>23220</v>
      </c>
      <c r="L102" s="1">
        <v>43.39</v>
      </c>
      <c r="M102" s="10">
        <f t="shared" ref="M102:M111" si="52">+K102*L102</f>
        <v>1007515.8</v>
      </c>
      <c r="N102" s="6">
        <f t="shared" si="49"/>
        <v>14.092115532554725</v>
      </c>
      <c r="O102" s="1">
        <f t="shared" si="46"/>
        <v>71495</v>
      </c>
      <c r="P102" s="10">
        <f t="shared" si="47"/>
        <v>1217250.8</v>
      </c>
      <c r="Q102" s="6">
        <f t="shared" si="48"/>
        <v>17.025677320092313</v>
      </c>
      <c r="R102" s="1">
        <v>167550</v>
      </c>
      <c r="S102" s="23">
        <f>R102*3.5</f>
        <v>586425</v>
      </c>
      <c r="T102" s="1" t="e">
        <f>#REF!*300</f>
        <v>#REF!</v>
      </c>
      <c r="U102" s="1">
        <f>300+11836+16755</f>
        <v>28891</v>
      </c>
      <c r="V102" s="1" t="e">
        <f t="shared" ref="V102:V111" si="53">S102+U102-T102</f>
        <v>#REF!</v>
      </c>
      <c r="W102" s="29">
        <f t="shared" ref="W102:W111" si="54">R102+O102</f>
        <v>239045</v>
      </c>
      <c r="X102" s="29">
        <f t="shared" ref="X102:X110" si="55">P102+S102</f>
        <v>1803675.8</v>
      </c>
      <c r="Y102" s="6">
        <f t="shared" si="50"/>
        <v>7.545339998745006</v>
      </c>
    </row>
    <row r="103" spans="1:25" x14ac:dyDescent="0.25">
      <c r="A103" s="1" t="s">
        <v>17</v>
      </c>
      <c r="B103" s="1">
        <v>39086</v>
      </c>
      <c r="C103" s="1">
        <f t="shared" ref="C103:C112" si="56">B103*5.5</f>
        <v>214973</v>
      </c>
      <c r="D103" s="1">
        <v>593.77</v>
      </c>
      <c r="E103" s="1">
        <f t="shared" ref="E103:E112" si="57">D103*300</f>
        <v>178131</v>
      </c>
      <c r="F103" s="1">
        <f>2000+300+11836+20289+14831</f>
        <v>49256</v>
      </c>
      <c r="G103" s="1">
        <v>10749</v>
      </c>
      <c r="H103" s="10">
        <f t="shared" si="51"/>
        <v>431611</v>
      </c>
      <c r="I103" s="6">
        <f t="shared" si="45"/>
        <v>11.042598372818912</v>
      </c>
      <c r="J103" s="4">
        <v>73842</v>
      </c>
      <c r="K103" s="4">
        <v>23990</v>
      </c>
      <c r="L103" s="1">
        <v>43.39</v>
      </c>
      <c r="M103" s="10">
        <f t="shared" si="52"/>
        <v>1040926.1</v>
      </c>
      <c r="N103" s="6">
        <f t="shared" si="49"/>
        <v>14.096667208363803</v>
      </c>
      <c r="O103" s="1">
        <f t="shared" si="46"/>
        <v>112928</v>
      </c>
      <c r="P103" s="10">
        <f t="shared" si="47"/>
        <v>1472537.1</v>
      </c>
      <c r="Q103" s="6">
        <f t="shared" si="48"/>
        <v>13.039610194105979</v>
      </c>
      <c r="R103" s="1">
        <v>148309</v>
      </c>
      <c r="S103" s="23">
        <f t="shared" ref="S103:S111" si="58">R103*3.5</f>
        <v>519081.5</v>
      </c>
      <c r="T103" s="1" t="e">
        <f>#REF!*300</f>
        <v>#REF!</v>
      </c>
      <c r="U103" s="1">
        <f>300+11836+20287+14831</f>
        <v>47254</v>
      </c>
      <c r="V103" s="1" t="e">
        <f t="shared" si="53"/>
        <v>#REF!</v>
      </c>
      <c r="W103" s="29">
        <f t="shared" si="54"/>
        <v>261237</v>
      </c>
      <c r="X103" s="29">
        <f t="shared" si="55"/>
        <v>1991618.6</v>
      </c>
      <c r="Y103" s="6">
        <f t="shared" si="50"/>
        <v>7.6237998445855686</v>
      </c>
    </row>
    <row r="104" spans="1:25" x14ac:dyDescent="0.25">
      <c r="A104" s="1" t="s">
        <v>18</v>
      </c>
      <c r="B104" s="1">
        <v>0</v>
      </c>
      <c r="C104" s="1">
        <f t="shared" si="56"/>
        <v>0</v>
      </c>
      <c r="D104" s="1">
        <v>673.52</v>
      </c>
      <c r="E104" s="1">
        <f t="shared" si="57"/>
        <v>202056</v>
      </c>
      <c r="F104" s="1">
        <f>2000+300+11836+10485+9138</f>
        <v>33759</v>
      </c>
      <c r="G104" s="1">
        <v>0</v>
      </c>
      <c r="H104" s="10">
        <f t="shared" si="51"/>
        <v>235815</v>
      </c>
      <c r="I104" s="6" t="e">
        <f t="shared" si="45"/>
        <v>#DIV/0!</v>
      </c>
      <c r="J104" s="4">
        <v>33265</v>
      </c>
      <c r="K104" s="4">
        <v>12890</v>
      </c>
      <c r="L104" s="1">
        <v>43.39</v>
      </c>
      <c r="M104" s="10">
        <f t="shared" si="52"/>
        <v>559297.1</v>
      </c>
      <c r="N104" s="6">
        <f t="shared" si="49"/>
        <v>16.813380429881256</v>
      </c>
      <c r="O104" s="1">
        <f t="shared" si="46"/>
        <v>33265</v>
      </c>
      <c r="P104" s="10">
        <f t="shared" si="47"/>
        <v>795112.1</v>
      </c>
      <c r="Q104" s="6">
        <f t="shared" si="48"/>
        <v>23.902362843829849</v>
      </c>
      <c r="R104" s="1">
        <v>91380</v>
      </c>
      <c r="S104" s="23">
        <f t="shared" si="58"/>
        <v>319830</v>
      </c>
      <c r="T104" s="1" t="e">
        <f>#REF!*300</f>
        <v>#REF!</v>
      </c>
      <c r="U104" s="1">
        <f>300+11836+10485+9138</f>
        <v>31759</v>
      </c>
      <c r="V104" s="1" t="e">
        <f t="shared" si="53"/>
        <v>#REF!</v>
      </c>
      <c r="W104" s="29">
        <f t="shared" si="54"/>
        <v>124645</v>
      </c>
      <c r="X104" s="29">
        <f t="shared" si="55"/>
        <v>1114942.1000000001</v>
      </c>
      <c r="Y104" s="6">
        <f t="shared" si="50"/>
        <v>8.9449404308235394</v>
      </c>
    </row>
    <row r="105" spans="1:25" x14ac:dyDescent="0.25">
      <c r="A105" s="1" t="s">
        <v>19</v>
      </c>
      <c r="B105" s="1">
        <v>0</v>
      </c>
      <c r="C105" s="1">
        <v>0</v>
      </c>
      <c r="D105" s="1">
        <v>627</v>
      </c>
      <c r="E105" s="1">
        <f t="shared" si="57"/>
        <v>188100</v>
      </c>
      <c r="F105" s="1">
        <f>2000+300+11836+9405+14249</f>
        <v>37790</v>
      </c>
      <c r="G105" s="1">
        <v>0</v>
      </c>
      <c r="H105" s="10">
        <f t="shared" si="51"/>
        <v>225890</v>
      </c>
      <c r="I105" s="6" t="e">
        <f t="shared" si="45"/>
        <v>#DIV/0!</v>
      </c>
      <c r="J105" s="4">
        <v>101130</v>
      </c>
      <c r="K105" s="4">
        <v>32530</v>
      </c>
      <c r="L105" s="23">
        <v>49.32</v>
      </c>
      <c r="M105" s="10">
        <f t="shared" si="52"/>
        <v>1604379.6</v>
      </c>
      <c r="N105" s="6">
        <f t="shared" si="49"/>
        <v>15.864526846633048</v>
      </c>
      <c r="O105" s="1">
        <f t="shared" si="46"/>
        <v>101130</v>
      </c>
      <c r="P105" s="10">
        <f t="shared" si="47"/>
        <v>1830269.6</v>
      </c>
      <c r="Q105" s="6">
        <f t="shared" si="48"/>
        <v>18.098186492633246</v>
      </c>
      <c r="R105" s="1">
        <v>142485</v>
      </c>
      <c r="S105" s="23">
        <f t="shared" si="58"/>
        <v>498697.5</v>
      </c>
      <c r="T105" s="1" t="e">
        <f>#REF!*300</f>
        <v>#REF!</v>
      </c>
      <c r="U105" s="1">
        <f>300+11836+14249</f>
        <v>26385</v>
      </c>
      <c r="V105" s="1" t="e">
        <f t="shared" si="53"/>
        <v>#REF!</v>
      </c>
      <c r="W105" s="29">
        <f t="shared" si="54"/>
        <v>243615</v>
      </c>
      <c r="X105" s="29">
        <f t="shared" si="55"/>
        <v>2328967.1</v>
      </c>
      <c r="Y105" s="6">
        <f t="shared" si="50"/>
        <v>9.5600316072491438</v>
      </c>
    </row>
    <row r="106" spans="1:25" x14ac:dyDescent="0.25">
      <c r="A106" s="1" t="s">
        <v>20</v>
      </c>
      <c r="B106" s="1">
        <v>0</v>
      </c>
      <c r="C106" s="1">
        <v>0</v>
      </c>
      <c r="D106" s="1">
        <v>634.5</v>
      </c>
      <c r="E106" s="1">
        <f t="shared" si="57"/>
        <v>190350</v>
      </c>
      <c r="F106" s="1">
        <f>2000+166531.8+300+17836+9517.5+16512</f>
        <v>212697.3</v>
      </c>
      <c r="G106" s="1">
        <v>0</v>
      </c>
      <c r="H106" s="10">
        <f t="shared" si="51"/>
        <v>403047.3</v>
      </c>
      <c r="I106" s="6" t="e">
        <f t="shared" si="45"/>
        <v>#DIV/0!</v>
      </c>
      <c r="J106" s="4">
        <v>151569</v>
      </c>
      <c r="K106" s="4">
        <v>46185</v>
      </c>
      <c r="L106" s="1">
        <v>49.32</v>
      </c>
      <c r="M106" s="10">
        <f t="shared" si="52"/>
        <v>2277844.2000000002</v>
      </c>
      <c r="N106" s="6">
        <f t="shared" si="49"/>
        <v>15.028430615759161</v>
      </c>
      <c r="O106" s="1">
        <f t="shared" si="46"/>
        <v>151569</v>
      </c>
      <c r="P106" s="10">
        <f t="shared" si="47"/>
        <v>2680891.5</v>
      </c>
      <c r="Q106" s="6">
        <f t="shared" si="48"/>
        <v>17.687597727767553</v>
      </c>
      <c r="R106" s="1">
        <v>165120</v>
      </c>
      <c r="S106" s="23">
        <f t="shared" si="58"/>
        <v>577920</v>
      </c>
      <c r="T106" s="1" t="e">
        <f>#REF!*300</f>
        <v>#REF!</v>
      </c>
      <c r="U106" s="1">
        <f>166532+300+17836+16512</f>
        <v>201180</v>
      </c>
      <c r="V106" s="1" t="e">
        <f t="shared" si="53"/>
        <v>#REF!</v>
      </c>
      <c r="W106" s="29">
        <f t="shared" si="54"/>
        <v>316689</v>
      </c>
      <c r="X106" s="29">
        <f t="shared" si="55"/>
        <v>3258811.5</v>
      </c>
      <c r="Y106" s="6">
        <f t="shared" si="50"/>
        <v>10.290257950228773</v>
      </c>
    </row>
    <row r="107" spans="1:25" x14ac:dyDescent="0.25">
      <c r="A107" s="1" t="s">
        <v>21</v>
      </c>
      <c r="B107" s="1">
        <v>0</v>
      </c>
      <c r="C107" s="1">
        <f t="shared" si="56"/>
        <v>0</v>
      </c>
      <c r="D107" s="1">
        <v>814.5</v>
      </c>
      <c r="E107" s="1">
        <f t="shared" si="57"/>
        <v>244350</v>
      </c>
      <c r="F107" s="1">
        <f>2000+109868+300+15836+12217+17960</f>
        <v>158181</v>
      </c>
      <c r="G107" s="1">
        <v>0</v>
      </c>
      <c r="H107" s="10">
        <f t="shared" si="51"/>
        <v>402531</v>
      </c>
      <c r="I107" s="6" t="e">
        <f t="shared" si="45"/>
        <v>#DIV/0!</v>
      </c>
      <c r="J107" s="37">
        <v>142272</v>
      </c>
      <c r="K107" s="4">
        <v>44460</v>
      </c>
      <c r="L107" s="1">
        <v>49.32</v>
      </c>
      <c r="M107" s="10">
        <f t="shared" si="52"/>
        <v>2192767.2000000002</v>
      </c>
      <c r="N107" s="6">
        <f t="shared" si="49"/>
        <v>15.412500000000001</v>
      </c>
      <c r="O107" s="1">
        <f t="shared" si="46"/>
        <v>142272</v>
      </c>
      <c r="P107" s="10">
        <f t="shared" si="47"/>
        <v>2595298.2000000002</v>
      </c>
      <c r="Q107" s="6">
        <f t="shared" si="48"/>
        <v>18.241805836707154</v>
      </c>
      <c r="R107" s="1">
        <v>179595</v>
      </c>
      <c r="S107" s="23">
        <f t="shared" si="58"/>
        <v>628582.5</v>
      </c>
      <c r="T107" s="1" t="e">
        <f>#REF!*300</f>
        <v>#REF!</v>
      </c>
      <c r="U107" s="1">
        <f>109868+300+15836+17960</f>
        <v>143964</v>
      </c>
      <c r="V107" s="1" t="e">
        <f t="shared" si="53"/>
        <v>#REF!</v>
      </c>
      <c r="W107" s="29">
        <f t="shared" si="54"/>
        <v>321867</v>
      </c>
      <c r="X107" s="29">
        <f t="shared" si="55"/>
        <v>3223880.7</v>
      </c>
      <c r="Y107" s="6">
        <f t="shared" si="50"/>
        <v>10.016188984891276</v>
      </c>
    </row>
    <row r="108" spans="1:25" x14ac:dyDescent="0.25">
      <c r="A108" s="1" t="s">
        <v>22</v>
      </c>
      <c r="B108" s="1">
        <v>0</v>
      </c>
      <c r="C108" s="1">
        <f t="shared" si="56"/>
        <v>0</v>
      </c>
      <c r="D108" s="1">
        <v>933</v>
      </c>
      <c r="E108" s="1">
        <f t="shared" si="57"/>
        <v>279900</v>
      </c>
      <c r="F108" s="1">
        <f>2000+99353+300+11836+13995+21615</f>
        <v>149099</v>
      </c>
      <c r="G108" s="1">
        <v>0</v>
      </c>
      <c r="H108" s="10">
        <f t="shared" si="51"/>
        <v>428999</v>
      </c>
      <c r="I108" s="6" t="e">
        <f t="shared" si="45"/>
        <v>#DIV/0!</v>
      </c>
      <c r="J108" s="4">
        <v>137668</v>
      </c>
      <c r="K108" s="4">
        <v>42390</v>
      </c>
      <c r="L108" s="1">
        <v>49.32</v>
      </c>
      <c r="M108" s="10">
        <f t="shared" si="52"/>
        <v>2090674.8</v>
      </c>
      <c r="N108" s="6">
        <f t="shared" si="49"/>
        <v>15.186352674550369</v>
      </c>
      <c r="O108" s="1">
        <f t="shared" si="46"/>
        <v>137668</v>
      </c>
      <c r="P108" s="10">
        <f t="shared" si="47"/>
        <v>2519673.7999999998</v>
      </c>
      <c r="Q108" s="6">
        <f t="shared" si="48"/>
        <v>18.302537989946828</v>
      </c>
      <c r="R108" s="1">
        <v>216150</v>
      </c>
      <c r="S108" s="23">
        <f t="shared" si="58"/>
        <v>756525</v>
      </c>
      <c r="T108" s="1">
        <v>0</v>
      </c>
      <c r="U108" s="1">
        <f>99353+300+11836+13995+21615</f>
        <v>147099</v>
      </c>
      <c r="V108" s="1">
        <f t="shared" si="53"/>
        <v>903624</v>
      </c>
      <c r="W108" s="29">
        <f t="shared" si="54"/>
        <v>353818</v>
      </c>
      <c r="X108" s="29">
        <f t="shared" si="55"/>
        <v>3276198.8</v>
      </c>
      <c r="Y108" s="6">
        <f t="shared" si="50"/>
        <v>9.2595594345115284</v>
      </c>
    </row>
    <row r="109" spans="1:25" x14ac:dyDescent="0.25">
      <c r="A109" s="1" t="s">
        <v>23</v>
      </c>
      <c r="B109" s="1">
        <v>0</v>
      </c>
      <c r="C109" s="1">
        <v>0</v>
      </c>
      <c r="D109" s="1">
        <v>943.5</v>
      </c>
      <c r="E109" s="1">
        <f t="shared" si="57"/>
        <v>283050</v>
      </c>
      <c r="F109" s="1">
        <f>2000+193276+300+54318+14152+24500</f>
        <v>288546</v>
      </c>
      <c r="G109" s="1">
        <v>0</v>
      </c>
      <c r="H109" s="10">
        <f t="shared" si="51"/>
        <v>571596</v>
      </c>
      <c r="I109" s="6" t="e">
        <f t="shared" si="45"/>
        <v>#DIV/0!</v>
      </c>
      <c r="J109" s="4">
        <v>93816</v>
      </c>
      <c r="K109" s="4">
        <v>29540</v>
      </c>
      <c r="L109" s="1">
        <v>52</v>
      </c>
      <c r="M109" s="10">
        <f t="shared" si="52"/>
        <v>1536080</v>
      </c>
      <c r="N109" s="6">
        <f t="shared" si="49"/>
        <v>16.373326511469259</v>
      </c>
      <c r="O109" s="1">
        <f t="shared" si="46"/>
        <v>93816</v>
      </c>
      <c r="P109" s="10">
        <f t="shared" si="47"/>
        <v>2107676</v>
      </c>
      <c r="Q109" s="6">
        <f t="shared" si="48"/>
        <v>22.466061226230067</v>
      </c>
      <c r="R109" s="1">
        <v>244995</v>
      </c>
      <c r="S109" s="23">
        <f t="shared" si="58"/>
        <v>857482.5</v>
      </c>
      <c r="T109" s="1" t="e">
        <f>#REF!*300</f>
        <v>#REF!</v>
      </c>
      <c r="U109" s="1">
        <f>193275+300+54318+24500</f>
        <v>272393</v>
      </c>
      <c r="V109" s="1" t="e">
        <f t="shared" si="53"/>
        <v>#REF!</v>
      </c>
      <c r="W109" s="29">
        <f t="shared" si="54"/>
        <v>338811</v>
      </c>
      <c r="X109" s="29">
        <f t="shared" si="55"/>
        <v>2965158.5</v>
      </c>
      <c r="Y109" s="6">
        <f t="shared" si="50"/>
        <v>8.7516594797689571</v>
      </c>
    </row>
    <row r="110" spans="1:25" x14ac:dyDescent="0.25">
      <c r="A110" s="1" t="s">
        <v>24</v>
      </c>
      <c r="B110" s="1">
        <v>20453</v>
      </c>
      <c r="C110" s="1">
        <f t="shared" si="56"/>
        <v>112491.5</v>
      </c>
      <c r="D110" s="1">
        <v>922.5</v>
      </c>
      <c r="E110" s="1">
        <f t="shared" si="57"/>
        <v>276750</v>
      </c>
      <c r="F110" s="1">
        <f>2000+122685+300+11836+19462+23377</f>
        <v>179660</v>
      </c>
      <c r="G110" s="1">
        <v>5624.58</v>
      </c>
      <c r="H110" s="10">
        <f t="shared" si="51"/>
        <v>563276.92000000004</v>
      </c>
      <c r="I110" s="39">
        <f t="shared" si="45"/>
        <v>27.540063560357897</v>
      </c>
      <c r="J110" s="4">
        <v>97784</v>
      </c>
      <c r="K110" s="4">
        <v>30830</v>
      </c>
      <c r="L110" s="1">
        <v>52</v>
      </c>
      <c r="M110" s="10">
        <f t="shared" si="52"/>
        <v>1603160</v>
      </c>
      <c r="N110" s="6">
        <f t="shared" si="49"/>
        <v>16.39491123292154</v>
      </c>
      <c r="O110" s="1">
        <f t="shared" si="46"/>
        <v>118237</v>
      </c>
      <c r="P110" s="10">
        <f t="shared" si="47"/>
        <v>2166436.92</v>
      </c>
      <c r="Q110" s="6">
        <f t="shared" si="48"/>
        <v>18.322833969062138</v>
      </c>
      <c r="R110" s="1">
        <v>233767</v>
      </c>
      <c r="S110" s="23">
        <f t="shared" si="58"/>
        <v>818184.5</v>
      </c>
      <c r="T110" s="1" t="e">
        <f>#REF!*300</f>
        <v>#REF!</v>
      </c>
      <c r="U110" s="1">
        <f>122685+300+11836+23377</f>
        <v>158198</v>
      </c>
      <c r="V110" s="1" t="e">
        <f t="shared" si="53"/>
        <v>#REF!</v>
      </c>
      <c r="W110" s="29">
        <f t="shared" si="54"/>
        <v>352004</v>
      </c>
      <c r="X110" s="29">
        <f t="shared" si="55"/>
        <v>2984621.42</v>
      </c>
      <c r="Y110" s="6">
        <f t="shared" si="50"/>
        <v>8.4789417733889394</v>
      </c>
    </row>
    <row r="111" spans="1:25" x14ac:dyDescent="0.25">
      <c r="A111" s="1" t="s">
        <v>25</v>
      </c>
      <c r="B111" s="1">
        <v>0</v>
      </c>
      <c r="C111" s="1">
        <f t="shared" si="56"/>
        <v>0</v>
      </c>
      <c r="D111" s="1">
        <v>859.5</v>
      </c>
      <c r="E111" s="1">
        <f t="shared" si="57"/>
        <v>257850</v>
      </c>
      <c r="F111" s="1">
        <f>2000+108459+300+11836+12893+21893</f>
        <v>157381</v>
      </c>
      <c r="G111" s="1">
        <v>0</v>
      </c>
      <c r="H111" s="10">
        <f t="shared" si="51"/>
        <v>415231</v>
      </c>
      <c r="I111" s="6" t="e">
        <f t="shared" si="45"/>
        <v>#DIV/0!</v>
      </c>
      <c r="J111" s="41">
        <v>90836</v>
      </c>
      <c r="K111" s="4">
        <v>30770</v>
      </c>
      <c r="L111" s="1">
        <v>52</v>
      </c>
      <c r="M111" s="10">
        <f t="shared" si="52"/>
        <v>1600040</v>
      </c>
      <c r="N111" s="6">
        <f>+M111/J111</f>
        <v>17.614602140120656</v>
      </c>
      <c r="O111" s="1">
        <f t="shared" si="46"/>
        <v>90836</v>
      </c>
      <c r="P111" s="10">
        <f t="shared" si="47"/>
        <v>2015271</v>
      </c>
      <c r="Q111" s="6">
        <f t="shared" si="48"/>
        <v>22.185818397991987</v>
      </c>
      <c r="R111" s="1">
        <v>218925</v>
      </c>
      <c r="S111" s="23">
        <f t="shared" si="58"/>
        <v>766237.5</v>
      </c>
      <c r="T111" s="1" t="e">
        <f>#REF!*300</f>
        <v>#REF!</v>
      </c>
      <c r="U111" s="1">
        <f>108459+300+11836+21893</f>
        <v>142488</v>
      </c>
      <c r="V111" s="1" t="e">
        <f t="shared" si="53"/>
        <v>#REF!</v>
      </c>
      <c r="W111" s="29">
        <f t="shared" si="54"/>
        <v>309761</v>
      </c>
      <c r="X111" s="29" t="e">
        <f>V111+P111-U111</f>
        <v>#REF!</v>
      </c>
      <c r="Y111" s="6" t="e">
        <f t="shared" ref="Y111:Y112" si="59">X111/W111</f>
        <v>#REF!</v>
      </c>
    </row>
    <row r="112" spans="1:25" x14ac:dyDescent="0.25">
      <c r="A112" s="4" t="s">
        <v>28</v>
      </c>
      <c r="B112" s="4">
        <f>SUM(B100:B111)</f>
        <v>281764</v>
      </c>
      <c r="C112" s="4">
        <f t="shared" si="56"/>
        <v>1549702</v>
      </c>
      <c r="D112" s="1"/>
      <c r="E112" s="1">
        <f t="shared" si="57"/>
        <v>0</v>
      </c>
      <c r="F112" s="4"/>
      <c r="G112" s="4"/>
      <c r="H112" s="10">
        <v>5518981</v>
      </c>
      <c r="I112" s="6">
        <f t="shared" si="45"/>
        <v>19.587246773895885</v>
      </c>
      <c r="J112" s="4">
        <f>SUM(J100:J111)</f>
        <v>1198792</v>
      </c>
      <c r="K112" s="4">
        <f>SUM(K100:K111)</f>
        <v>384275</v>
      </c>
      <c r="L112" s="1"/>
      <c r="M112" s="27">
        <f>SUM(M100:M111)</f>
        <v>18437509.300000001</v>
      </c>
      <c r="N112" s="6">
        <f t="shared" si="49"/>
        <v>15.380073690848789</v>
      </c>
      <c r="O112" s="1">
        <f t="shared" si="46"/>
        <v>1480556</v>
      </c>
      <c r="P112" s="10">
        <f t="shared" si="47"/>
        <v>23956490.300000001</v>
      </c>
      <c r="Q112" s="6">
        <f t="shared" si="48"/>
        <v>16.180739060190902</v>
      </c>
      <c r="R112" s="4">
        <f>SUM(R100:R111)</f>
        <v>1808276</v>
      </c>
      <c r="S112" s="43">
        <f>SUM(S100:S111)</f>
        <v>6328966</v>
      </c>
      <c r="T112" s="4"/>
      <c r="U112" s="4"/>
      <c r="V112" s="1"/>
      <c r="W112" s="28">
        <f>SUM(W100:W111)</f>
        <v>3288832</v>
      </c>
      <c r="X112" s="29" t="e">
        <f>SUM(X100:X111)</f>
        <v>#REF!</v>
      </c>
      <c r="Y112" s="6" t="e">
        <f t="shared" si="59"/>
        <v>#REF!</v>
      </c>
    </row>
    <row r="113" spans="1:25" x14ac:dyDescent="0.25">
      <c r="H113" s="26"/>
      <c r="J113" s="19"/>
      <c r="K113" s="19"/>
      <c r="M113" s="26"/>
      <c r="X113" s="26"/>
    </row>
    <row r="114" spans="1:25" x14ac:dyDescent="0.25">
      <c r="B114" s="36"/>
      <c r="C114" t="s">
        <v>58</v>
      </c>
    </row>
    <row r="115" spans="1:25" x14ac:dyDescent="0.25">
      <c r="B115" s="24"/>
      <c r="C115" t="s">
        <v>59</v>
      </c>
    </row>
    <row r="116" spans="1:25" x14ac:dyDescent="0.25">
      <c r="B116" s="38"/>
      <c r="C116" t="s">
        <v>63</v>
      </c>
      <c r="S116" s="26"/>
    </row>
    <row r="117" spans="1:25" x14ac:dyDescent="0.25">
      <c r="B117" s="40"/>
      <c r="C117" s="133" t="s">
        <v>61</v>
      </c>
      <c r="D117" s="133"/>
      <c r="E117" s="133"/>
      <c r="F117" s="133"/>
      <c r="G117" s="133"/>
      <c r="H117" s="133"/>
      <c r="I117" s="133"/>
      <c r="J117" s="133"/>
    </row>
    <row r="118" spans="1:25" ht="15" customHeight="1" x14ac:dyDescent="0.25">
      <c r="B118" s="132" t="s">
        <v>60</v>
      </c>
      <c r="C118" s="132"/>
      <c r="D118" s="132"/>
      <c r="E118" s="132"/>
      <c r="F118" s="132"/>
      <c r="G118" s="132"/>
      <c r="H118" s="132"/>
      <c r="I118" s="132"/>
      <c r="J118" s="132"/>
      <c r="K118" s="132"/>
      <c r="L118" s="132"/>
      <c r="M118" s="132"/>
      <c r="N118" s="132"/>
    </row>
    <row r="119" spans="1:25" ht="12.75" customHeight="1" x14ac:dyDescent="0.25">
      <c r="B119" s="42"/>
      <c r="C119" s="134" t="s">
        <v>62</v>
      </c>
      <c r="D119" s="134"/>
      <c r="E119" s="134"/>
      <c r="F119" s="134"/>
      <c r="G119" s="134"/>
      <c r="H119" s="134"/>
      <c r="I119" s="134"/>
      <c r="J119" s="134"/>
      <c r="K119" s="134"/>
      <c r="L119" s="134"/>
    </row>
    <row r="120" spans="1:25" x14ac:dyDescent="0.25">
      <c r="N120" s="19"/>
      <c r="O120" s="19"/>
    </row>
    <row r="122" spans="1:25" x14ac:dyDescent="0.25">
      <c r="A122" s="130" t="s">
        <v>65</v>
      </c>
      <c r="B122" s="130"/>
      <c r="C122" s="130"/>
      <c r="D122" s="130"/>
      <c r="E122" s="130"/>
      <c r="F122" s="130"/>
      <c r="G122" s="130"/>
      <c r="H122" s="130"/>
      <c r="I122" s="130"/>
      <c r="J122" s="130"/>
      <c r="K122" s="130"/>
      <c r="L122" s="130"/>
      <c r="M122" s="130"/>
      <c r="N122" s="130"/>
      <c r="O122" s="130"/>
      <c r="P122" s="130"/>
      <c r="Q122" s="131"/>
    </row>
    <row r="124" spans="1:25" ht="75" customHeight="1" x14ac:dyDescent="0.25">
      <c r="A124" s="2" t="s">
        <v>37</v>
      </c>
      <c r="B124" s="2" t="s">
        <v>13</v>
      </c>
      <c r="C124" s="2" t="s">
        <v>2</v>
      </c>
      <c r="D124" s="2" t="s">
        <v>45</v>
      </c>
      <c r="E124" s="2" t="s">
        <v>3</v>
      </c>
      <c r="F124" s="2" t="s">
        <v>4</v>
      </c>
      <c r="G124" s="2" t="s">
        <v>35</v>
      </c>
      <c r="H124" s="2" t="s">
        <v>6</v>
      </c>
      <c r="I124" s="2" t="s">
        <v>7</v>
      </c>
      <c r="J124" s="2" t="s">
        <v>8</v>
      </c>
      <c r="K124" s="2" t="s">
        <v>9</v>
      </c>
      <c r="L124" s="2" t="s">
        <v>32</v>
      </c>
      <c r="M124" s="2" t="s">
        <v>10</v>
      </c>
      <c r="N124" s="2" t="s">
        <v>39</v>
      </c>
      <c r="O124" s="2" t="s">
        <v>33</v>
      </c>
      <c r="P124" s="2" t="s">
        <v>51</v>
      </c>
      <c r="Q124" s="3" t="s">
        <v>31</v>
      </c>
      <c r="R124" s="3" t="s">
        <v>50</v>
      </c>
      <c r="S124" s="87" t="s">
        <v>46</v>
      </c>
      <c r="T124" s="126" t="s">
        <v>48</v>
      </c>
      <c r="U124" s="127"/>
      <c r="V124" s="3" t="s">
        <v>49</v>
      </c>
      <c r="W124" s="2" t="s">
        <v>54</v>
      </c>
      <c r="X124" s="3" t="s">
        <v>52</v>
      </c>
      <c r="Y124" s="3" t="s">
        <v>53</v>
      </c>
    </row>
    <row r="125" spans="1:25" x14ac:dyDescent="0.25">
      <c r="A125" s="1" t="s">
        <v>14</v>
      </c>
      <c r="B125" s="44">
        <v>142980</v>
      </c>
      <c r="C125" s="45">
        <f>B125*5.5</f>
        <v>786390</v>
      </c>
      <c r="D125" s="44">
        <v>618</v>
      </c>
      <c r="E125" s="44">
        <v>185400</v>
      </c>
      <c r="F125" s="44">
        <f>6089+2000+300+2000+48894</f>
        <v>59283</v>
      </c>
      <c r="G125" s="44">
        <v>16389</v>
      </c>
      <c r="H125" s="46">
        <f>C125+E125+F125-G125</f>
        <v>1014684</v>
      </c>
      <c r="I125" s="47">
        <f>H125/B125</f>
        <v>7.0966848510281162</v>
      </c>
      <c r="J125" s="48">
        <v>125292</v>
      </c>
      <c r="K125" s="48">
        <v>42038</v>
      </c>
      <c r="L125" s="44">
        <v>55</v>
      </c>
      <c r="M125" s="46">
        <f>K125*L125</f>
        <v>2312090</v>
      </c>
      <c r="N125" s="47">
        <f>M125/J125</f>
        <v>18.453612361523483</v>
      </c>
      <c r="O125" s="44">
        <f>J125+B125</f>
        <v>268272</v>
      </c>
      <c r="P125" s="46">
        <f>M125+H125</f>
        <v>3326774</v>
      </c>
      <c r="Q125" s="47">
        <f>P125/O125</f>
        <v>12.40074998508976</v>
      </c>
      <c r="R125" s="44">
        <v>0</v>
      </c>
      <c r="S125" s="88">
        <v>0</v>
      </c>
      <c r="T125" s="117">
        <v>0</v>
      </c>
      <c r="U125" s="118"/>
      <c r="V125" s="44">
        <v>0</v>
      </c>
      <c r="W125" s="49">
        <f>R125+O125</f>
        <v>268272</v>
      </c>
      <c r="X125" s="50">
        <f>V125+P125</f>
        <v>3326774</v>
      </c>
      <c r="Y125" s="47">
        <f>X125/W125</f>
        <v>12.40074998508976</v>
      </c>
    </row>
    <row r="126" spans="1:25" x14ac:dyDescent="0.25">
      <c r="A126" s="1" t="s">
        <v>15</v>
      </c>
      <c r="B126" s="44">
        <v>22907</v>
      </c>
      <c r="C126" s="44">
        <f>B126*5.5</f>
        <v>125988.5</v>
      </c>
      <c r="D126" s="44">
        <v>615</v>
      </c>
      <c r="E126" s="44">
        <f>D126*300</f>
        <v>184500</v>
      </c>
      <c r="F126" s="44">
        <f>2000+300+11836+15524+12397</f>
        <v>42057</v>
      </c>
      <c r="G126" s="44">
        <f>2194</f>
        <v>2194</v>
      </c>
      <c r="H126" s="51">
        <f t="shared" ref="H126:H136" si="60">C126+E126+F126-G126</f>
        <v>350351.5</v>
      </c>
      <c r="I126" s="47">
        <f t="shared" ref="I126:I136" si="61">H126/B126</f>
        <v>15.294516959881259</v>
      </c>
      <c r="J126" s="48">
        <v>71348</v>
      </c>
      <c r="K126" s="48">
        <v>27130</v>
      </c>
      <c r="L126" s="44">
        <v>55</v>
      </c>
      <c r="M126" s="46">
        <f t="shared" ref="M126:M136" si="62">K126*L126</f>
        <v>1492150</v>
      </c>
      <c r="N126" s="52">
        <f t="shared" ref="N126:N137" si="63">M126/J126</f>
        <v>20.913690643045356</v>
      </c>
      <c r="O126" s="44">
        <f t="shared" ref="O126:O136" si="64">J126+B126</f>
        <v>94255</v>
      </c>
      <c r="P126" s="46">
        <f t="shared" ref="P126:P137" si="65">M126+H126</f>
        <v>1842501.5</v>
      </c>
      <c r="Q126" s="47">
        <f t="shared" ref="Q126:Q136" si="66">P126/O126</f>
        <v>19.548050501299667</v>
      </c>
      <c r="R126" s="44">
        <v>123973</v>
      </c>
      <c r="S126" s="89">
        <f>R126*3.5</f>
        <v>433905.5</v>
      </c>
      <c r="T126" s="117">
        <f>300+11836+12397</f>
        <v>24533</v>
      </c>
      <c r="U126" s="118"/>
      <c r="V126" s="44">
        <f t="shared" ref="V126:V137" si="67">S126+T126</f>
        <v>458438.5</v>
      </c>
      <c r="W126" s="49">
        <f>O126+R126</f>
        <v>218228</v>
      </c>
      <c r="X126" s="50">
        <f>P126+S126</f>
        <v>2276407</v>
      </c>
      <c r="Y126" s="47">
        <f>X126/W126</f>
        <v>10.431324119727991</v>
      </c>
    </row>
    <row r="127" spans="1:25" x14ac:dyDescent="0.25">
      <c r="A127" s="1" t="s">
        <v>16</v>
      </c>
      <c r="B127" s="44">
        <v>0</v>
      </c>
      <c r="C127" s="44">
        <f t="shared" ref="C127:C137" si="68">B127*5.5</f>
        <v>0</v>
      </c>
      <c r="D127" s="44">
        <v>612</v>
      </c>
      <c r="E127" s="44">
        <f t="shared" ref="E127:E137" si="69">D127*300</f>
        <v>183600</v>
      </c>
      <c r="F127" s="44">
        <f>2000+300+11836+9090+18123</f>
        <v>41349</v>
      </c>
      <c r="G127" s="44">
        <v>0</v>
      </c>
      <c r="H127" s="51">
        <f t="shared" si="60"/>
        <v>224949</v>
      </c>
      <c r="I127" s="47" t="e">
        <f t="shared" si="61"/>
        <v>#DIV/0!</v>
      </c>
      <c r="J127" s="48">
        <v>39428</v>
      </c>
      <c r="K127" s="48">
        <v>16560</v>
      </c>
      <c r="L127" s="44">
        <v>55</v>
      </c>
      <c r="M127" s="46">
        <f t="shared" si="62"/>
        <v>910800</v>
      </c>
      <c r="N127" s="52">
        <f t="shared" si="63"/>
        <v>23.100334787460689</v>
      </c>
      <c r="O127" s="44">
        <f t="shared" si="64"/>
        <v>39428</v>
      </c>
      <c r="P127" s="46">
        <f t="shared" si="65"/>
        <v>1135749</v>
      </c>
      <c r="Q127" s="47">
        <f t="shared" si="66"/>
        <v>28.805645733996144</v>
      </c>
      <c r="R127" s="44">
        <v>181230</v>
      </c>
      <c r="S127" s="89">
        <f>R127*3.5</f>
        <v>634305</v>
      </c>
      <c r="T127" s="117">
        <f>300+11836+18123</f>
        <v>30259</v>
      </c>
      <c r="U127" s="118"/>
      <c r="V127" s="44">
        <f t="shared" si="67"/>
        <v>664564</v>
      </c>
      <c r="W127" s="49">
        <f>R127+O127</f>
        <v>220658</v>
      </c>
      <c r="X127" s="50">
        <f>V127+P127</f>
        <v>1800313</v>
      </c>
      <c r="Y127" s="47">
        <f t="shared" ref="Y127:Y137" si="70">X127/W127</f>
        <v>8.1588385646566177</v>
      </c>
    </row>
    <row r="128" spans="1:25" x14ac:dyDescent="0.25">
      <c r="A128" s="1" t="s">
        <v>17</v>
      </c>
      <c r="B128" s="44">
        <v>0</v>
      </c>
      <c r="C128" s="44">
        <f t="shared" si="68"/>
        <v>0</v>
      </c>
      <c r="D128" s="44">
        <v>678</v>
      </c>
      <c r="E128" s="44">
        <f t="shared" si="69"/>
        <v>203400</v>
      </c>
      <c r="F128" s="44">
        <f>2000+75958+300+67248+10170+22403</f>
        <v>178079</v>
      </c>
      <c r="G128" s="23">
        <v>286794</v>
      </c>
      <c r="H128" s="46">
        <f t="shared" si="60"/>
        <v>94685</v>
      </c>
      <c r="I128" s="47" t="e">
        <f t="shared" si="61"/>
        <v>#DIV/0!</v>
      </c>
      <c r="J128" s="48">
        <v>15312</v>
      </c>
      <c r="K128" s="48">
        <v>5450</v>
      </c>
      <c r="L128" s="44">
        <v>55.74</v>
      </c>
      <c r="M128" s="46">
        <f t="shared" si="62"/>
        <v>303783</v>
      </c>
      <c r="N128" s="47">
        <f t="shared" si="63"/>
        <v>19.839537617554861</v>
      </c>
      <c r="O128" s="44">
        <f t="shared" si="64"/>
        <v>15312</v>
      </c>
      <c r="P128" s="46">
        <f t="shared" si="65"/>
        <v>398468</v>
      </c>
      <c r="Q128" s="47">
        <f t="shared" si="66"/>
        <v>26.023249738766982</v>
      </c>
      <c r="R128" s="44">
        <v>224025</v>
      </c>
      <c r="S128" s="89">
        <f>R128*3.5</f>
        <v>784087.5</v>
      </c>
      <c r="T128" s="117">
        <f>75958+300+67248+22403</f>
        <v>165909</v>
      </c>
      <c r="U128" s="118"/>
      <c r="V128" s="44">
        <f t="shared" si="67"/>
        <v>949996.5</v>
      </c>
      <c r="W128" s="49">
        <f>O128+R128</f>
        <v>239337</v>
      </c>
      <c r="X128" s="50">
        <f>P128+S128</f>
        <v>1182555.5</v>
      </c>
      <c r="Y128" s="47">
        <f t="shared" si="70"/>
        <v>4.9409639963733145</v>
      </c>
    </row>
    <row r="129" spans="1:25" x14ac:dyDescent="0.25">
      <c r="A129" s="1" t="s">
        <v>18</v>
      </c>
      <c r="B129" s="44">
        <v>84975</v>
      </c>
      <c r="C129" s="44">
        <f t="shared" si="68"/>
        <v>467362.5</v>
      </c>
      <c r="D129" s="44">
        <v>858.97</v>
      </c>
      <c r="E129" s="44">
        <f t="shared" si="69"/>
        <v>257691</v>
      </c>
      <c r="F129" s="44">
        <f>2000+25496+300+35269+34078+17663</f>
        <v>114806</v>
      </c>
      <c r="G129" s="44">
        <v>3645</v>
      </c>
      <c r="H129" s="46">
        <f t="shared" si="60"/>
        <v>836214.5</v>
      </c>
      <c r="I129" s="47">
        <f t="shared" si="61"/>
        <v>9.8407119741100324</v>
      </c>
      <c r="J129" s="48">
        <v>21868</v>
      </c>
      <c r="K129" s="48">
        <v>7490</v>
      </c>
      <c r="L129" s="44">
        <v>55.74</v>
      </c>
      <c r="M129" s="46">
        <f t="shared" si="62"/>
        <v>417492.60000000003</v>
      </c>
      <c r="N129" s="47">
        <f t="shared" si="63"/>
        <v>19.091485275288093</v>
      </c>
      <c r="O129" s="44">
        <f t="shared" si="64"/>
        <v>106843</v>
      </c>
      <c r="P129" s="46">
        <f t="shared" si="65"/>
        <v>1253707.1000000001</v>
      </c>
      <c r="Q129" s="47">
        <f t="shared" si="66"/>
        <v>11.734106118323147</v>
      </c>
      <c r="R129" s="44">
        <v>176625</v>
      </c>
      <c r="S129" s="89">
        <f t="shared" ref="S129:S136" si="71">R129*3.5</f>
        <v>618187.5</v>
      </c>
      <c r="T129" s="117">
        <f>25496+300+35269+17663</f>
        <v>78728</v>
      </c>
      <c r="U129" s="118"/>
      <c r="V129" s="44">
        <f t="shared" si="67"/>
        <v>696915.5</v>
      </c>
      <c r="W129" s="49">
        <f>R129+O129</f>
        <v>283468</v>
      </c>
      <c r="X129" s="50">
        <f>V129+P129</f>
        <v>1950622.6</v>
      </c>
      <c r="Y129" s="47">
        <f t="shared" si="70"/>
        <v>6.8812797211678216</v>
      </c>
    </row>
    <row r="130" spans="1:25" x14ac:dyDescent="0.25">
      <c r="A130" s="1" t="s">
        <v>19</v>
      </c>
      <c r="B130" s="44">
        <v>76327</v>
      </c>
      <c r="C130" s="44">
        <f t="shared" si="68"/>
        <v>419798.5</v>
      </c>
      <c r="D130" s="44">
        <v>1035</v>
      </c>
      <c r="E130" s="44">
        <f t="shared" si="69"/>
        <v>310500</v>
      </c>
      <c r="F130" s="44">
        <f>2000+300+38287+32015+17381</f>
        <v>89983</v>
      </c>
      <c r="G130" s="44">
        <v>6980</v>
      </c>
      <c r="H130" s="46">
        <f t="shared" si="60"/>
        <v>813301.5</v>
      </c>
      <c r="I130" s="47">
        <f t="shared" si="61"/>
        <v>10.655488883357135</v>
      </c>
      <c r="J130" s="48">
        <v>10632</v>
      </c>
      <c r="K130" s="48">
        <v>3930</v>
      </c>
      <c r="L130" s="44">
        <v>55.74</v>
      </c>
      <c r="M130" s="46">
        <f t="shared" si="62"/>
        <v>219058.2</v>
      </c>
      <c r="N130" s="47">
        <f t="shared" si="63"/>
        <v>20.603668171557562</v>
      </c>
      <c r="O130" s="44">
        <f t="shared" si="64"/>
        <v>86959</v>
      </c>
      <c r="P130" s="46">
        <f t="shared" si="65"/>
        <v>1032359.7</v>
      </c>
      <c r="Q130" s="47">
        <f t="shared" si="66"/>
        <v>11.871798203751192</v>
      </c>
      <c r="R130" s="44">
        <v>173813</v>
      </c>
      <c r="S130" s="89">
        <f t="shared" si="71"/>
        <v>608345.5</v>
      </c>
      <c r="T130" s="117">
        <f>300+38287+17381</f>
        <v>55968</v>
      </c>
      <c r="U130" s="118"/>
      <c r="V130" s="44">
        <f t="shared" si="67"/>
        <v>664313.5</v>
      </c>
      <c r="W130" s="49">
        <f>O130+R130</f>
        <v>260772</v>
      </c>
      <c r="X130" s="50">
        <f>P130+S130</f>
        <v>1640705.2</v>
      </c>
      <c r="Y130" s="47">
        <f t="shared" si="70"/>
        <v>6.2917230377494517</v>
      </c>
    </row>
    <row r="131" spans="1:25" x14ac:dyDescent="0.25">
      <c r="A131" s="1" t="s">
        <v>20</v>
      </c>
      <c r="B131" s="44">
        <v>48904</v>
      </c>
      <c r="C131" s="44">
        <f t="shared" si="68"/>
        <v>268972</v>
      </c>
      <c r="D131" s="44">
        <v>837.36</v>
      </c>
      <c r="E131" s="44">
        <f t="shared" si="69"/>
        <v>251208</v>
      </c>
      <c r="F131" s="44">
        <f>2000+42283+300+60326+24654+15333</f>
        <v>144896</v>
      </c>
      <c r="G131" s="44">
        <v>0</v>
      </c>
      <c r="H131" s="46">
        <f t="shared" si="60"/>
        <v>665076</v>
      </c>
      <c r="I131" s="54">
        <f t="shared" si="61"/>
        <v>13.599623752658269</v>
      </c>
      <c r="J131" s="1">
        <v>19840</v>
      </c>
      <c r="K131">
        <v>7015</v>
      </c>
      <c r="L131" s="44">
        <v>55.74</v>
      </c>
      <c r="M131" s="46">
        <f t="shared" si="62"/>
        <v>391016.10000000003</v>
      </c>
      <c r="N131" s="47">
        <f t="shared" si="63"/>
        <v>19.708472782258067</v>
      </c>
      <c r="O131" s="44">
        <f t="shared" si="64"/>
        <v>68744</v>
      </c>
      <c r="P131" s="46">
        <f t="shared" si="65"/>
        <v>1056092.1000000001</v>
      </c>
      <c r="Q131" s="47">
        <f t="shared" si="66"/>
        <v>15.362680379378565</v>
      </c>
      <c r="R131" s="44">
        <v>153326</v>
      </c>
      <c r="S131" s="89">
        <f t="shared" si="71"/>
        <v>536641</v>
      </c>
      <c r="T131" s="117">
        <f>42284+300+60326+24654+15333</f>
        <v>142897</v>
      </c>
      <c r="U131" s="118"/>
      <c r="V131" s="44">
        <f t="shared" si="67"/>
        <v>679538</v>
      </c>
      <c r="W131" s="49">
        <f>R131+O131</f>
        <v>222070</v>
      </c>
      <c r="X131" s="50">
        <f>V131+P131</f>
        <v>1735630.1</v>
      </c>
      <c r="Y131" s="47">
        <f t="shared" si="70"/>
        <v>7.8156891971000135</v>
      </c>
    </row>
    <row r="132" spans="1:25" x14ac:dyDescent="0.25">
      <c r="A132" s="1" t="s">
        <v>21</v>
      </c>
      <c r="B132" s="44">
        <v>89670</v>
      </c>
      <c r="C132" s="44">
        <f t="shared" si="68"/>
        <v>493185</v>
      </c>
      <c r="D132" s="44">
        <v>815.4</v>
      </c>
      <c r="E132" s="44">
        <f t="shared" si="69"/>
        <v>244620</v>
      </c>
      <c r="F132" s="44">
        <f>2000+85893+300+90433+34627+9195</f>
        <v>222448</v>
      </c>
      <c r="G132" s="44">
        <v>0</v>
      </c>
      <c r="H132" s="46">
        <f t="shared" si="60"/>
        <v>960253</v>
      </c>
      <c r="I132" s="47">
        <f t="shared" si="61"/>
        <v>10.708743169398907</v>
      </c>
      <c r="J132" s="48">
        <v>62876</v>
      </c>
      <c r="K132" s="48">
        <v>21575</v>
      </c>
      <c r="L132" s="44">
        <v>58.2</v>
      </c>
      <c r="M132" s="46">
        <f t="shared" si="62"/>
        <v>1255665</v>
      </c>
      <c r="N132" s="47">
        <f t="shared" si="63"/>
        <v>19.970497487117502</v>
      </c>
      <c r="O132" s="44">
        <f t="shared" si="64"/>
        <v>152546</v>
      </c>
      <c r="P132" s="46">
        <f t="shared" si="65"/>
        <v>2215918</v>
      </c>
      <c r="Q132" s="47">
        <f t="shared" si="66"/>
        <v>14.526228154130557</v>
      </c>
      <c r="R132" s="44">
        <v>91950</v>
      </c>
      <c r="S132" s="89">
        <f t="shared" si="71"/>
        <v>321825</v>
      </c>
      <c r="T132" s="117">
        <f>85893+300+90433+9195</f>
        <v>185821</v>
      </c>
      <c r="U132" s="118"/>
      <c r="V132" s="44">
        <f t="shared" si="67"/>
        <v>507646</v>
      </c>
      <c r="W132" s="49">
        <f>O132+R132</f>
        <v>244496</v>
      </c>
      <c r="X132" s="50">
        <f>P132+S132</f>
        <v>2537743</v>
      </c>
      <c r="Y132" s="47">
        <f t="shared" si="70"/>
        <v>10.379486780969831</v>
      </c>
    </row>
    <row r="133" spans="1:25" x14ac:dyDescent="0.25">
      <c r="A133" s="1" t="s">
        <v>22</v>
      </c>
      <c r="B133" s="44">
        <v>155236</v>
      </c>
      <c r="C133" s="44">
        <f t="shared" si="68"/>
        <v>853798</v>
      </c>
      <c r="D133" s="44">
        <v>815.4</v>
      </c>
      <c r="E133" s="44">
        <f t="shared" si="69"/>
        <v>244620</v>
      </c>
      <c r="F133" s="44">
        <f>2000+88547+300+66760+52747+6889</f>
        <v>217243</v>
      </c>
      <c r="G133" s="44">
        <v>12482</v>
      </c>
      <c r="H133" s="46">
        <f t="shared" si="60"/>
        <v>1303179</v>
      </c>
      <c r="I133" s="47">
        <f t="shared" si="61"/>
        <v>8.3948246540750855</v>
      </c>
      <c r="J133" s="48">
        <v>30740</v>
      </c>
      <c r="K133" s="48">
        <v>10160</v>
      </c>
      <c r="L133" s="44">
        <v>58.2</v>
      </c>
      <c r="M133" s="46">
        <f t="shared" si="62"/>
        <v>591312</v>
      </c>
      <c r="N133" s="47">
        <f t="shared" si="63"/>
        <v>19.235914118412492</v>
      </c>
      <c r="O133" s="44">
        <f t="shared" si="64"/>
        <v>185976</v>
      </c>
      <c r="P133" s="46">
        <f t="shared" si="65"/>
        <v>1894491</v>
      </c>
      <c r="Q133" s="47">
        <f t="shared" si="66"/>
        <v>10.186749903213318</v>
      </c>
      <c r="R133" s="44">
        <v>68894</v>
      </c>
      <c r="S133" s="89">
        <f t="shared" si="71"/>
        <v>241129</v>
      </c>
      <c r="T133" s="117">
        <f>88547+300+66760+6889</f>
        <v>162496</v>
      </c>
      <c r="U133" s="118"/>
      <c r="V133" s="44">
        <f t="shared" si="67"/>
        <v>403625</v>
      </c>
      <c r="W133" s="49">
        <f>R133+O133</f>
        <v>254870</v>
      </c>
      <c r="X133" s="50">
        <f>V133+P133</f>
        <v>2298116</v>
      </c>
      <c r="Y133" s="47">
        <f t="shared" si="70"/>
        <v>9.0168164162121869</v>
      </c>
    </row>
    <row r="134" spans="1:25" x14ac:dyDescent="0.25">
      <c r="A134" s="1" t="s">
        <v>23</v>
      </c>
      <c r="B134" s="44">
        <v>205110</v>
      </c>
      <c r="C134" s="44">
        <f t="shared" si="68"/>
        <v>1128105</v>
      </c>
      <c r="D134" s="44">
        <v>815.4</v>
      </c>
      <c r="E134" s="44">
        <f t="shared" si="69"/>
        <v>244620</v>
      </c>
      <c r="F134" s="44">
        <f>2000+57610+300+58586+67408+6233</f>
        <v>192137</v>
      </c>
      <c r="G134" s="44">
        <v>23446</v>
      </c>
      <c r="H134" s="46">
        <f t="shared" si="60"/>
        <v>1541416</v>
      </c>
      <c r="I134" s="47">
        <f t="shared" si="61"/>
        <v>7.5150699624591679</v>
      </c>
      <c r="J134" s="48">
        <v>18928</v>
      </c>
      <c r="K134" s="48">
        <v>5920</v>
      </c>
      <c r="L134" s="44">
        <v>58.2</v>
      </c>
      <c r="M134" s="46">
        <f t="shared" si="62"/>
        <v>344544</v>
      </c>
      <c r="N134" s="47">
        <f t="shared" si="63"/>
        <v>18.202874049027894</v>
      </c>
      <c r="O134" s="44">
        <f t="shared" si="64"/>
        <v>224038</v>
      </c>
      <c r="P134" s="46">
        <f t="shared" si="65"/>
        <v>1885960</v>
      </c>
      <c r="Q134" s="47">
        <f t="shared" si="66"/>
        <v>8.4180362259973762</v>
      </c>
      <c r="R134" s="44">
        <v>62325</v>
      </c>
      <c r="S134" s="89">
        <f t="shared" si="71"/>
        <v>218137.5</v>
      </c>
      <c r="T134" s="117">
        <f>57610+58586+300+6233</f>
        <v>122729</v>
      </c>
      <c r="U134" s="118"/>
      <c r="V134" s="44">
        <f t="shared" si="67"/>
        <v>340866.5</v>
      </c>
      <c r="W134" s="49">
        <f>O134+R134</f>
        <v>286363</v>
      </c>
      <c r="X134" s="50">
        <f>P134+S134</f>
        <v>2104097.5</v>
      </c>
      <c r="Y134" s="47">
        <f t="shared" si="70"/>
        <v>7.347658391621823</v>
      </c>
    </row>
    <row r="135" spans="1:25" x14ac:dyDescent="0.25">
      <c r="A135" s="1" t="s">
        <v>24</v>
      </c>
      <c r="B135" s="44">
        <v>232245</v>
      </c>
      <c r="C135" s="44">
        <f t="shared" si="68"/>
        <v>1277347.5</v>
      </c>
      <c r="D135" s="44">
        <v>815.4</v>
      </c>
      <c r="E135" s="44">
        <f t="shared" si="69"/>
        <v>244620</v>
      </c>
      <c r="F135" s="44">
        <f>2000+84083+300+63593+75297+5952</f>
        <v>231225</v>
      </c>
      <c r="G135" s="46">
        <f>26548.5</f>
        <v>26548.5</v>
      </c>
      <c r="H135" s="46">
        <f t="shared" si="60"/>
        <v>1726644</v>
      </c>
      <c r="I135" s="47">
        <f t="shared" si="61"/>
        <v>7.4345798617838916</v>
      </c>
      <c r="J135" s="48">
        <v>23996</v>
      </c>
      <c r="K135" s="48">
        <v>8340</v>
      </c>
      <c r="L135" s="44">
        <v>58.2</v>
      </c>
      <c r="M135" s="46">
        <f t="shared" si="62"/>
        <v>485388</v>
      </c>
      <c r="N135" s="47">
        <f t="shared" si="63"/>
        <v>20.227871311885313</v>
      </c>
      <c r="O135" s="44">
        <f t="shared" si="64"/>
        <v>256241</v>
      </c>
      <c r="P135" s="46">
        <f t="shared" si="65"/>
        <v>2212032</v>
      </c>
      <c r="Q135" s="47">
        <f t="shared" si="66"/>
        <v>8.632623194570737</v>
      </c>
      <c r="R135" s="44">
        <v>59520</v>
      </c>
      <c r="S135" s="89">
        <f t="shared" si="71"/>
        <v>208320</v>
      </c>
      <c r="T135" s="117">
        <f>84083+300+63593+5952</f>
        <v>153928</v>
      </c>
      <c r="U135" s="118"/>
      <c r="V135" s="44">
        <f t="shared" si="67"/>
        <v>362248</v>
      </c>
      <c r="W135" s="49">
        <f>R135+O135</f>
        <v>315761</v>
      </c>
      <c r="X135" s="50">
        <f>V135+P135</f>
        <v>2574280</v>
      </c>
      <c r="Y135" s="47">
        <f t="shared" si="70"/>
        <v>8.1526217613954852</v>
      </c>
    </row>
    <row r="136" spans="1:25" x14ac:dyDescent="0.25">
      <c r="A136" s="1" t="s">
        <v>25</v>
      </c>
      <c r="B136" s="44">
        <v>163065</v>
      </c>
      <c r="C136" s="44">
        <f t="shared" si="68"/>
        <v>896857.5</v>
      </c>
      <c r="D136" s="44">
        <v>815.4</v>
      </c>
      <c r="E136" s="44">
        <f t="shared" si="69"/>
        <v>244620</v>
      </c>
      <c r="F136" s="44">
        <f>2000+200672+300+34834+56115+4811</f>
        <v>298732</v>
      </c>
      <c r="G136" s="44">
        <v>21528</v>
      </c>
      <c r="H136" s="46">
        <f t="shared" si="60"/>
        <v>1418681.5</v>
      </c>
      <c r="I136" s="47">
        <f t="shared" si="61"/>
        <v>8.7000981203814423</v>
      </c>
      <c r="J136" s="48">
        <v>71952</v>
      </c>
      <c r="K136" s="48">
        <v>23510</v>
      </c>
      <c r="L136" s="44">
        <v>58.2</v>
      </c>
      <c r="M136" s="46">
        <f t="shared" si="62"/>
        <v>1368282</v>
      </c>
      <c r="N136" s="47">
        <f t="shared" si="63"/>
        <v>19.016594396264175</v>
      </c>
      <c r="O136" s="44">
        <f t="shared" si="64"/>
        <v>235017</v>
      </c>
      <c r="P136" s="46">
        <f t="shared" si="65"/>
        <v>2786963.5</v>
      </c>
      <c r="Q136" s="47">
        <f t="shared" si="66"/>
        <v>11.858561295565853</v>
      </c>
      <c r="R136" s="44">
        <v>48105</v>
      </c>
      <c r="S136" s="89">
        <f t="shared" si="71"/>
        <v>168367.5</v>
      </c>
      <c r="T136" s="117">
        <f>200672+300+34834+4811</f>
        <v>240617</v>
      </c>
      <c r="U136" s="118"/>
      <c r="V136" s="44">
        <f t="shared" si="67"/>
        <v>408984.5</v>
      </c>
      <c r="W136" s="49">
        <f>O136+R136</f>
        <v>283122</v>
      </c>
      <c r="X136" s="50">
        <f>P136+S136</f>
        <v>2955331</v>
      </c>
      <c r="Y136" s="47">
        <f t="shared" si="70"/>
        <v>10.438365792838423</v>
      </c>
    </row>
    <row r="137" spans="1:25" x14ac:dyDescent="0.25">
      <c r="A137" s="4" t="s">
        <v>28</v>
      </c>
      <c r="B137" s="48">
        <f>SUM(B125:B136)</f>
        <v>1221419</v>
      </c>
      <c r="C137" s="48">
        <f t="shared" si="68"/>
        <v>6717804.5</v>
      </c>
      <c r="D137" s="44"/>
      <c r="E137" s="44">
        <f t="shared" si="69"/>
        <v>0</v>
      </c>
      <c r="F137" s="48">
        <f>SUM(F125:F136)</f>
        <v>1832238</v>
      </c>
      <c r="G137" s="59">
        <f>SUM(G125:G136)</f>
        <v>400006.5</v>
      </c>
      <c r="H137" s="59">
        <f>SUM(H125:H136)</f>
        <v>10949435</v>
      </c>
      <c r="I137" s="61">
        <f>H137/B137</f>
        <v>8.9645199558873738</v>
      </c>
      <c r="J137" s="48">
        <f>SUM(J125:J136)</f>
        <v>512212</v>
      </c>
      <c r="K137" s="48">
        <f>SUM(K125:K136)</f>
        <v>179118</v>
      </c>
      <c r="L137" s="44"/>
      <c r="M137" s="59">
        <f>SUM(M125:M136)</f>
        <v>10091580.899999999</v>
      </c>
      <c r="N137" s="61">
        <f t="shared" si="63"/>
        <v>19.701961102043683</v>
      </c>
      <c r="O137" s="48">
        <f>SUM(O125:O136)</f>
        <v>1733631</v>
      </c>
      <c r="P137" s="59">
        <f t="shared" si="65"/>
        <v>21041015.899999999</v>
      </c>
      <c r="Q137" s="61">
        <f t="shared" ref="Q137" si="72">P137/O137</f>
        <v>12.136963344564096</v>
      </c>
      <c r="R137" s="48">
        <f>SUM(R125:R136)</f>
        <v>1363786</v>
      </c>
      <c r="S137" s="93">
        <v>4773251</v>
      </c>
      <c r="T137" s="117"/>
      <c r="U137" s="118"/>
      <c r="V137" s="48">
        <f t="shared" si="67"/>
        <v>4773251</v>
      </c>
      <c r="W137" s="60">
        <f>SUM(W125:W136)</f>
        <v>3097417</v>
      </c>
      <c r="X137" s="57">
        <f>SUM(X125:X136)</f>
        <v>26382574.899999999</v>
      </c>
      <c r="Y137" s="61">
        <f t="shared" si="70"/>
        <v>8.5176051206537569</v>
      </c>
    </row>
    <row r="138" spans="1:25" x14ac:dyDescent="0.25">
      <c r="J138" s="19"/>
      <c r="K138" s="19"/>
      <c r="X138" s="56"/>
    </row>
    <row r="139" spans="1:25" x14ac:dyDescent="0.25">
      <c r="I139" s="19"/>
      <c r="J139" s="19"/>
    </row>
    <row r="140" spans="1:25" x14ac:dyDescent="0.25">
      <c r="B140" s="24"/>
      <c r="C140" s="139" t="s">
        <v>66</v>
      </c>
      <c r="D140" s="139"/>
      <c r="E140" s="139"/>
      <c r="F140" s="139"/>
      <c r="G140" s="139"/>
      <c r="H140" s="139"/>
    </row>
    <row r="142" spans="1:25" x14ac:dyDescent="0.25">
      <c r="B142" s="53"/>
      <c r="C142" s="139" t="s">
        <v>64</v>
      </c>
      <c r="D142" s="139"/>
      <c r="E142" s="139"/>
      <c r="F142" s="139"/>
      <c r="G142" s="139"/>
      <c r="H142" s="139"/>
    </row>
    <row r="144" spans="1:25" x14ac:dyDescent="0.25">
      <c r="B144" s="40"/>
      <c r="C144" s="133" t="s">
        <v>61</v>
      </c>
      <c r="D144" s="133"/>
      <c r="E144" s="133"/>
      <c r="F144" s="133"/>
      <c r="G144" s="133"/>
      <c r="H144" s="133"/>
      <c r="I144" s="133"/>
      <c r="J144" s="133"/>
    </row>
    <row r="146" spans="1:25" ht="32.25" customHeight="1" x14ac:dyDescent="0.25">
      <c r="A146" s="125" t="s">
        <v>67</v>
      </c>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row>
    <row r="148" spans="1:25" ht="75" customHeight="1" x14ac:dyDescent="0.25">
      <c r="A148" s="2" t="s">
        <v>37</v>
      </c>
      <c r="B148" s="2" t="s">
        <v>13</v>
      </c>
      <c r="C148" s="2" t="s">
        <v>2</v>
      </c>
      <c r="D148" s="2" t="s">
        <v>70</v>
      </c>
      <c r="E148" s="2" t="s">
        <v>3</v>
      </c>
      <c r="F148" s="2" t="s">
        <v>4</v>
      </c>
      <c r="G148" s="2" t="s">
        <v>35</v>
      </c>
      <c r="H148" s="2" t="s">
        <v>6</v>
      </c>
      <c r="I148" s="2" t="s">
        <v>7</v>
      </c>
      <c r="J148" s="2" t="s">
        <v>8</v>
      </c>
      <c r="K148" s="2" t="s">
        <v>9</v>
      </c>
      <c r="L148" s="2" t="s">
        <v>32</v>
      </c>
      <c r="M148" s="2" t="s">
        <v>10</v>
      </c>
      <c r="N148" s="2" t="s">
        <v>39</v>
      </c>
      <c r="O148" s="2" t="s">
        <v>33</v>
      </c>
      <c r="P148" s="2" t="s">
        <v>51</v>
      </c>
      <c r="Q148" s="3" t="s">
        <v>31</v>
      </c>
      <c r="R148" s="3" t="s">
        <v>50</v>
      </c>
      <c r="S148" s="87" t="s">
        <v>46</v>
      </c>
      <c r="T148" s="126" t="s">
        <v>48</v>
      </c>
      <c r="U148" s="127"/>
      <c r="V148" s="3" t="s">
        <v>49</v>
      </c>
      <c r="W148" s="2" t="s">
        <v>54</v>
      </c>
      <c r="X148" s="3" t="s">
        <v>52</v>
      </c>
      <c r="Y148" s="3" t="s">
        <v>53</v>
      </c>
    </row>
    <row r="149" spans="1:25" x14ac:dyDescent="0.25">
      <c r="A149" s="1" t="s">
        <v>14</v>
      </c>
      <c r="B149" s="44">
        <v>157530</v>
      </c>
      <c r="C149" s="45">
        <f>B149*5.5</f>
        <v>866415</v>
      </c>
      <c r="D149" s="47">
        <v>815.4</v>
      </c>
      <c r="E149" s="44">
        <f>D149*300</f>
        <v>244620</v>
      </c>
      <c r="F149" s="46">
        <f>1833.7+2000+41913.6+300+10660+53177.4+1105</f>
        <v>110989.7</v>
      </c>
      <c r="G149" s="46">
        <v>18946.13</v>
      </c>
      <c r="H149" s="46">
        <f>C149+E149+F149-G149</f>
        <v>1203078.57</v>
      </c>
      <c r="I149" s="47">
        <f>H149/B149</f>
        <v>7.6371394020186631</v>
      </c>
      <c r="J149" s="48">
        <v>70148</v>
      </c>
      <c r="K149" s="48">
        <v>23660</v>
      </c>
      <c r="L149" s="44">
        <v>58.2</v>
      </c>
      <c r="M149" s="46">
        <f>K149*L149</f>
        <v>1377012</v>
      </c>
      <c r="N149" s="47">
        <f>M149/J149</f>
        <v>19.630096367679762</v>
      </c>
      <c r="O149" s="44">
        <f>J149+B149</f>
        <v>227678</v>
      </c>
      <c r="P149" s="46">
        <f>M149+H149</f>
        <v>2580090.5700000003</v>
      </c>
      <c r="Q149" s="47">
        <f>P149/O149</f>
        <v>11.332190945106687</v>
      </c>
      <c r="R149" s="44">
        <v>11048</v>
      </c>
      <c r="S149" s="88">
        <f t="shared" ref="S149" si="73">R149*3.5</f>
        <v>38668</v>
      </c>
      <c r="T149" s="117">
        <f>300+10660+1105</f>
        <v>12065</v>
      </c>
      <c r="U149" s="118"/>
      <c r="V149" s="44">
        <f t="shared" ref="V149:V161" si="74">S149+T149</f>
        <v>50733</v>
      </c>
      <c r="W149" s="49">
        <f t="shared" ref="W149:W160" si="75">R149+O149</f>
        <v>238726</v>
      </c>
      <c r="X149" s="50">
        <f t="shared" ref="X149:X160" si="76">S149+P149</f>
        <v>2618758.5700000003</v>
      </c>
      <c r="Y149" s="47">
        <f>X149/W149</f>
        <v>10.969724998533886</v>
      </c>
    </row>
    <row r="150" spans="1:25" x14ac:dyDescent="0.25">
      <c r="A150" s="1" t="s">
        <v>15</v>
      </c>
      <c r="B150" s="44">
        <v>155336</v>
      </c>
      <c r="C150" s="45">
        <f>B150*5.5</f>
        <v>854348</v>
      </c>
      <c r="D150" s="47">
        <v>815.4</v>
      </c>
      <c r="E150" s="44">
        <f>D150*300</f>
        <v>244620</v>
      </c>
      <c r="F150" s="46">
        <f>15048+2000+300+85549+51974.8</f>
        <v>154871.79999999999</v>
      </c>
      <c r="G150" s="44">
        <f>16232+5850</f>
        <v>22082</v>
      </c>
      <c r="H150" s="46">
        <f>C150+E150+F150-G150</f>
        <v>1231757.8</v>
      </c>
      <c r="I150" s="47">
        <f>H150/B150</f>
        <v>7.9296351135602823</v>
      </c>
      <c r="J150" s="48">
        <v>69140</v>
      </c>
      <c r="K150" s="48">
        <v>23745</v>
      </c>
      <c r="L150" s="44">
        <v>58.2</v>
      </c>
      <c r="M150" s="46">
        <f t="shared" ref="M150:M160" si="77">K150*L150</f>
        <v>1381959</v>
      </c>
      <c r="N150" s="47">
        <f t="shared" ref="N150:N160" si="78">M150/J150</f>
        <v>19.987836274226208</v>
      </c>
      <c r="O150" s="44">
        <f t="shared" ref="O150:O157" si="79">J150+B150</f>
        <v>224476</v>
      </c>
      <c r="P150" s="46">
        <f t="shared" ref="P150:P156" si="80">M150+H150</f>
        <v>2613716.7999999998</v>
      </c>
      <c r="Q150" s="47">
        <f t="shared" ref="Q150:Q161" si="81">P150/O150</f>
        <v>11.643635845257398</v>
      </c>
      <c r="R150" s="44">
        <v>0</v>
      </c>
      <c r="S150" s="88">
        <f t="shared" ref="S150:S160" si="82">R150*3.5</f>
        <v>0</v>
      </c>
      <c r="T150" s="117">
        <v>0</v>
      </c>
      <c r="U150" s="118"/>
      <c r="V150" s="44">
        <f t="shared" si="74"/>
        <v>0</v>
      </c>
      <c r="W150" s="49">
        <f t="shared" si="75"/>
        <v>224476</v>
      </c>
      <c r="X150" s="50">
        <f t="shared" si="76"/>
        <v>2613716.7999999998</v>
      </c>
      <c r="Y150" s="47">
        <f>X150/W150</f>
        <v>11.643635845257398</v>
      </c>
    </row>
    <row r="151" spans="1:25" x14ac:dyDescent="0.25">
      <c r="A151" s="1" t="s">
        <v>16</v>
      </c>
      <c r="B151" s="44">
        <v>0</v>
      </c>
      <c r="C151" s="45">
        <f t="shared" ref="C151:C156" si="83">B151*5.5</f>
        <v>0</v>
      </c>
      <c r="D151" s="44">
        <v>1006.67</v>
      </c>
      <c r="E151" s="44">
        <f>D151*300</f>
        <v>302001</v>
      </c>
      <c r="F151" s="46">
        <f>2000+38721+9607.5+22746</f>
        <v>73074.5</v>
      </c>
      <c r="G151" s="44">
        <v>0</v>
      </c>
      <c r="H151" s="46">
        <f>C151+E151+F151-G151</f>
        <v>375075.5</v>
      </c>
      <c r="I151" s="47" t="e">
        <f t="shared" ref="I151:I160" si="84">H151/B151</f>
        <v>#DIV/0!</v>
      </c>
      <c r="J151" s="48">
        <v>5968</v>
      </c>
      <c r="K151" s="48">
        <v>2425</v>
      </c>
      <c r="L151" s="44">
        <v>58.2</v>
      </c>
      <c r="M151" s="46">
        <f t="shared" si="77"/>
        <v>141135</v>
      </c>
      <c r="N151" s="47">
        <f t="shared" si="78"/>
        <v>23.64862600536193</v>
      </c>
      <c r="O151" s="44">
        <f t="shared" si="79"/>
        <v>5968</v>
      </c>
      <c r="P151" s="46">
        <f t="shared" si="80"/>
        <v>516210.5</v>
      </c>
      <c r="Q151" s="55">
        <f t="shared" si="81"/>
        <v>86.496397453083105</v>
      </c>
      <c r="R151" s="44">
        <v>227460</v>
      </c>
      <c r="S151" s="88">
        <f t="shared" si="82"/>
        <v>796110</v>
      </c>
      <c r="T151" s="117">
        <f>38721+22746</f>
        <v>61467</v>
      </c>
      <c r="U151" s="118"/>
      <c r="V151" s="44">
        <f t="shared" si="74"/>
        <v>857577</v>
      </c>
      <c r="W151" s="49">
        <f t="shared" si="75"/>
        <v>233428</v>
      </c>
      <c r="X151" s="50">
        <f t="shared" si="76"/>
        <v>1312320.5</v>
      </c>
      <c r="Y151" s="47">
        <f t="shared" ref="Y151:Y161" si="85">X151/W151</f>
        <v>5.6219498089346605</v>
      </c>
    </row>
    <row r="152" spans="1:25" x14ac:dyDescent="0.25">
      <c r="A152" s="1" t="s">
        <v>17</v>
      </c>
      <c r="B152" s="44">
        <v>0</v>
      </c>
      <c r="C152" s="45">
        <f t="shared" si="83"/>
        <v>0</v>
      </c>
      <c r="D152" s="44">
        <v>1035</v>
      </c>
      <c r="E152" s="44">
        <f t="shared" ref="E152:E156" si="86">D152*300</f>
        <v>310500</v>
      </c>
      <c r="F152" s="44">
        <f>2000+12888+10732.5+30917+26310</f>
        <v>82847.5</v>
      </c>
      <c r="G152" s="44">
        <v>0</v>
      </c>
      <c r="H152" s="46">
        <f t="shared" ref="H152:H160" si="87">C152+E152+F152-G152</f>
        <v>393347.5</v>
      </c>
      <c r="I152" s="47" t="e">
        <f t="shared" si="84"/>
        <v>#DIV/0!</v>
      </c>
      <c r="J152">
        <v>2043</v>
      </c>
      <c r="K152">
        <v>1030</v>
      </c>
      <c r="L152" s="44">
        <v>58.2</v>
      </c>
      <c r="M152" s="46">
        <f t="shared" si="77"/>
        <v>59946</v>
      </c>
      <c r="N152" s="47">
        <f t="shared" si="78"/>
        <v>29.342143906020556</v>
      </c>
      <c r="O152" s="44">
        <f t="shared" si="79"/>
        <v>2043</v>
      </c>
      <c r="P152" s="46">
        <f t="shared" si="80"/>
        <v>453293.5</v>
      </c>
      <c r="Q152" s="55">
        <f t="shared" si="81"/>
        <v>221.87640724424867</v>
      </c>
      <c r="R152" s="44">
        <v>263101</v>
      </c>
      <c r="S152" s="88">
        <f t="shared" si="82"/>
        <v>920853.5</v>
      </c>
      <c r="T152" s="117">
        <f>30917+26310</f>
        <v>57227</v>
      </c>
      <c r="U152" s="118"/>
      <c r="V152" s="44">
        <f t="shared" si="74"/>
        <v>978080.5</v>
      </c>
      <c r="W152" s="49">
        <f t="shared" si="75"/>
        <v>265144</v>
      </c>
      <c r="X152" s="50">
        <f t="shared" si="76"/>
        <v>1374147</v>
      </c>
      <c r="Y152" s="47">
        <f t="shared" si="85"/>
        <v>5.1826441480855685</v>
      </c>
    </row>
    <row r="153" spans="1:25" x14ac:dyDescent="0.25">
      <c r="A153" s="1" t="s">
        <v>18</v>
      </c>
      <c r="B153" s="44">
        <v>886</v>
      </c>
      <c r="C153" s="45">
        <f t="shared" si="83"/>
        <v>4873</v>
      </c>
      <c r="D153" s="44">
        <v>1035</v>
      </c>
      <c r="E153" s="44">
        <f t="shared" si="86"/>
        <v>310500</v>
      </c>
      <c r="F153" s="44">
        <f>2000+205773+12551+4762+26014</f>
        <v>251100</v>
      </c>
      <c r="G153" s="44">
        <v>243</v>
      </c>
      <c r="H153" s="46">
        <f t="shared" si="87"/>
        <v>566230</v>
      </c>
      <c r="I153" s="58">
        <f t="shared" si="84"/>
        <v>639.08577878103836</v>
      </c>
      <c r="J153" s="48">
        <v>11045</v>
      </c>
      <c r="K153" s="48">
        <v>4080</v>
      </c>
      <c r="L153" s="44">
        <v>64.510000000000005</v>
      </c>
      <c r="M153" s="46">
        <f t="shared" si="77"/>
        <v>263200.80000000005</v>
      </c>
      <c r="N153" s="47">
        <f t="shared" si="78"/>
        <v>23.829859665006794</v>
      </c>
      <c r="O153" s="44">
        <f t="shared" si="79"/>
        <v>11931</v>
      </c>
      <c r="P153" s="46">
        <f t="shared" si="80"/>
        <v>829430.8</v>
      </c>
      <c r="Q153" s="32">
        <f t="shared" si="81"/>
        <v>69.518967395859534</v>
      </c>
      <c r="R153" s="44">
        <v>260138</v>
      </c>
      <c r="S153" s="88">
        <f t="shared" si="82"/>
        <v>910483</v>
      </c>
      <c r="T153" s="117">
        <f>4762+182193+26014</f>
        <v>212969</v>
      </c>
      <c r="U153" s="118"/>
      <c r="V153" s="44">
        <f t="shared" si="74"/>
        <v>1123452</v>
      </c>
      <c r="W153" s="49">
        <f t="shared" si="75"/>
        <v>272069</v>
      </c>
      <c r="X153" s="50">
        <f t="shared" si="76"/>
        <v>1739913.8</v>
      </c>
      <c r="Y153" s="47">
        <f t="shared" si="85"/>
        <v>6.3951196203904157</v>
      </c>
    </row>
    <row r="154" spans="1:25" x14ac:dyDescent="0.25">
      <c r="A154" s="1" t="s">
        <v>19</v>
      </c>
      <c r="B154" s="44">
        <v>82137</v>
      </c>
      <c r="C154" s="45">
        <f t="shared" si="83"/>
        <v>451753.5</v>
      </c>
      <c r="D154" s="44">
        <v>1005.72</v>
      </c>
      <c r="E154" s="44">
        <f t="shared" si="86"/>
        <v>301716</v>
      </c>
      <c r="F154" s="44">
        <f>2000+4929+101147+31706+4995+14992</f>
        <v>159769</v>
      </c>
      <c r="G154" s="44">
        <f>6286+1</f>
        <v>6287</v>
      </c>
      <c r="H154" s="46">
        <f t="shared" si="87"/>
        <v>906951.5</v>
      </c>
      <c r="I154" s="47">
        <f t="shared" si="84"/>
        <v>11.041936033699795</v>
      </c>
      <c r="J154" s="48">
        <v>8638</v>
      </c>
      <c r="K154" s="48">
        <v>3255</v>
      </c>
      <c r="L154" s="44">
        <v>64.5</v>
      </c>
      <c r="M154" s="46">
        <f t="shared" si="77"/>
        <v>209947.5</v>
      </c>
      <c r="N154" s="47">
        <f t="shared" si="78"/>
        <v>24.305105348460291</v>
      </c>
      <c r="O154" s="44">
        <f t="shared" si="79"/>
        <v>90775</v>
      </c>
      <c r="P154" s="46">
        <f t="shared" si="80"/>
        <v>1116899</v>
      </c>
      <c r="Q154" s="47">
        <f t="shared" si="81"/>
        <v>12.304037455246489</v>
      </c>
      <c r="R154" s="44">
        <v>149915</v>
      </c>
      <c r="S154" s="88">
        <f t="shared" si="82"/>
        <v>524702.5</v>
      </c>
      <c r="T154" s="117">
        <f>4929+75536+4995+14992</f>
        <v>100452</v>
      </c>
      <c r="U154" s="118"/>
      <c r="V154" s="44">
        <f t="shared" si="74"/>
        <v>625154.5</v>
      </c>
      <c r="W154" s="49">
        <f t="shared" si="75"/>
        <v>240690</v>
      </c>
      <c r="X154" s="50">
        <f t="shared" si="76"/>
        <v>1641601.5</v>
      </c>
      <c r="Y154" s="47">
        <f t="shared" si="85"/>
        <v>6.8203976068802197</v>
      </c>
    </row>
    <row r="155" spans="1:25" x14ac:dyDescent="0.25">
      <c r="A155" s="1" t="s">
        <v>20</v>
      </c>
      <c r="B155" s="44">
        <v>98509</v>
      </c>
      <c r="C155" s="45">
        <f t="shared" si="83"/>
        <v>541799.5</v>
      </c>
      <c r="D155" s="44">
        <v>815.4</v>
      </c>
      <c r="E155" s="44">
        <f t="shared" si="86"/>
        <v>244620</v>
      </c>
      <c r="F155" s="46">
        <f>2000+47333.4+36989+36495+3058+3935</f>
        <v>129810.4</v>
      </c>
      <c r="G155" s="46">
        <v>9144.2999999999993</v>
      </c>
      <c r="H155" s="46">
        <f t="shared" si="87"/>
        <v>907085.6</v>
      </c>
      <c r="I155" s="47">
        <f t="shared" si="84"/>
        <v>9.2081495091819026</v>
      </c>
      <c r="J155" s="44">
        <v>50022</v>
      </c>
      <c r="K155" s="44">
        <v>17040</v>
      </c>
      <c r="L155" s="44">
        <v>64.5</v>
      </c>
      <c r="M155" s="46">
        <f t="shared" si="77"/>
        <v>1099080</v>
      </c>
      <c r="N155" s="47">
        <f t="shared" si="78"/>
        <v>21.971932349766103</v>
      </c>
      <c r="O155" s="44">
        <f t="shared" si="79"/>
        <v>148531</v>
      </c>
      <c r="P155" s="46">
        <f t="shared" si="80"/>
        <v>2006165.6</v>
      </c>
      <c r="Q155" s="47">
        <f t="shared" si="81"/>
        <v>13.506713076731458</v>
      </c>
      <c r="R155" s="44">
        <v>39353</v>
      </c>
      <c r="S155" s="88">
        <f t="shared" si="82"/>
        <v>137735.5</v>
      </c>
      <c r="T155" s="117">
        <f>3058+3935+36989</f>
        <v>43982</v>
      </c>
      <c r="U155" s="118"/>
      <c r="V155" s="44">
        <f t="shared" si="74"/>
        <v>181717.5</v>
      </c>
      <c r="W155" s="49">
        <f t="shared" si="75"/>
        <v>187884</v>
      </c>
      <c r="X155" s="50">
        <f t="shared" si="76"/>
        <v>2143901.1</v>
      </c>
      <c r="Y155" s="47">
        <f t="shared" si="85"/>
        <v>11.410769943156415</v>
      </c>
    </row>
    <row r="156" spans="1:25" x14ac:dyDescent="0.25">
      <c r="A156" s="1" t="s">
        <v>21</v>
      </c>
      <c r="B156" s="44">
        <v>185700</v>
      </c>
      <c r="C156" s="45">
        <f t="shared" si="83"/>
        <v>1021350</v>
      </c>
      <c r="D156" s="44">
        <v>815.4</v>
      </c>
      <c r="E156" s="44">
        <f t="shared" si="86"/>
        <v>244620</v>
      </c>
      <c r="F156" s="44">
        <f>2000+22628+60765+2195</f>
        <v>87588</v>
      </c>
      <c r="G156" s="44">
        <v>19082</v>
      </c>
      <c r="H156" s="46">
        <f t="shared" si="87"/>
        <v>1334476</v>
      </c>
      <c r="I156" s="47">
        <f t="shared" si="84"/>
        <v>7.1861927840603119</v>
      </c>
      <c r="J156" s="1">
        <v>48808</v>
      </c>
      <c r="K156" s="1">
        <v>16645</v>
      </c>
      <c r="L156" s="44">
        <v>64.5</v>
      </c>
      <c r="M156" s="46">
        <f t="shared" si="77"/>
        <v>1073602.5</v>
      </c>
      <c r="N156" s="47">
        <f t="shared" si="78"/>
        <v>21.996445254876249</v>
      </c>
      <c r="O156" s="44">
        <f t="shared" si="79"/>
        <v>234508</v>
      </c>
      <c r="P156" s="46">
        <f t="shared" si="80"/>
        <v>2408078.5</v>
      </c>
      <c r="Q156" s="47">
        <f t="shared" si="81"/>
        <v>10.268641155099186</v>
      </c>
      <c r="R156" s="44">
        <v>21945</v>
      </c>
      <c r="S156" s="88">
        <f t="shared" si="82"/>
        <v>76807.5</v>
      </c>
      <c r="T156" s="117">
        <v>2195</v>
      </c>
      <c r="U156" s="118"/>
      <c r="V156" s="44">
        <f t="shared" si="74"/>
        <v>79002.5</v>
      </c>
      <c r="W156" s="49">
        <f t="shared" si="75"/>
        <v>256453</v>
      </c>
      <c r="X156" s="50">
        <f t="shared" si="76"/>
        <v>2484886</v>
      </c>
      <c r="Y156" s="47">
        <f t="shared" si="85"/>
        <v>9.689440170323607</v>
      </c>
    </row>
    <row r="157" spans="1:25" x14ac:dyDescent="0.25">
      <c r="A157" s="1" t="s">
        <v>22</v>
      </c>
      <c r="B157" s="63">
        <v>192801</v>
      </c>
      <c r="C157" s="64">
        <v>1151950.5</v>
      </c>
      <c r="D157" s="63">
        <v>919.5</v>
      </c>
      <c r="E157" s="63">
        <v>299628.27</v>
      </c>
      <c r="F157" s="63">
        <f>2000+195+17170+72579+1885</f>
        <v>93829</v>
      </c>
      <c r="G157" s="63">
        <v>22560</v>
      </c>
      <c r="H157" s="65">
        <f t="shared" si="87"/>
        <v>1522847.77</v>
      </c>
      <c r="I157" s="66">
        <f t="shared" si="84"/>
        <v>7.8985470511045071</v>
      </c>
      <c r="J157" s="1">
        <v>57204</v>
      </c>
      <c r="K157" s="1">
        <v>19250</v>
      </c>
      <c r="L157" s="44">
        <v>53</v>
      </c>
      <c r="M157" s="46">
        <f t="shared" si="77"/>
        <v>1020250</v>
      </c>
      <c r="N157" s="47">
        <f t="shared" si="78"/>
        <v>17.835291238374939</v>
      </c>
      <c r="O157" s="44">
        <f t="shared" si="79"/>
        <v>250005</v>
      </c>
      <c r="P157" s="46">
        <f t="shared" ref="P157:P161" si="88">M157+H157</f>
        <v>2543097.77</v>
      </c>
      <c r="Q157" s="47">
        <f t="shared" si="81"/>
        <v>10.172187636247275</v>
      </c>
      <c r="R157" s="44">
        <v>18849</v>
      </c>
      <c r="S157" s="88">
        <f t="shared" si="82"/>
        <v>65971.5</v>
      </c>
      <c r="T157" s="117">
        <f>195+17170+1885</f>
        <v>19250</v>
      </c>
      <c r="U157" s="118"/>
      <c r="V157" s="44">
        <f t="shared" si="74"/>
        <v>85221.5</v>
      </c>
      <c r="W157" s="49">
        <f t="shared" si="75"/>
        <v>268854</v>
      </c>
      <c r="X157" s="50">
        <f t="shared" si="76"/>
        <v>2609069.27</v>
      </c>
      <c r="Y157" s="47">
        <f t="shared" si="85"/>
        <v>9.7044093448488766</v>
      </c>
    </row>
    <row r="158" spans="1:25" x14ac:dyDescent="0.25">
      <c r="A158" s="1" t="s">
        <v>23</v>
      </c>
      <c r="B158" s="44">
        <v>181757</v>
      </c>
      <c r="C158" s="45">
        <f>B158*6.35</f>
        <v>1154156.95</v>
      </c>
      <c r="D158" s="44">
        <v>897</v>
      </c>
      <c r="E158" s="44">
        <f>D158*350</f>
        <v>313950</v>
      </c>
      <c r="F158" s="44">
        <f>2000+30438+73405+3025</f>
        <v>108868</v>
      </c>
      <c r="G158" s="44">
        <f>20555</f>
        <v>20555</v>
      </c>
      <c r="H158" s="46">
        <f t="shared" si="87"/>
        <v>1556419.95</v>
      </c>
      <c r="I158" s="47">
        <f t="shared" si="84"/>
        <v>8.5631912388518732</v>
      </c>
      <c r="J158" s="48">
        <v>59000</v>
      </c>
      <c r="K158" s="48">
        <v>19482</v>
      </c>
      <c r="L158" s="44">
        <v>53</v>
      </c>
      <c r="M158" s="46">
        <f t="shared" si="77"/>
        <v>1032546</v>
      </c>
      <c r="N158" s="47">
        <f t="shared" si="78"/>
        <v>17.500779661016949</v>
      </c>
      <c r="O158" s="44">
        <f t="shared" ref="O158:O160" si="89">J158+B158</f>
        <v>240757</v>
      </c>
      <c r="P158" s="46">
        <f t="shared" si="88"/>
        <v>2588965.9500000002</v>
      </c>
      <c r="Q158" s="47">
        <f t="shared" si="81"/>
        <v>10.753439983053452</v>
      </c>
      <c r="R158" s="44">
        <v>30253</v>
      </c>
      <c r="S158" s="88">
        <f t="shared" si="82"/>
        <v>105885.5</v>
      </c>
      <c r="T158" s="117">
        <f>28438+3025</f>
        <v>31463</v>
      </c>
      <c r="U158" s="118"/>
      <c r="V158" s="44">
        <f t="shared" si="74"/>
        <v>137348.5</v>
      </c>
      <c r="W158" s="49">
        <f t="shared" si="75"/>
        <v>271010</v>
      </c>
      <c r="X158" s="50">
        <f t="shared" si="76"/>
        <v>2694851.45</v>
      </c>
      <c r="Y158" s="47">
        <f t="shared" si="85"/>
        <v>9.9437343640456071</v>
      </c>
    </row>
    <row r="159" spans="1:25" x14ac:dyDescent="0.25">
      <c r="A159" s="1" t="s">
        <v>24</v>
      </c>
      <c r="B159" s="44">
        <v>240990</v>
      </c>
      <c r="C159" s="45">
        <f t="shared" ref="C159:C160" si="90">B159*6.35</f>
        <v>1530286.5</v>
      </c>
      <c r="D159" s="44">
        <v>924</v>
      </c>
      <c r="E159" s="44">
        <f>D159*350</f>
        <v>323400</v>
      </c>
      <c r="F159" s="46">
        <f>24574.5+2000+12600+4000+93913</f>
        <v>137087.5</v>
      </c>
      <c r="G159" s="46">
        <v>24584</v>
      </c>
      <c r="H159" s="46">
        <f t="shared" si="87"/>
        <v>1966190</v>
      </c>
      <c r="I159" s="47">
        <f t="shared" si="84"/>
        <v>8.1588032698452224</v>
      </c>
      <c r="J159">
        <v>52656</v>
      </c>
      <c r="K159">
        <v>17653</v>
      </c>
      <c r="L159" s="44">
        <v>53</v>
      </c>
      <c r="M159" s="46">
        <f t="shared" si="77"/>
        <v>935609</v>
      </c>
      <c r="N159" s="47">
        <f t="shared" si="78"/>
        <v>17.768326496505622</v>
      </c>
      <c r="O159" s="44">
        <f t="shared" si="89"/>
        <v>293646</v>
      </c>
      <c r="P159" s="46">
        <f t="shared" si="88"/>
        <v>2901799</v>
      </c>
      <c r="Q159" s="47">
        <f t="shared" si="81"/>
        <v>9.8819633163741383</v>
      </c>
      <c r="R159" s="44">
        <v>0</v>
      </c>
      <c r="S159" s="88">
        <f t="shared" si="82"/>
        <v>0</v>
      </c>
      <c r="T159" s="117">
        <v>0</v>
      </c>
      <c r="U159" s="118"/>
      <c r="V159" s="44">
        <f t="shared" si="74"/>
        <v>0</v>
      </c>
      <c r="W159" s="49">
        <f t="shared" si="75"/>
        <v>293646</v>
      </c>
      <c r="X159" s="50">
        <f t="shared" si="76"/>
        <v>2901799</v>
      </c>
      <c r="Y159" s="47">
        <f t="shared" si="85"/>
        <v>9.8819633163741383</v>
      </c>
    </row>
    <row r="160" spans="1:25" x14ac:dyDescent="0.25">
      <c r="A160" s="1" t="s">
        <v>25</v>
      </c>
      <c r="B160" s="44">
        <v>204458</v>
      </c>
      <c r="C160" s="45">
        <f t="shared" si="90"/>
        <v>1298308.2999999998</v>
      </c>
      <c r="D160" s="44">
        <v>815.4</v>
      </c>
      <c r="E160" s="44">
        <f>D160*350</f>
        <v>285390</v>
      </c>
      <c r="F160" s="44">
        <f>17213+2000+79977+288+368</f>
        <v>99846</v>
      </c>
      <c r="G160" s="44">
        <v>21084</v>
      </c>
      <c r="H160" s="46">
        <f t="shared" si="87"/>
        <v>1662460.2999999998</v>
      </c>
      <c r="I160" s="47">
        <f t="shared" si="84"/>
        <v>8.1310601688366297</v>
      </c>
      <c r="J160">
        <v>56732</v>
      </c>
      <c r="K160">
        <v>18990</v>
      </c>
      <c r="L160" s="44">
        <v>53</v>
      </c>
      <c r="M160" s="46">
        <f t="shared" si="77"/>
        <v>1006470</v>
      </c>
      <c r="N160" s="47">
        <f t="shared" si="78"/>
        <v>17.74078121694987</v>
      </c>
      <c r="O160" s="44">
        <f t="shared" si="89"/>
        <v>261190</v>
      </c>
      <c r="P160" s="46">
        <f t="shared" si="88"/>
        <v>2668930.2999999998</v>
      </c>
      <c r="Q160" s="47">
        <f t="shared" si="81"/>
        <v>10.218347945939737</v>
      </c>
      <c r="R160" s="44">
        <v>3682</v>
      </c>
      <c r="S160" s="88">
        <f t="shared" si="82"/>
        <v>12887</v>
      </c>
      <c r="T160" s="117">
        <f>288+368</f>
        <v>656</v>
      </c>
      <c r="U160" s="118"/>
      <c r="V160" s="44">
        <f t="shared" si="74"/>
        <v>13543</v>
      </c>
      <c r="W160" s="49">
        <f t="shared" si="75"/>
        <v>264872</v>
      </c>
      <c r="X160" s="50">
        <f t="shared" si="76"/>
        <v>2681817.2999999998</v>
      </c>
      <c r="Y160" s="47">
        <f t="shared" si="85"/>
        <v>10.124955827720559</v>
      </c>
    </row>
    <row r="161" spans="1:25" x14ac:dyDescent="0.25">
      <c r="A161" s="4" t="s">
        <v>28</v>
      </c>
      <c r="B161" s="48">
        <f>SUM(B149:B160)</f>
        <v>1500104</v>
      </c>
      <c r="C161" s="62">
        <f>SUM(C149:C160)</f>
        <v>8875241.25</v>
      </c>
      <c r="D161" s="48"/>
      <c r="E161" s="48">
        <f>SUM(E149:E160)</f>
        <v>3425565.27</v>
      </c>
      <c r="F161" s="59">
        <f>SUM(F149:F160)</f>
        <v>1489681.4</v>
      </c>
      <c r="G161" s="59">
        <f>SUM(G149:G160)</f>
        <v>164567.43</v>
      </c>
      <c r="H161" s="59">
        <f>SUM(H149:H160)</f>
        <v>13625920.489999998</v>
      </c>
      <c r="I161" s="61"/>
      <c r="J161" s="48">
        <f>SUM(J149:J160)</f>
        <v>491404</v>
      </c>
      <c r="K161" s="48">
        <f>SUM(K149:K160)</f>
        <v>167255</v>
      </c>
      <c r="L161" s="48"/>
      <c r="M161" s="59">
        <f>SUM(M149:M160)</f>
        <v>9600757.8000000007</v>
      </c>
      <c r="N161" s="61"/>
      <c r="O161" s="48">
        <f>SUM(O149:O160)</f>
        <v>1991508</v>
      </c>
      <c r="P161" s="59">
        <f t="shared" si="88"/>
        <v>23226678.289999999</v>
      </c>
      <c r="Q161" s="61">
        <f t="shared" si="81"/>
        <v>11.662859647061422</v>
      </c>
      <c r="R161" s="48">
        <f>SUM(R149:R160)</f>
        <v>1025744</v>
      </c>
      <c r="S161" s="93">
        <f>SUM(S149:S160)</f>
        <v>3590104</v>
      </c>
      <c r="T161" s="119">
        <f>SUM(T149:T160)</f>
        <v>541726</v>
      </c>
      <c r="U161" s="120"/>
      <c r="V161" s="48">
        <f t="shared" si="74"/>
        <v>4131830</v>
      </c>
      <c r="W161" s="60">
        <f>SUM(W149:W160)</f>
        <v>3017252</v>
      </c>
      <c r="X161" s="57">
        <f>SUM(X149:X160)</f>
        <v>26816782.289999999</v>
      </c>
      <c r="Y161" s="61">
        <f t="shared" si="85"/>
        <v>8.8878165595714247</v>
      </c>
    </row>
    <row r="163" spans="1:25" x14ac:dyDescent="0.25">
      <c r="A163" t="s">
        <v>68</v>
      </c>
      <c r="B163" t="s">
        <v>69</v>
      </c>
    </row>
    <row r="165" spans="1:25" x14ac:dyDescent="0.25">
      <c r="B165" s="24"/>
      <c r="D165" t="s">
        <v>71</v>
      </c>
    </row>
    <row r="167" spans="1:25" x14ac:dyDescent="0.25">
      <c r="B167" s="67"/>
      <c r="D167" t="s">
        <v>72</v>
      </c>
    </row>
    <row r="171" spans="1:25" ht="18.75" x14ac:dyDescent="0.25">
      <c r="A171" s="125" t="s">
        <v>73</v>
      </c>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row>
    <row r="173" spans="1:25" ht="75" customHeight="1" x14ac:dyDescent="0.25">
      <c r="A173" s="69" t="s">
        <v>37</v>
      </c>
      <c r="B173" s="69" t="s">
        <v>13</v>
      </c>
      <c r="C173" s="69" t="s">
        <v>2</v>
      </c>
      <c r="D173" s="69" t="s">
        <v>70</v>
      </c>
      <c r="E173" s="69" t="s">
        <v>3</v>
      </c>
      <c r="F173" s="69" t="s">
        <v>4</v>
      </c>
      <c r="G173" s="69" t="s">
        <v>35</v>
      </c>
      <c r="H173" s="69" t="s">
        <v>6</v>
      </c>
      <c r="I173" s="69" t="s">
        <v>7</v>
      </c>
      <c r="J173" s="69" t="s">
        <v>8</v>
      </c>
      <c r="K173" s="69" t="s">
        <v>9</v>
      </c>
      <c r="L173" s="69" t="s">
        <v>32</v>
      </c>
      <c r="M173" s="69" t="s">
        <v>10</v>
      </c>
      <c r="N173" s="69" t="s">
        <v>39</v>
      </c>
      <c r="O173" s="69" t="s">
        <v>33</v>
      </c>
      <c r="P173" s="69" t="s">
        <v>51</v>
      </c>
      <c r="Q173" s="70" t="s">
        <v>31</v>
      </c>
      <c r="R173" s="70" t="s">
        <v>50</v>
      </c>
      <c r="S173" s="87" t="s">
        <v>46</v>
      </c>
      <c r="T173" s="126" t="s">
        <v>48</v>
      </c>
      <c r="U173" s="127"/>
      <c r="V173" s="70" t="s">
        <v>49</v>
      </c>
      <c r="W173" s="69" t="s">
        <v>54</v>
      </c>
      <c r="X173" s="70" t="s">
        <v>52</v>
      </c>
      <c r="Y173" s="70" t="s">
        <v>53</v>
      </c>
    </row>
    <row r="174" spans="1:25" x14ac:dyDescent="0.25">
      <c r="A174" s="68" t="s">
        <v>14</v>
      </c>
      <c r="B174" s="72">
        <v>197895</v>
      </c>
      <c r="C174" s="73">
        <f t="shared" ref="C174:C175" si="91">B174*6.35</f>
        <v>1256633.25</v>
      </c>
      <c r="D174" s="72">
        <v>871.5</v>
      </c>
      <c r="E174" s="72">
        <f t="shared" ref="E174:E175" si="92">D174*350</f>
        <v>305025</v>
      </c>
      <c r="F174" s="72">
        <v>106903</v>
      </c>
      <c r="G174" s="72">
        <v>22607</v>
      </c>
      <c r="H174" s="74">
        <f t="shared" ref="H174:H185" si="93">C174+E174+F174-G174</f>
        <v>1645954.25</v>
      </c>
      <c r="I174" s="75">
        <v>8.3173109477248044</v>
      </c>
      <c r="J174" s="68">
        <v>45648</v>
      </c>
      <c r="K174" s="68">
        <v>16135</v>
      </c>
      <c r="L174" s="72">
        <v>49</v>
      </c>
      <c r="M174" s="74">
        <f t="shared" ref="M174:M185" si="94">K174*L174</f>
        <v>790615</v>
      </c>
      <c r="N174" s="75">
        <f t="shared" ref="N174:N185" si="95">M174/J174</f>
        <v>17.319816859446195</v>
      </c>
      <c r="O174" s="72">
        <f t="shared" ref="O174:O184" si="96">J174+B174</f>
        <v>243543</v>
      </c>
      <c r="P174" s="74">
        <f t="shared" ref="P174:P184" si="97">M174+H174</f>
        <v>2436569.25</v>
      </c>
      <c r="Q174" s="75">
        <f t="shared" ref="Q174:Q184" si="98">P174/O174</f>
        <v>10.00467781870142</v>
      </c>
      <c r="R174" s="72">
        <v>0</v>
      </c>
      <c r="S174" s="88">
        <v>0</v>
      </c>
      <c r="T174" s="117">
        <v>0</v>
      </c>
      <c r="U174" s="118"/>
      <c r="V174" s="72">
        <v>0</v>
      </c>
      <c r="W174" s="77">
        <f t="shared" ref="W174:W185" si="99">R174+O174</f>
        <v>243543</v>
      </c>
      <c r="X174" s="78">
        <f t="shared" ref="X174:X185" si="100">S174+P174</f>
        <v>2436569.25</v>
      </c>
      <c r="Y174" s="75">
        <v>10.269682355887872</v>
      </c>
    </row>
    <row r="175" spans="1:25" x14ac:dyDescent="0.25">
      <c r="A175" s="68" t="s">
        <v>15</v>
      </c>
      <c r="B175" s="72">
        <v>169695</v>
      </c>
      <c r="C175" s="73">
        <f t="shared" si="91"/>
        <v>1077563.25</v>
      </c>
      <c r="D175" s="75">
        <v>815.4</v>
      </c>
      <c r="E175" s="72">
        <f t="shared" si="92"/>
        <v>285390</v>
      </c>
      <c r="F175" s="74">
        <v>91464</v>
      </c>
      <c r="G175" s="72">
        <v>24419</v>
      </c>
      <c r="H175" s="74">
        <f t="shared" si="93"/>
        <v>1429998.25</v>
      </c>
      <c r="I175" s="75">
        <v>8.4268732137069442</v>
      </c>
      <c r="J175" s="68">
        <v>52944</v>
      </c>
      <c r="K175" s="68">
        <v>18310</v>
      </c>
      <c r="L175" s="72">
        <v>52</v>
      </c>
      <c r="M175" s="74">
        <f t="shared" si="94"/>
        <v>952120</v>
      </c>
      <c r="N175" s="75">
        <f t="shared" si="95"/>
        <v>17.983529767301299</v>
      </c>
      <c r="O175" s="72">
        <f t="shared" si="96"/>
        <v>222639</v>
      </c>
      <c r="P175" s="74">
        <f t="shared" si="97"/>
        <v>2382118.25</v>
      </c>
      <c r="Q175" s="75">
        <f t="shared" si="98"/>
        <v>10.699465277871353</v>
      </c>
      <c r="R175" s="72">
        <v>0</v>
      </c>
      <c r="S175" s="91">
        <v>0</v>
      </c>
      <c r="T175" s="117">
        <v>0</v>
      </c>
      <c r="U175" s="118"/>
      <c r="V175" s="72">
        <v>0</v>
      </c>
      <c r="W175" s="77">
        <f t="shared" si="99"/>
        <v>222639</v>
      </c>
      <c r="X175" s="78">
        <f t="shared" si="100"/>
        <v>2382118.25</v>
      </c>
      <c r="Y175" s="75">
        <v>10.781706035330737</v>
      </c>
    </row>
    <row r="176" spans="1:25" x14ac:dyDescent="0.25">
      <c r="A176" s="68" t="s">
        <v>16</v>
      </c>
      <c r="B176" s="72">
        <v>188632</v>
      </c>
      <c r="C176" s="73">
        <f t="shared" ref="C176:C185" si="101">B176*6.35</f>
        <v>1197813.2</v>
      </c>
      <c r="D176" s="72">
        <v>978.33</v>
      </c>
      <c r="E176" s="72">
        <f t="shared" ref="E176:E185" si="102">D176*350</f>
        <v>342415.5</v>
      </c>
      <c r="F176" s="74">
        <f>6394+2000+69923+76012+7821+10013</f>
        <v>172163</v>
      </c>
      <c r="G176" s="72">
        <v>22154</v>
      </c>
      <c r="H176" s="74">
        <f t="shared" si="93"/>
        <v>1690237.7</v>
      </c>
      <c r="I176" s="75">
        <f t="shared" ref="I176:I185" si="103">H176/B176</f>
        <v>8.9605035200814278</v>
      </c>
      <c r="J176" s="84">
        <v>10568</v>
      </c>
      <c r="K176" s="84">
        <v>3945</v>
      </c>
      <c r="L176" s="72">
        <v>55</v>
      </c>
      <c r="M176" s="74">
        <f t="shared" si="94"/>
        <v>216975</v>
      </c>
      <c r="N176" s="75">
        <f t="shared" si="95"/>
        <v>20.531320968962905</v>
      </c>
      <c r="O176" s="72">
        <f t="shared" si="96"/>
        <v>199200</v>
      </c>
      <c r="P176" s="74">
        <f t="shared" si="97"/>
        <v>1907212.7</v>
      </c>
      <c r="Q176" s="75">
        <f t="shared" si="98"/>
        <v>9.5743609437750994</v>
      </c>
      <c r="R176" s="72">
        <v>100133</v>
      </c>
      <c r="S176" s="89">
        <f>R176*4.5</f>
        <v>450598.5</v>
      </c>
      <c r="T176" s="117">
        <f>7821+10013</f>
        <v>17834</v>
      </c>
      <c r="U176" s="118"/>
      <c r="V176" s="72">
        <f t="shared" ref="V176:V182" si="104">S176+T176</f>
        <v>468432.5</v>
      </c>
      <c r="W176" s="77">
        <f t="shared" si="99"/>
        <v>299333</v>
      </c>
      <c r="X176" s="78">
        <f t="shared" si="100"/>
        <v>2357811.2000000002</v>
      </c>
      <c r="Y176" s="75">
        <f t="shared" ref="Y176" si="105">X176/W176</f>
        <v>7.8768836045474444</v>
      </c>
    </row>
    <row r="177" spans="1:25" x14ac:dyDescent="0.25">
      <c r="A177" s="68" t="s">
        <v>17</v>
      </c>
      <c r="B177" s="72">
        <v>0</v>
      </c>
      <c r="C177" s="73">
        <f t="shared" si="101"/>
        <v>0</v>
      </c>
      <c r="D177" s="72">
        <v>1035</v>
      </c>
      <c r="E177" s="72">
        <f t="shared" si="102"/>
        <v>362250</v>
      </c>
      <c r="F177" s="72">
        <f>2000+1930+16931+31072+32568</f>
        <v>84501</v>
      </c>
      <c r="G177" s="72">
        <v>0</v>
      </c>
      <c r="H177" s="74">
        <f t="shared" si="93"/>
        <v>446751</v>
      </c>
      <c r="I177" s="75" t="e">
        <f t="shared" si="103"/>
        <v>#DIV/0!</v>
      </c>
      <c r="J177" s="68">
        <v>5516</v>
      </c>
      <c r="K177" s="68">
        <v>2100</v>
      </c>
      <c r="L177" s="72">
        <v>46</v>
      </c>
      <c r="M177" s="74">
        <f t="shared" si="94"/>
        <v>96600</v>
      </c>
      <c r="N177" s="75">
        <f t="shared" si="95"/>
        <v>17.512690355329948</v>
      </c>
      <c r="O177" s="72">
        <f t="shared" si="96"/>
        <v>5516</v>
      </c>
      <c r="P177" s="74">
        <f t="shared" si="97"/>
        <v>543351</v>
      </c>
      <c r="Q177" s="32">
        <f t="shared" si="98"/>
        <v>98.504532269760702</v>
      </c>
      <c r="R177" s="72">
        <v>325680</v>
      </c>
      <c r="S177" s="89">
        <f t="shared" ref="S177:S178" si="106">R177*4.5</f>
        <v>1465560</v>
      </c>
      <c r="T177" s="117">
        <f>1930+31072+32568</f>
        <v>65570</v>
      </c>
      <c r="U177" s="118"/>
      <c r="V177" s="72">
        <f t="shared" si="104"/>
        <v>1531130</v>
      </c>
      <c r="W177" s="77">
        <f t="shared" si="99"/>
        <v>331196</v>
      </c>
      <c r="X177" s="78">
        <f t="shared" si="100"/>
        <v>2008911</v>
      </c>
      <c r="Y177" s="75">
        <f t="shared" ref="Y177" si="107">X177/W177</f>
        <v>6.0656257925820363</v>
      </c>
    </row>
    <row r="178" spans="1:25" x14ac:dyDescent="0.25">
      <c r="A178" s="68" t="s">
        <v>18</v>
      </c>
      <c r="B178" s="72">
        <v>0</v>
      </c>
      <c r="C178" s="73">
        <v>0</v>
      </c>
      <c r="D178" s="72">
        <v>1035</v>
      </c>
      <c r="E178" s="72">
        <f t="shared" si="102"/>
        <v>362250</v>
      </c>
      <c r="F178" s="72">
        <f>2000+236+16286+28310+31621</f>
        <v>78453</v>
      </c>
      <c r="G178" s="72">
        <v>0</v>
      </c>
      <c r="H178" s="74">
        <f t="shared" si="93"/>
        <v>440703</v>
      </c>
      <c r="I178" s="75" t="e">
        <f t="shared" si="103"/>
        <v>#DIV/0!</v>
      </c>
      <c r="J178" s="84">
        <v>13056</v>
      </c>
      <c r="K178" s="84">
        <v>4490</v>
      </c>
      <c r="L178" s="72">
        <v>45</v>
      </c>
      <c r="M178" s="74">
        <f t="shared" si="94"/>
        <v>202050</v>
      </c>
      <c r="N178" s="75">
        <f t="shared" si="95"/>
        <v>15.475643382352942</v>
      </c>
      <c r="O178" s="72">
        <f t="shared" si="96"/>
        <v>13056</v>
      </c>
      <c r="P178" s="74">
        <f t="shared" si="97"/>
        <v>642753</v>
      </c>
      <c r="Q178" s="32">
        <f t="shared" si="98"/>
        <v>49.23046875</v>
      </c>
      <c r="R178" s="72">
        <v>316212</v>
      </c>
      <c r="S178" s="89">
        <f t="shared" si="106"/>
        <v>1422954</v>
      </c>
      <c r="T178" s="117">
        <f>236+28310+31621</f>
        <v>60167</v>
      </c>
      <c r="U178" s="118"/>
      <c r="V178" s="72">
        <f t="shared" si="104"/>
        <v>1483121</v>
      </c>
      <c r="W178" s="77">
        <f t="shared" si="99"/>
        <v>329268</v>
      </c>
      <c r="X178" s="78">
        <f t="shared" si="100"/>
        <v>2065707</v>
      </c>
      <c r="Y178" s="75">
        <f t="shared" ref="Y178:Y179" si="108">X178/W178</f>
        <v>6.2736342432304388</v>
      </c>
    </row>
    <row r="179" spans="1:25" x14ac:dyDescent="0.25">
      <c r="A179" s="68" t="s">
        <v>19</v>
      </c>
      <c r="B179" s="72">
        <v>73416</v>
      </c>
      <c r="C179" s="73">
        <f t="shared" si="101"/>
        <v>466191.6</v>
      </c>
      <c r="D179" s="72">
        <v>1035</v>
      </c>
      <c r="E179" s="72">
        <f t="shared" si="102"/>
        <v>362250</v>
      </c>
      <c r="F179" s="72">
        <f>2000+17755+40162+20248+26284</f>
        <v>106449</v>
      </c>
      <c r="G179" s="72">
        <v>0</v>
      </c>
      <c r="H179" s="74">
        <f t="shared" si="93"/>
        <v>934890.6</v>
      </c>
      <c r="I179" s="75">
        <f t="shared" si="103"/>
        <v>12.734153318077803</v>
      </c>
      <c r="J179" s="84">
        <v>8396</v>
      </c>
      <c r="K179" s="84">
        <v>3120</v>
      </c>
      <c r="L179" s="72">
        <v>44</v>
      </c>
      <c r="M179" s="74">
        <f t="shared" si="94"/>
        <v>137280</v>
      </c>
      <c r="N179" s="75">
        <f t="shared" si="95"/>
        <v>16.350643163411149</v>
      </c>
      <c r="O179" s="72">
        <f t="shared" si="96"/>
        <v>81812</v>
      </c>
      <c r="P179" s="74">
        <f t="shared" si="97"/>
        <v>1072170.6000000001</v>
      </c>
      <c r="Q179" s="75">
        <f t="shared" si="98"/>
        <v>13.105297511367526</v>
      </c>
      <c r="R179" s="72">
        <v>262842</v>
      </c>
      <c r="S179" s="89">
        <f t="shared" ref="S179" si="109">R179*4.5</f>
        <v>1182789</v>
      </c>
      <c r="T179" s="117">
        <f>20248+26284+17755</f>
        <v>64287</v>
      </c>
      <c r="U179" s="118"/>
      <c r="V179" s="72">
        <f t="shared" si="104"/>
        <v>1247076</v>
      </c>
      <c r="W179" s="77">
        <f t="shared" si="99"/>
        <v>344654</v>
      </c>
      <c r="X179" s="78">
        <f t="shared" si="100"/>
        <v>2254959.6</v>
      </c>
      <c r="Y179" s="75">
        <f t="shared" si="108"/>
        <v>6.5426764233114953</v>
      </c>
    </row>
    <row r="180" spans="1:25" x14ac:dyDescent="0.25">
      <c r="A180" s="68" t="s">
        <v>20</v>
      </c>
      <c r="B180" s="72">
        <v>100561</v>
      </c>
      <c r="C180" s="73">
        <f t="shared" si="101"/>
        <v>638562.35</v>
      </c>
      <c r="D180" s="72">
        <v>1083.5999999999999</v>
      </c>
      <c r="E180" s="72">
        <f t="shared" si="102"/>
        <v>379259.99999999994</v>
      </c>
      <c r="F180" s="74">
        <f>2000+45773+50891+11347+19185</f>
        <v>129196</v>
      </c>
      <c r="G180" s="74">
        <v>203</v>
      </c>
      <c r="H180" s="74">
        <f t="shared" si="93"/>
        <v>1146815.3499999999</v>
      </c>
      <c r="I180" s="75">
        <f t="shared" si="103"/>
        <v>11.404176072234762</v>
      </c>
      <c r="J180" s="72">
        <v>12332</v>
      </c>
      <c r="K180" s="72">
        <v>4560</v>
      </c>
      <c r="L180" s="72">
        <v>45</v>
      </c>
      <c r="M180" s="74">
        <f t="shared" si="94"/>
        <v>205200</v>
      </c>
      <c r="N180" s="75">
        <f t="shared" si="95"/>
        <v>16.639636717482972</v>
      </c>
      <c r="O180" s="72">
        <f t="shared" si="96"/>
        <v>112893</v>
      </c>
      <c r="P180" s="74">
        <f t="shared" si="97"/>
        <v>1352015.3499999999</v>
      </c>
      <c r="Q180" s="75">
        <f t="shared" si="98"/>
        <v>11.976077790474164</v>
      </c>
      <c r="R180" s="72">
        <v>191849</v>
      </c>
      <c r="S180" s="91">
        <f t="shared" ref="S180" si="110">R180*4.5</f>
        <v>863320.5</v>
      </c>
      <c r="T180" s="117">
        <f>43773+11347+19185</f>
        <v>74305</v>
      </c>
      <c r="U180" s="118"/>
      <c r="V180" s="72">
        <f t="shared" si="104"/>
        <v>937625.5</v>
      </c>
      <c r="W180" s="77">
        <f t="shared" si="99"/>
        <v>304742</v>
      </c>
      <c r="X180" s="78">
        <f t="shared" si="100"/>
        <v>2215335.8499999996</v>
      </c>
      <c r="Y180" s="75">
        <f t="shared" ref="Y180:Y186" si="111">X180/W180</f>
        <v>7.2695455500062334</v>
      </c>
    </row>
    <row r="181" spans="1:25" x14ac:dyDescent="0.25">
      <c r="A181" s="68" t="s">
        <v>21</v>
      </c>
      <c r="B181" s="72">
        <v>188936</v>
      </c>
      <c r="C181" s="73">
        <f t="shared" si="101"/>
        <v>1199743.5999999999</v>
      </c>
      <c r="D181" s="72">
        <v>1035</v>
      </c>
      <c r="E181" s="72">
        <f t="shared" si="102"/>
        <v>362250</v>
      </c>
      <c r="F181" s="72">
        <f>2000+40658+75926+910+5064</f>
        <v>124558</v>
      </c>
      <c r="G181" s="72">
        <v>23057</v>
      </c>
      <c r="H181" s="74">
        <f t="shared" si="93"/>
        <v>1663494.5999999999</v>
      </c>
      <c r="I181" s="75">
        <f t="shared" si="103"/>
        <v>8.8045401617478927</v>
      </c>
      <c r="J181" s="72">
        <v>21572</v>
      </c>
      <c r="K181" s="72">
        <v>8410</v>
      </c>
      <c r="L181" s="72">
        <v>45</v>
      </c>
      <c r="M181" s="74">
        <f t="shared" si="94"/>
        <v>378450</v>
      </c>
      <c r="N181" s="75">
        <f t="shared" si="95"/>
        <v>17.543575004635638</v>
      </c>
      <c r="O181" s="72">
        <f t="shared" si="96"/>
        <v>210508</v>
      </c>
      <c r="P181" s="74">
        <f t="shared" si="97"/>
        <v>2041944.5999999999</v>
      </c>
      <c r="Q181" s="75">
        <f t="shared" si="98"/>
        <v>9.7000807570258605</v>
      </c>
      <c r="R181" s="72">
        <v>50644</v>
      </c>
      <c r="S181" s="91">
        <f t="shared" ref="S181" si="112">R181*4.5</f>
        <v>227898</v>
      </c>
      <c r="T181" s="117">
        <f>38658+910+5064</f>
        <v>44632</v>
      </c>
      <c r="U181" s="118"/>
      <c r="V181" s="72">
        <f t="shared" si="104"/>
        <v>272530</v>
      </c>
      <c r="W181" s="77">
        <f t="shared" si="99"/>
        <v>261152</v>
      </c>
      <c r="X181" s="78">
        <f t="shared" si="100"/>
        <v>2269842.5999999996</v>
      </c>
      <c r="Y181" s="75">
        <f t="shared" si="111"/>
        <v>8.6916531368704799</v>
      </c>
    </row>
    <row r="182" spans="1:25" x14ac:dyDescent="0.25">
      <c r="A182" s="68" t="s">
        <v>22</v>
      </c>
      <c r="B182" s="72">
        <v>261237</v>
      </c>
      <c r="C182" s="73">
        <f t="shared" si="101"/>
        <v>1658854.95</v>
      </c>
      <c r="D182" s="72">
        <v>1035</v>
      </c>
      <c r="E182" s="72">
        <f t="shared" si="102"/>
        <v>362250</v>
      </c>
      <c r="F182" s="72">
        <f>39048+2000+31492+100834+2925</f>
        <v>176299</v>
      </c>
      <c r="G182" s="72">
        <v>24454</v>
      </c>
      <c r="H182" s="74">
        <f t="shared" si="93"/>
        <v>2172949.9500000002</v>
      </c>
      <c r="I182" s="75">
        <f t="shared" si="103"/>
        <v>8.317925676684391</v>
      </c>
      <c r="J182" s="72">
        <v>3088</v>
      </c>
      <c r="K182" s="72">
        <v>1250</v>
      </c>
      <c r="L182" s="72">
        <v>44.5</v>
      </c>
      <c r="M182" s="74">
        <f t="shared" si="94"/>
        <v>55625</v>
      </c>
      <c r="N182" s="75">
        <f t="shared" si="95"/>
        <v>18.01327720207254</v>
      </c>
      <c r="O182" s="72">
        <f t="shared" si="96"/>
        <v>264325</v>
      </c>
      <c r="P182" s="74">
        <f t="shared" si="97"/>
        <v>2228574.9500000002</v>
      </c>
      <c r="Q182" s="75">
        <f t="shared" si="98"/>
        <v>8.4311924713893891</v>
      </c>
      <c r="R182" s="72">
        <v>29247</v>
      </c>
      <c r="S182" s="92">
        <f t="shared" ref="S182" si="113">R182*4.5</f>
        <v>131611.5</v>
      </c>
      <c r="T182" s="117">
        <f>2925+27492</f>
        <v>30417</v>
      </c>
      <c r="U182" s="118"/>
      <c r="V182" s="72">
        <f t="shared" si="104"/>
        <v>162028.5</v>
      </c>
      <c r="W182" s="77">
        <f t="shared" si="99"/>
        <v>293572</v>
      </c>
      <c r="X182" s="78">
        <f t="shared" si="100"/>
        <v>2360186.4500000002</v>
      </c>
      <c r="Y182" s="75">
        <f t="shared" si="111"/>
        <v>8.0395489011213606</v>
      </c>
    </row>
    <row r="183" spans="1:25" x14ac:dyDescent="0.25">
      <c r="A183" s="68" t="s">
        <v>23</v>
      </c>
      <c r="B183" s="72">
        <v>308754</v>
      </c>
      <c r="C183" s="73">
        <f t="shared" si="101"/>
        <v>1960587.9</v>
      </c>
      <c r="D183" s="72">
        <v>1035</v>
      </c>
      <c r="E183" s="72">
        <f t="shared" si="102"/>
        <v>362250</v>
      </c>
      <c r="F183" s="74">
        <f>81015.84+2000+117924.7</f>
        <v>200940.53999999998</v>
      </c>
      <c r="G183" s="74">
        <v>28494.99</v>
      </c>
      <c r="H183" s="74">
        <f t="shared" si="93"/>
        <v>2495283.4499999997</v>
      </c>
      <c r="I183" s="75">
        <f t="shared" si="103"/>
        <v>8.081785013311567</v>
      </c>
      <c r="J183" s="84">
        <v>2980</v>
      </c>
      <c r="K183" s="84">
        <v>1000</v>
      </c>
      <c r="L183" s="72">
        <v>46.19</v>
      </c>
      <c r="M183" s="74">
        <f t="shared" si="94"/>
        <v>46190</v>
      </c>
      <c r="N183" s="75">
        <f t="shared" si="95"/>
        <v>15.5</v>
      </c>
      <c r="O183" s="72">
        <f t="shared" si="96"/>
        <v>311734</v>
      </c>
      <c r="P183" s="74">
        <f t="shared" si="97"/>
        <v>2541473.4499999997</v>
      </c>
      <c r="Q183" s="75">
        <f t="shared" si="98"/>
        <v>8.1526989356310171</v>
      </c>
      <c r="R183" s="72">
        <v>0</v>
      </c>
      <c r="S183" s="91">
        <v>0</v>
      </c>
      <c r="T183" s="117">
        <v>0</v>
      </c>
      <c r="U183" s="118"/>
      <c r="V183" s="72">
        <v>0</v>
      </c>
      <c r="W183" s="77">
        <f t="shared" si="99"/>
        <v>311734</v>
      </c>
      <c r="X183" s="78">
        <f t="shared" si="100"/>
        <v>2541473.4499999997</v>
      </c>
      <c r="Y183" s="75">
        <f t="shared" si="111"/>
        <v>8.1526989356310171</v>
      </c>
    </row>
    <row r="184" spans="1:25" x14ac:dyDescent="0.25">
      <c r="A184" s="68" t="s">
        <v>24</v>
      </c>
      <c r="B184" s="72">
        <v>333342</v>
      </c>
      <c r="C184" s="73">
        <f t="shared" si="101"/>
        <v>2116721.6999999997</v>
      </c>
      <c r="D184" s="72">
        <v>1035</v>
      </c>
      <c r="E184" s="72">
        <f t="shared" si="102"/>
        <v>362250</v>
      </c>
      <c r="F184" s="72">
        <f>87257+128484</f>
        <v>215741</v>
      </c>
      <c r="G184" s="74">
        <v>30421</v>
      </c>
      <c r="H184" s="74">
        <v>2664292</v>
      </c>
      <c r="I184" s="75">
        <f t="shared" si="103"/>
        <v>7.992668190627044</v>
      </c>
      <c r="J184" s="84">
        <v>2352</v>
      </c>
      <c r="K184" s="84">
        <v>900</v>
      </c>
      <c r="L184" s="72">
        <v>46.19</v>
      </c>
      <c r="M184" s="74">
        <f t="shared" si="94"/>
        <v>41571</v>
      </c>
      <c r="N184" s="75">
        <f t="shared" si="95"/>
        <v>17.674744897959183</v>
      </c>
      <c r="O184" s="72">
        <f t="shared" si="96"/>
        <v>335694</v>
      </c>
      <c r="P184" s="74">
        <f t="shared" si="97"/>
        <v>2705863</v>
      </c>
      <c r="Q184" s="75">
        <f t="shared" si="98"/>
        <v>8.0605045070808536</v>
      </c>
      <c r="R184" s="72">
        <v>0</v>
      </c>
      <c r="S184" s="91">
        <v>0</v>
      </c>
      <c r="T184" s="117">
        <v>0</v>
      </c>
      <c r="U184" s="118"/>
      <c r="V184" s="72">
        <v>0</v>
      </c>
      <c r="W184" s="77">
        <f t="shared" si="99"/>
        <v>335694</v>
      </c>
      <c r="X184" s="78">
        <f t="shared" si="100"/>
        <v>2705863</v>
      </c>
      <c r="Y184" s="75">
        <f t="shared" si="111"/>
        <v>8.0605045070808536</v>
      </c>
    </row>
    <row r="185" spans="1:25" x14ac:dyDescent="0.25">
      <c r="A185" s="68" t="s">
        <v>25</v>
      </c>
      <c r="B185" s="72">
        <v>268614</v>
      </c>
      <c r="C185" s="73">
        <f t="shared" si="101"/>
        <v>1705698.9</v>
      </c>
      <c r="D185" s="72">
        <v>1035</v>
      </c>
      <c r="E185" s="72">
        <f t="shared" si="102"/>
        <v>362250</v>
      </c>
      <c r="F185" s="72">
        <f>68694+2000+101887</f>
        <v>172581</v>
      </c>
      <c r="G185" s="72">
        <v>26106</v>
      </c>
      <c r="H185" s="74">
        <f t="shared" si="93"/>
        <v>2214423.9</v>
      </c>
      <c r="I185" s="75">
        <f t="shared" si="103"/>
        <v>8.2438886282918986</v>
      </c>
      <c r="J185" s="76">
        <v>1512</v>
      </c>
      <c r="K185" s="76">
        <v>540</v>
      </c>
      <c r="L185" s="72">
        <v>45.88</v>
      </c>
      <c r="M185" s="74">
        <f t="shared" si="94"/>
        <v>24775.200000000001</v>
      </c>
      <c r="N185" s="75">
        <f t="shared" si="95"/>
        <v>16.385714285714286</v>
      </c>
      <c r="O185" s="72">
        <f t="shared" ref="O185" si="114">J185+B185</f>
        <v>270126</v>
      </c>
      <c r="P185" s="74">
        <f t="shared" ref="P185:P186" si="115">M185+H185</f>
        <v>2239199.1</v>
      </c>
      <c r="Q185" s="75">
        <f t="shared" ref="Q185:Q186" si="116">P185/O185</f>
        <v>8.2894615845938571</v>
      </c>
      <c r="R185" s="72">
        <v>0</v>
      </c>
      <c r="S185" s="91">
        <v>0</v>
      </c>
      <c r="T185" s="117">
        <v>0</v>
      </c>
      <c r="U185" s="118"/>
      <c r="V185" s="72"/>
      <c r="W185" s="77">
        <f t="shared" si="99"/>
        <v>270126</v>
      </c>
      <c r="X185" s="78">
        <f t="shared" si="100"/>
        <v>2239199.1</v>
      </c>
      <c r="Y185" s="75">
        <f t="shared" si="111"/>
        <v>8.2894615845938571</v>
      </c>
    </row>
    <row r="186" spans="1:25" x14ac:dyDescent="0.25">
      <c r="A186" s="71" t="s">
        <v>28</v>
      </c>
      <c r="B186" s="76">
        <f>SUM(B174:B185)</f>
        <v>2091082</v>
      </c>
      <c r="C186" s="83">
        <f>SUM(C174:C185)</f>
        <v>13278370.699999999</v>
      </c>
      <c r="D186" s="76"/>
      <c r="E186" s="76">
        <f>SUM(E174:E185)</f>
        <v>4210090.5</v>
      </c>
      <c r="F186" s="80">
        <f>SUM(F174:F185)</f>
        <v>1659248.54</v>
      </c>
      <c r="G186" s="80">
        <f>SUM(G174:G185)</f>
        <v>201915.99</v>
      </c>
      <c r="H186" s="80">
        <f>SUM(H174:H185)</f>
        <v>18945794.049999997</v>
      </c>
      <c r="I186" s="75"/>
      <c r="J186" s="76">
        <f>SUM(J174:J185)</f>
        <v>179964</v>
      </c>
      <c r="K186" s="76">
        <f>SUM(K174:K185)</f>
        <v>64760</v>
      </c>
      <c r="L186" s="76"/>
      <c r="M186" s="80">
        <f>SUM(M174:M185)</f>
        <v>3147451.2</v>
      </c>
      <c r="N186" s="82"/>
      <c r="O186" s="76">
        <f>SUM(O174:O185)</f>
        <v>2271046</v>
      </c>
      <c r="P186" s="80">
        <f t="shared" si="115"/>
        <v>22093245.249999996</v>
      </c>
      <c r="Q186" s="82">
        <f t="shared" si="116"/>
        <v>9.7282244613275104</v>
      </c>
      <c r="R186" s="76">
        <f>SUM(R174:R185)</f>
        <v>1276607</v>
      </c>
      <c r="S186" s="90">
        <v>5744732</v>
      </c>
      <c r="T186" s="119"/>
      <c r="U186" s="120"/>
      <c r="V186" s="76"/>
      <c r="W186" s="81">
        <f>SUM(W174:W185)</f>
        <v>3547653</v>
      </c>
      <c r="X186" s="79">
        <f>SUM(X174:X185)</f>
        <v>27837976.75</v>
      </c>
      <c r="Y186" s="82">
        <f t="shared" si="111"/>
        <v>7.84687136819751</v>
      </c>
    </row>
    <row r="190" spans="1:25" x14ac:dyDescent="0.25">
      <c r="B190" s="24"/>
      <c r="D190" t="s">
        <v>71</v>
      </c>
    </row>
    <row r="197" spans="1:26" ht="18.75" x14ac:dyDescent="0.25">
      <c r="A197" s="125" t="s">
        <v>74</v>
      </c>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row>
    <row r="199" spans="1:26" ht="75" customHeight="1" x14ac:dyDescent="0.25">
      <c r="A199" s="69" t="s">
        <v>37</v>
      </c>
      <c r="B199" s="69" t="s">
        <v>13</v>
      </c>
      <c r="C199" s="69" t="s">
        <v>2</v>
      </c>
      <c r="D199" s="69" t="s">
        <v>70</v>
      </c>
      <c r="E199" s="69" t="s">
        <v>3</v>
      </c>
      <c r="F199" s="69" t="s">
        <v>4</v>
      </c>
      <c r="G199" s="69" t="s">
        <v>35</v>
      </c>
      <c r="H199" s="69" t="s">
        <v>6</v>
      </c>
      <c r="I199" s="69" t="s">
        <v>7</v>
      </c>
      <c r="J199" s="69" t="s">
        <v>8</v>
      </c>
      <c r="K199" s="69" t="s">
        <v>9</v>
      </c>
      <c r="L199" s="69" t="s">
        <v>32</v>
      </c>
      <c r="M199" s="69" t="s">
        <v>10</v>
      </c>
      <c r="N199" s="69" t="s">
        <v>39</v>
      </c>
      <c r="O199" s="69" t="s">
        <v>33</v>
      </c>
      <c r="P199" s="69" t="s">
        <v>51</v>
      </c>
      <c r="Q199" s="70" t="s">
        <v>31</v>
      </c>
      <c r="R199" s="70" t="s">
        <v>50</v>
      </c>
      <c r="S199" s="87" t="s">
        <v>46</v>
      </c>
      <c r="T199" s="126" t="s">
        <v>48</v>
      </c>
      <c r="U199" s="127"/>
      <c r="V199" s="70" t="s">
        <v>49</v>
      </c>
      <c r="W199" s="69" t="s">
        <v>54</v>
      </c>
      <c r="X199" s="70" t="s">
        <v>52</v>
      </c>
      <c r="Y199" s="70" t="s">
        <v>53</v>
      </c>
      <c r="Z199" s="70" t="s">
        <v>75</v>
      </c>
    </row>
    <row r="200" spans="1:26" x14ac:dyDescent="0.25">
      <c r="A200" s="68" t="s">
        <v>14</v>
      </c>
      <c r="B200" s="72">
        <v>242190</v>
      </c>
      <c r="C200" s="73">
        <f t="shared" ref="C200" si="117">B200*6.35</f>
        <v>1537906.5</v>
      </c>
      <c r="D200" s="72">
        <v>1035</v>
      </c>
      <c r="E200" s="72">
        <f t="shared" ref="E200" si="118">D200*350</f>
        <v>362250</v>
      </c>
      <c r="F200" s="72">
        <f>62430+2000+91987</f>
        <v>156417</v>
      </c>
      <c r="G200" s="72">
        <v>23986</v>
      </c>
      <c r="H200" s="74">
        <f t="shared" ref="H200:H202" si="119">C200+E200+F200-G200</f>
        <v>2032587.5</v>
      </c>
      <c r="I200" s="75">
        <f t="shared" ref="I200:I205" si="120">H200/B200</f>
        <v>8.3925327222428674</v>
      </c>
      <c r="J200" s="68">
        <v>2722</v>
      </c>
      <c r="K200" s="68">
        <v>1040</v>
      </c>
      <c r="L200" s="72">
        <v>45.88</v>
      </c>
      <c r="M200" s="74">
        <f t="shared" ref="M200:M205" si="121">L200*K200</f>
        <v>47715.200000000004</v>
      </c>
      <c r="N200" s="75">
        <f t="shared" ref="N200:N205" si="122">M200/J200</f>
        <v>17.529463629684056</v>
      </c>
      <c r="O200" s="72">
        <f t="shared" ref="O200:O205" si="123">J200+B200</f>
        <v>244912</v>
      </c>
      <c r="P200" s="74">
        <f t="shared" ref="P200:P205" si="124">M200+H200</f>
        <v>2080302.7</v>
      </c>
      <c r="Q200" s="75">
        <f t="shared" ref="Q200" si="125">P200/O200</f>
        <v>8.4940823642777818</v>
      </c>
      <c r="R200" s="72">
        <v>0</v>
      </c>
      <c r="S200" s="88">
        <v>0</v>
      </c>
      <c r="T200" s="117">
        <v>0</v>
      </c>
      <c r="U200" s="118"/>
      <c r="V200" s="72">
        <v>0</v>
      </c>
      <c r="W200" s="77">
        <f t="shared" ref="W200:W211" si="126">R200+O200</f>
        <v>244912</v>
      </c>
      <c r="X200" s="78">
        <f t="shared" ref="X200:X211" si="127">S200+P200</f>
        <v>2080302.7</v>
      </c>
      <c r="Y200" s="75">
        <f t="shared" ref="Y200:Y205" si="128">X200/W200</f>
        <v>8.4940823642777818</v>
      </c>
      <c r="Z200" s="68"/>
    </row>
    <row r="201" spans="1:26" x14ac:dyDescent="0.25">
      <c r="A201" s="68" t="s">
        <v>15</v>
      </c>
      <c r="B201" s="72">
        <v>192978</v>
      </c>
      <c r="C201" s="73">
        <f t="shared" ref="C201:C211" si="129">B201*6.35</f>
        <v>1225410.3</v>
      </c>
      <c r="D201" s="72">
        <v>1035</v>
      </c>
      <c r="E201" s="72">
        <f t="shared" ref="E201:E202" si="130">D201*350</f>
        <v>362250</v>
      </c>
      <c r="F201" s="74">
        <f>54110+2000+2000+76891+2234</f>
        <v>137235</v>
      </c>
      <c r="G201" s="72">
        <f>15048+3455</f>
        <v>18503</v>
      </c>
      <c r="H201" s="74">
        <f t="shared" si="119"/>
        <v>1706392.3</v>
      </c>
      <c r="I201" s="75">
        <f t="shared" si="120"/>
        <v>8.8424188249437758</v>
      </c>
      <c r="J201" s="68">
        <v>13306</v>
      </c>
      <c r="K201" s="68">
        <v>4960</v>
      </c>
      <c r="L201" s="72">
        <v>45.88</v>
      </c>
      <c r="M201" s="74">
        <f t="shared" si="121"/>
        <v>227564.80000000002</v>
      </c>
      <c r="N201" s="75">
        <f t="shared" si="122"/>
        <v>17.102419960919889</v>
      </c>
      <c r="O201" s="72">
        <f t="shared" si="123"/>
        <v>206284</v>
      </c>
      <c r="P201" s="74">
        <f t="shared" si="124"/>
        <v>1933957.1</v>
      </c>
      <c r="Q201" s="75">
        <f t="shared" ref="Q201:Q202" si="131">P201/O201</f>
        <v>9.3752162067828824</v>
      </c>
      <c r="R201" s="72">
        <v>22338</v>
      </c>
      <c r="S201" s="92">
        <f t="shared" ref="S201" si="132">R201*4.5</f>
        <v>100521</v>
      </c>
      <c r="T201" s="117">
        <f>2234</f>
        <v>2234</v>
      </c>
      <c r="U201" s="118"/>
      <c r="V201" s="74">
        <f t="shared" ref="V201:V211" si="133">S201+T201</f>
        <v>102755</v>
      </c>
      <c r="W201" s="77">
        <f t="shared" si="126"/>
        <v>228622</v>
      </c>
      <c r="X201" s="78">
        <f t="shared" si="127"/>
        <v>2034478.1</v>
      </c>
      <c r="Y201" s="75">
        <f t="shared" si="128"/>
        <v>8.8988728118903691</v>
      </c>
      <c r="Z201" s="68"/>
    </row>
    <row r="202" spans="1:26" x14ac:dyDescent="0.25">
      <c r="A202" s="68" t="s">
        <v>16</v>
      </c>
      <c r="B202" s="72">
        <v>0</v>
      </c>
      <c r="C202" s="73">
        <v>0</v>
      </c>
      <c r="D202" s="72">
        <v>1035</v>
      </c>
      <c r="E202" s="72">
        <f t="shared" si="130"/>
        <v>362250</v>
      </c>
      <c r="F202" s="74">
        <f>2000+4000+15151+30928+22943.5</f>
        <v>75022.5</v>
      </c>
      <c r="G202" s="72">
        <v>0</v>
      </c>
      <c r="H202" s="74">
        <f t="shared" si="119"/>
        <v>437272.5</v>
      </c>
      <c r="I202" s="85" t="e">
        <f t="shared" si="120"/>
        <v>#DIV/0!</v>
      </c>
      <c r="J202" s="84">
        <v>24583</v>
      </c>
      <c r="K202" s="84">
        <v>8350</v>
      </c>
      <c r="L202" s="72">
        <v>45.88</v>
      </c>
      <c r="M202" s="74">
        <f t="shared" si="121"/>
        <v>383098</v>
      </c>
      <c r="N202" s="75">
        <f t="shared" si="122"/>
        <v>15.583858764186633</v>
      </c>
      <c r="O202" s="72">
        <f t="shared" si="123"/>
        <v>24583</v>
      </c>
      <c r="P202" s="74">
        <f t="shared" si="124"/>
        <v>820370.5</v>
      </c>
      <c r="Q202" s="32">
        <f t="shared" si="131"/>
        <v>33.371455884147579</v>
      </c>
      <c r="R202" s="72">
        <v>229428</v>
      </c>
      <c r="S202" s="92">
        <f t="shared" ref="S202" si="134">R202*4.5</f>
        <v>1032426</v>
      </c>
      <c r="T202" s="117">
        <f>30928+22943</f>
        <v>53871</v>
      </c>
      <c r="U202" s="118"/>
      <c r="V202" s="74">
        <f t="shared" si="133"/>
        <v>1086297</v>
      </c>
      <c r="W202" s="77">
        <f t="shared" si="126"/>
        <v>254011</v>
      </c>
      <c r="X202" s="78">
        <f t="shared" si="127"/>
        <v>1852796.5</v>
      </c>
      <c r="Y202" s="75">
        <f t="shared" si="128"/>
        <v>7.2941585206939861</v>
      </c>
      <c r="Z202" s="68"/>
    </row>
    <row r="203" spans="1:26" x14ac:dyDescent="0.25">
      <c r="A203" s="68" t="s">
        <v>17</v>
      </c>
      <c r="B203" s="72">
        <v>8024</v>
      </c>
      <c r="C203" s="73">
        <f t="shared" si="129"/>
        <v>50952.399999999994</v>
      </c>
      <c r="D203" s="72">
        <v>1035</v>
      </c>
      <c r="E203" s="72">
        <f t="shared" ref="E203:E204" si="135">D203*350</f>
        <v>362250</v>
      </c>
      <c r="F203" s="72">
        <f>2000+2597+17636+28753+26939</f>
        <v>77925</v>
      </c>
      <c r="G203" s="72">
        <v>0</v>
      </c>
      <c r="H203" s="74">
        <f t="shared" ref="H203:H205" si="136">C203+E203+F203-G203</f>
        <v>491127.4</v>
      </c>
      <c r="I203" s="85">
        <f t="shared" si="120"/>
        <v>61.207303090727819</v>
      </c>
      <c r="J203" s="68">
        <v>6568</v>
      </c>
      <c r="K203" s="68">
        <v>2380</v>
      </c>
      <c r="L203" s="72">
        <v>46.88</v>
      </c>
      <c r="M203" s="74">
        <f t="shared" si="121"/>
        <v>111574.40000000001</v>
      </c>
      <c r="N203" s="75">
        <f t="shared" si="122"/>
        <v>16.987576126674789</v>
      </c>
      <c r="O203" s="72">
        <f t="shared" si="123"/>
        <v>14592</v>
      </c>
      <c r="P203" s="74">
        <f t="shared" si="124"/>
        <v>602701.80000000005</v>
      </c>
      <c r="Q203" s="32">
        <f t="shared" ref="Q203" si="137">P203/O203</f>
        <v>41.303577302631581</v>
      </c>
      <c r="R203" s="72">
        <v>269392</v>
      </c>
      <c r="S203" s="92">
        <f t="shared" ref="S203" si="138">R203*4.5</f>
        <v>1212264</v>
      </c>
      <c r="T203" s="117">
        <f>2597+28753+26939</f>
        <v>58289</v>
      </c>
      <c r="U203" s="118"/>
      <c r="V203" s="74">
        <f t="shared" si="133"/>
        <v>1270553</v>
      </c>
      <c r="W203" s="77">
        <f t="shared" si="126"/>
        <v>283984</v>
      </c>
      <c r="X203" s="78">
        <f t="shared" si="127"/>
        <v>1814965.8</v>
      </c>
      <c r="Y203" s="75">
        <f t="shared" si="128"/>
        <v>6.3910847089976901</v>
      </c>
      <c r="Z203" s="68"/>
    </row>
    <row r="204" spans="1:26" x14ac:dyDescent="0.25">
      <c r="A204" s="68" t="s">
        <v>18</v>
      </c>
      <c r="B204" s="72">
        <v>10179</v>
      </c>
      <c r="C204" s="73">
        <f t="shared" si="129"/>
        <v>64636.649999999994</v>
      </c>
      <c r="D204" s="72">
        <v>1035</v>
      </c>
      <c r="E204" s="72">
        <f t="shared" si="135"/>
        <v>362250</v>
      </c>
      <c r="F204" s="72">
        <f>2000+6000+19863+38414+29622</f>
        <v>95899</v>
      </c>
      <c r="G204" s="72">
        <v>0</v>
      </c>
      <c r="H204" s="74">
        <f t="shared" si="136"/>
        <v>522785.65</v>
      </c>
      <c r="I204" s="85">
        <f t="shared" si="120"/>
        <v>51.359234698889871</v>
      </c>
      <c r="J204" s="84">
        <v>25788</v>
      </c>
      <c r="K204" s="84">
        <v>8130</v>
      </c>
      <c r="L204" s="72">
        <v>46.88</v>
      </c>
      <c r="M204" s="74">
        <f t="shared" si="121"/>
        <v>381134.4</v>
      </c>
      <c r="N204" s="75">
        <f t="shared" si="122"/>
        <v>14.779525360632853</v>
      </c>
      <c r="O204" s="72">
        <f t="shared" si="123"/>
        <v>35967</v>
      </c>
      <c r="P204" s="74">
        <f t="shared" si="124"/>
        <v>903920.05</v>
      </c>
      <c r="Q204" s="32">
        <f t="shared" ref="Q204:Q205" si="139">P204/O204</f>
        <v>25.131927878332917</v>
      </c>
      <c r="R204" s="72">
        <v>296217</v>
      </c>
      <c r="S204" s="92">
        <f t="shared" ref="S204" si="140">R204*4.5</f>
        <v>1332976.5</v>
      </c>
      <c r="T204" s="117">
        <f>38414+29622</f>
        <v>68036</v>
      </c>
      <c r="U204" s="118"/>
      <c r="V204" s="74">
        <f t="shared" si="133"/>
        <v>1401012.5</v>
      </c>
      <c r="W204" s="77">
        <f t="shared" si="126"/>
        <v>332184</v>
      </c>
      <c r="X204" s="78">
        <f t="shared" si="127"/>
        <v>2236896.5499999998</v>
      </c>
      <c r="Y204" s="75">
        <f t="shared" si="128"/>
        <v>6.7339081653541406</v>
      </c>
      <c r="Z204" s="68"/>
    </row>
    <row r="205" spans="1:26" x14ac:dyDescent="0.25">
      <c r="A205" s="68" t="s">
        <v>19</v>
      </c>
      <c r="B205" s="72">
        <v>0</v>
      </c>
      <c r="C205" s="73">
        <f t="shared" si="129"/>
        <v>0</v>
      </c>
      <c r="D205" s="72">
        <v>1035</v>
      </c>
      <c r="E205" s="72">
        <f t="shared" ref="E205" si="141">D205*350</f>
        <v>362250</v>
      </c>
      <c r="F205" s="72">
        <f>2000+21149+16727+48507+30201</f>
        <v>118584</v>
      </c>
      <c r="G205" s="72">
        <v>0</v>
      </c>
      <c r="H205" s="74">
        <f t="shared" si="136"/>
        <v>480834</v>
      </c>
      <c r="I205" s="75" t="e">
        <f t="shared" si="120"/>
        <v>#DIV/0!</v>
      </c>
      <c r="J205" s="84">
        <v>25370</v>
      </c>
      <c r="K205" s="84">
        <v>8340</v>
      </c>
      <c r="L205" s="72">
        <v>47.88</v>
      </c>
      <c r="M205" s="74">
        <f t="shared" si="121"/>
        <v>399319.2</v>
      </c>
      <c r="N205" s="75">
        <f t="shared" si="122"/>
        <v>15.739818683484431</v>
      </c>
      <c r="O205" s="72">
        <f t="shared" si="123"/>
        <v>25370</v>
      </c>
      <c r="P205" s="74">
        <f t="shared" si="124"/>
        <v>880153.2</v>
      </c>
      <c r="Q205" s="32">
        <f t="shared" si="139"/>
        <v>34.692676389436343</v>
      </c>
      <c r="R205" s="72">
        <v>302013</v>
      </c>
      <c r="S205" s="89">
        <f t="shared" ref="S205" si="142">R205*4.5</f>
        <v>1359058.5</v>
      </c>
      <c r="T205" s="117">
        <f>48507+30201</f>
        <v>78708</v>
      </c>
      <c r="U205" s="118"/>
      <c r="V205" s="74">
        <f t="shared" si="133"/>
        <v>1437766.5</v>
      </c>
      <c r="W205" s="77">
        <f t="shared" si="126"/>
        <v>327383</v>
      </c>
      <c r="X205" s="78">
        <f t="shared" si="127"/>
        <v>2239211.7000000002</v>
      </c>
      <c r="Y205" s="75">
        <f t="shared" si="128"/>
        <v>6.8397311405906844</v>
      </c>
      <c r="Z205" s="68"/>
    </row>
    <row r="206" spans="1:26" x14ac:dyDescent="0.25">
      <c r="A206" s="68" t="s">
        <v>20</v>
      </c>
      <c r="B206" s="72">
        <v>0</v>
      </c>
      <c r="C206" s="73">
        <f t="shared" si="129"/>
        <v>0</v>
      </c>
      <c r="D206" s="72">
        <v>1035</v>
      </c>
      <c r="E206" s="72">
        <f t="shared" ref="E206" si="143">D206*350</f>
        <v>362250</v>
      </c>
      <c r="F206" s="72">
        <f>-15149+2000+16317+27595+28833</f>
        <v>59596</v>
      </c>
      <c r="G206" s="72">
        <v>0</v>
      </c>
      <c r="H206" s="74">
        <f t="shared" ref="H206:H207" si="144">C206+E206+F206-G206</f>
        <v>421846</v>
      </c>
      <c r="I206" s="75" t="e">
        <f t="shared" ref="I206:I207" si="145">H206/B206</f>
        <v>#DIV/0!</v>
      </c>
      <c r="J206" s="84">
        <v>3920</v>
      </c>
      <c r="K206" s="84">
        <v>1550</v>
      </c>
      <c r="L206" s="72">
        <v>47.88</v>
      </c>
      <c r="M206" s="74">
        <f t="shared" ref="M206:M207" si="146">L206*K206</f>
        <v>74214</v>
      </c>
      <c r="N206" s="75">
        <f t="shared" ref="N206" si="147">M206/J206</f>
        <v>18.932142857142857</v>
      </c>
      <c r="O206" s="72">
        <f t="shared" ref="O206" si="148">J206+B206</f>
        <v>3920</v>
      </c>
      <c r="P206" s="74">
        <f t="shared" ref="P206" si="149">M206+H206</f>
        <v>496060</v>
      </c>
      <c r="Q206" s="32">
        <f t="shared" ref="Q206:Q207" si="150">P206/O206</f>
        <v>126.54591836734694</v>
      </c>
      <c r="R206" s="72">
        <v>288333</v>
      </c>
      <c r="S206" s="91">
        <f t="shared" ref="S206" si="151">R206*4.5</f>
        <v>1297498.5</v>
      </c>
      <c r="T206" s="117">
        <f>28833+27595</f>
        <v>56428</v>
      </c>
      <c r="U206" s="118"/>
      <c r="V206" s="74">
        <f t="shared" si="133"/>
        <v>1353926.5</v>
      </c>
      <c r="W206" s="77">
        <f t="shared" si="126"/>
        <v>292253</v>
      </c>
      <c r="X206" s="78">
        <f t="shared" si="127"/>
        <v>1793558.5</v>
      </c>
      <c r="Y206" s="75">
        <f t="shared" ref="Y206:Y208" si="152">X206/W206</f>
        <v>6.1370062924931483</v>
      </c>
      <c r="Z206" s="68"/>
    </row>
    <row r="207" spans="1:26" x14ac:dyDescent="0.25">
      <c r="A207" s="68" t="s">
        <v>21</v>
      </c>
      <c r="B207" s="72">
        <v>48195</v>
      </c>
      <c r="C207" s="73">
        <f t="shared" si="129"/>
        <v>306038.25</v>
      </c>
      <c r="D207" s="72">
        <v>1035</v>
      </c>
      <c r="E207" s="72">
        <f t="shared" ref="E207:E211" si="153">D207*350</f>
        <v>362250</v>
      </c>
      <c r="F207" s="72">
        <f>2000+28721+3806+22240</f>
        <v>56767</v>
      </c>
      <c r="G207" s="72">
        <v>0</v>
      </c>
      <c r="H207" s="74">
        <f t="shared" si="144"/>
        <v>725055.25</v>
      </c>
      <c r="I207" s="75">
        <f t="shared" si="145"/>
        <v>15.04420064322025</v>
      </c>
      <c r="J207" s="72">
        <v>2340</v>
      </c>
      <c r="K207" s="72">
        <v>930</v>
      </c>
      <c r="L207" s="72">
        <v>47.88</v>
      </c>
      <c r="M207" s="74">
        <f t="shared" si="146"/>
        <v>44528.4</v>
      </c>
      <c r="N207" s="75">
        <f t="shared" ref="N207" si="154">M207/J207</f>
        <v>19.029230769230772</v>
      </c>
      <c r="O207" s="72">
        <f t="shared" ref="O207:O210" si="155">J207+B207</f>
        <v>50535</v>
      </c>
      <c r="P207" s="74">
        <f t="shared" ref="P207" si="156">M207+H207</f>
        <v>769583.65</v>
      </c>
      <c r="Q207" s="75">
        <f t="shared" si="150"/>
        <v>15.228725635698032</v>
      </c>
      <c r="R207" s="72">
        <v>222399</v>
      </c>
      <c r="S207" s="91">
        <f t="shared" ref="S207" si="157">R207*4.5</f>
        <v>1000795.5</v>
      </c>
      <c r="T207" s="117">
        <f>3806+22240</f>
        <v>26046</v>
      </c>
      <c r="U207" s="118"/>
      <c r="V207" s="74">
        <f t="shared" si="133"/>
        <v>1026841.5</v>
      </c>
      <c r="W207" s="77">
        <f t="shared" si="126"/>
        <v>272934</v>
      </c>
      <c r="X207" s="78">
        <f t="shared" si="127"/>
        <v>1770379.15</v>
      </c>
      <c r="Y207" s="75">
        <f t="shared" si="152"/>
        <v>6.486473469776576</v>
      </c>
      <c r="Z207" s="68"/>
    </row>
    <row r="208" spans="1:26" x14ac:dyDescent="0.25">
      <c r="A208" s="68" t="s">
        <v>22</v>
      </c>
      <c r="B208" s="72">
        <v>112918</v>
      </c>
      <c r="C208" s="73">
        <f t="shared" si="129"/>
        <v>717029.29999999993</v>
      </c>
      <c r="D208" s="72">
        <v>1035</v>
      </c>
      <c r="E208" s="72">
        <f t="shared" si="153"/>
        <v>362250</v>
      </c>
      <c r="F208" s="72">
        <f>2000+2000+51507+557+13296</f>
        <v>69360</v>
      </c>
      <c r="G208" s="72">
        <v>0</v>
      </c>
      <c r="H208" s="74">
        <f t="shared" ref="H208:H211" si="158">C208+E208+F208-G208</f>
        <v>1148639.2999999998</v>
      </c>
      <c r="I208" s="75">
        <f t="shared" ref="I208:I211" si="159">H208/B208</f>
        <v>10.172331249225099</v>
      </c>
      <c r="J208" s="72">
        <v>10740</v>
      </c>
      <c r="K208" s="72">
        <v>3950</v>
      </c>
      <c r="L208" s="72">
        <v>48.88</v>
      </c>
      <c r="M208" s="74">
        <f t="shared" ref="M208:M211" si="160">L208*K208</f>
        <v>193076</v>
      </c>
      <c r="N208" s="75">
        <f t="shared" ref="N208:N211" si="161">M208/J208</f>
        <v>17.97728119180633</v>
      </c>
      <c r="O208" s="72">
        <f t="shared" si="155"/>
        <v>123658</v>
      </c>
      <c r="P208" s="74">
        <f t="shared" ref="P208:P210" si="162">M208+H208</f>
        <v>1341715.2999999998</v>
      </c>
      <c r="Q208" s="75">
        <f t="shared" ref="Q208:Q211" si="163">P208/O208</f>
        <v>10.850210257322614</v>
      </c>
      <c r="R208" s="72">
        <v>132962</v>
      </c>
      <c r="S208" s="92">
        <f t="shared" ref="S208" si="164">R208*4.5</f>
        <v>598329</v>
      </c>
      <c r="T208" s="117">
        <f>557+13296</f>
        <v>13853</v>
      </c>
      <c r="U208" s="118"/>
      <c r="V208" s="74">
        <f t="shared" si="133"/>
        <v>612182</v>
      </c>
      <c r="W208" s="77">
        <f t="shared" si="126"/>
        <v>256620</v>
      </c>
      <c r="X208" s="78">
        <f t="shared" si="127"/>
        <v>1940044.2999999998</v>
      </c>
      <c r="Y208" s="75">
        <f t="shared" si="152"/>
        <v>7.559988699244018</v>
      </c>
      <c r="Z208" s="68"/>
    </row>
    <row r="209" spans="1:29" x14ac:dyDescent="0.25">
      <c r="A209" s="68" t="s">
        <v>23</v>
      </c>
      <c r="B209" s="72">
        <v>70041</v>
      </c>
      <c r="C209" s="73">
        <f t="shared" si="129"/>
        <v>444760.35</v>
      </c>
      <c r="D209" s="72">
        <v>1035</v>
      </c>
      <c r="E209" s="72">
        <f t="shared" si="153"/>
        <v>362250</v>
      </c>
      <c r="F209" s="74">
        <f>2000+36854+5102+18333</f>
        <v>62289</v>
      </c>
      <c r="G209" s="74">
        <v>0</v>
      </c>
      <c r="H209" s="74">
        <f t="shared" si="158"/>
        <v>869299.35</v>
      </c>
      <c r="I209" s="75">
        <f t="shared" si="159"/>
        <v>12.411292671435302</v>
      </c>
      <c r="J209" s="84">
        <v>7139</v>
      </c>
      <c r="K209" s="84">
        <v>2490</v>
      </c>
      <c r="L209" s="72">
        <v>49.67</v>
      </c>
      <c r="M209" s="74">
        <f t="shared" si="160"/>
        <v>123678.3</v>
      </c>
      <c r="N209" s="75">
        <f t="shared" si="161"/>
        <v>17.324317131250876</v>
      </c>
      <c r="O209" s="72">
        <f t="shared" si="155"/>
        <v>77180</v>
      </c>
      <c r="P209" s="74">
        <f t="shared" si="162"/>
        <v>992977.65</v>
      </c>
      <c r="Q209" s="75">
        <f t="shared" si="163"/>
        <v>12.865737885462556</v>
      </c>
      <c r="R209" s="72">
        <v>183327</v>
      </c>
      <c r="S209" s="92">
        <f t="shared" ref="S209" si="165">R209*4.5</f>
        <v>824971.5</v>
      </c>
      <c r="T209" s="117">
        <f>5102+18333</f>
        <v>23435</v>
      </c>
      <c r="U209" s="118"/>
      <c r="V209" s="74">
        <f t="shared" si="133"/>
        <v>848406.5</v>
      </c>
      <c r="W209" s="77">
        <f t="shared" si="126"/>
        <v>260507</v>
      </c>
      <c r="X209" s="78">
        <f t="shared" si="127"/>
        <v>1817949.15</v>
      </c>
      <c r="Y209" s="75">
        <f t="shared" ref="Y209:Y211" si="166">X209/W209</f>
        <v>6.9785040325211991</v>
      </c>
      <c r="Z209" s="68">
        <v>16.45</v>
      </c>
    </row>
    <row r="210" spans="1:29" x14ac:dyDescent="0.25">
      <c r="A210" s="68" t="s">
        <v>24</v>
      </c>
      <c r="B210" s="72">
        <v>110739</v>
      </c>
      <c r="C210" s="73">
        <f t="shared" si="129"/>
        <v>703192.64999999991</v>
      </c>
      <c r="D210" s="72">
        <v>1035</v>
      </c>
      <c r="E210" s="72">
        <f t="shared" si="153"/>
        <v>362250</v>
      </c>
      <c r="F210" s="72">
        <f>2000+50626+3262+16355</f>
        <v>72243</v>
      </c>
      <c r="G210" s="74">
        <v>0</v>
      </c>
      <c r="H210" s="74">
        <f t="shared" si="158"/>
        <v>1137685.6499999999</v>
      </c>
      <c r="I210" s="75">
        <f t="shared" si="159"/>
        <v>10.273577059572508</v>
      </c>
      <c r="J210" s="84">
        <v>3953</v>
      </c>
      <c r="K210" s="84">
        <v>1425</v>
      </c>
      <c r="L210" s="72">
        <v>52</v>
      </c>
      <c r="M210" s="74">
        <f t="shared" si="160"/>
        <v>74100</v>
      </c>
      <c r="N210" s="75">
        <f t="shared" si="161"/>
        <v>18.745256767012396</v>
      </c>
      <c r="O210" s="72">
        <f t="shared" si="155"/>
        <v>114692</v>
      </c>
      <c r="P210" s="74">
        <f t="shared" si="162"/>
        <v>1211785.6499999999</v>
      </c>
      <c r="Q210" s="75">
        <f t="shared" si="163"/>
        <v>10.565563857984863</v>
      </c>
      <c r="R210" s="72">
        <v>163545</v>
      </c>
      <c r="S210" s="91">
        <f t="shared" ref="S210" si="167">R210*4.5</f>
        <v>735952.5</v>
      </c>
      <c r="T210" s="117">
        <f>3262+16355</f>
        <v>19617</v>
      </c>
      <c r="U210" s="118"/>
      <c r="V210" s="74">
        <f t="shared" si="133"/>
        <v>755569.5</v>
      </c>
      <c r="W210" s="77">
        <f t="shared" si="126"/>
        <v>278237</v>
      </c>
      <c r="X210" s="78">
        <f t="shared" si="127"/>
        <v>1947738.15</v>
      </c>
      <c r="Y210" s="75">
        <f t="shared" si="166"/>
        <v>7.0002844697146678</v>
      </c>
      <c r="Z210" s="68">
        <v>11.38</v>
      </c>
    </row>
    <row r="211" spans="1:29" x14ac:dyDescent="0.25">
      <c r="A211" s="68" t="s">
        <v>25</v>
      </c>
      <c r="B211" s="72">
        <v>110424</v>
      </c>
      <c r="C211" s="73">
        <f t="shared" si="129"/>
        <v>701192.39999999991</v>
      </c>
      <c r="D211" s="72">
        <v>1035</v>
      </c>
      <c r="E211" s="72">
        <f t="shared" si="153"/>
        <v>362250</v>
      </c>
      <c r="F211" s="72">
        <f>23613+2000+51675+5530+15286</f>
        <v>98104</v>
      </c>
      <c r="G211" s="72">
        <v>0</v>
      </c>
      <c r="H211" s="74">
        <f t="shared" si="158"/>
        <v>1161546.3999999999</v>
      </c>
      <c r="I211" s="75">
        <f t="shared" si="159"/>
        <v>10.518966891255523</v>
      </c>
      <c r="J211" s="84">
        <v>588</v>
      </c>
      <c r="K211" s="84">
        <v>265</v>
      </c>
      <c r="L211" s="72">
        <v>55</v>
      </c>
      <c r="M211" s="74">
        <f t="shared" si="160"/>
        <v>14575</v>
      </c>
      <c r="N211" s="75">
        <f t="shared" si="161"/>
        <v>24.787414965986393</v>
      </c>
      <c r="O211" s="72">
        <f t="shared" ref="O211" si="168">J211+B211</f>
        <v>111012</v>
      </c>
      <c r="P211" s="74">
        <f t="shared" ref="P211" si="169">M211+H211</f>
        <v>1176121.3999999999</v>
      </c>
      <c r="Q211" s="75">
        <f t="shared" si="163"/>
        <v>10.594542932295607</v>
      </c>
      <c r="R211" s="72">
        <v>152862</v>
      </c>
      <c r="S211" s="91">
        <f t="shared" ref="S211" si="170">R211*4.5</f>
        <v>687879</v>
      </c>
      <c r="T211" s="117">
        <f>5530+15286</f>
        <v>20816</v>
      </c>
      <c r="U211" s="118"/>
      <c r="V211" s="74">
        <f t="shared" si="133"/>
        <v>708695</v>
      </c>
      <c r="W211" s="77">
        <f t="shared" si="126"/>
        <v>263874</v>
      </c>
      <c r="X211" s="78">
        <f t="shared" si="127"/>
        <v>1864000.4</v>
      </c>
      <c r="Y211" s="75">
        <f t="shared" si="166"/>
        <v>7.0639790202899864</v>
      </c>
      <c r="Z211" s="68">
        <v>3.25</v>
      </c>
    </row>
    <row r="212" spans="1:29" x14ac:dyDescent="0.25">
      <c r="A212" s="71" t="s">
        <v>28</v>
      </c>
      <c r="B212" s="76">
        <f>SUM(B200:B211)</f>
        <v>905688</v>
      </c>
      <c r="C212" s="76">
        <f>SUM(C200:C211)</f>
        <v>5751118.7999999989</v>
      </c>
      <c r="D212" s="76"/>
      <c r="E212" s="76">
        <f>SUM(E200:E211)</f>
        <v>4347000</v>
      </c>
      <c r="F212" s="76">
        <f>SUM(F200:F211)</f>
        <v>1079441.5</v>
      </c>
      <c r="G212" s="76">
        <f>SUM(G200:G211)</f>
        <v>42489</v>
      </c>
      <c r="H212" s="76">
        <f>SUM(H200:H211)</f>
        <v>11135071.300000001</v>
      </c>
      <c r="I212" s="75"/>
      <c r="J212" s="76">
        <f>SUM(J200:J211)</f>
        <v>127017</v>
      </c>
      <c r="K212" s="76">
        <f>SUM(K200:K211)</f>
        <v>43810</v>
      </c>
      <c r="L212" s="76"/>
      <c r="M212" s="76">
        <f>SUM(M200:M211)</f>
        <v>2074577.7</v>
      </c>
      <c r="N212" s="82"/>
      <c r="O212" s="76"/>
      <c r="P212" s="80"/>
      <c r="Q212" s="82"/>
      <c r="R212" s="76">
        <f>SUM(R200:R211)</f>
        <v>2262816</v>
      </c>
      <c r="S212" s="90">
        <v>795264</v>
      </c>
      <c r="T212" s="119">
        <v>795264</v>
      </c>
      <c r="U212" s="120"/>
      <c r="V212" s="76">
        <f>SUM(V200:V211)</f>
        <v>10604005</v>
      </c>
      <c r="W212" s="81">
        <f>SUM(W200:W211)</f>
        <v>3295521</v>
      </c>
      <c r="X212" s="79">
        <f>SUM(X200:X211)</f>
        <v>23392320.999999993</v>
      </c>
      <c r="Y212" s="82">
        <v>7.16</v>
      </c>
      <c r="Z212" s="68"/>
    </row>
    <row r="215" spans="1:29" x14ac:dyDescent="0.25">
      <c r="C215" s="24"/>
      <c r="E215" t="s">
        <v>71</v>
      </c>
    </row>
    <row r="218" spans="1:29" ht="18.75" x14ac:dyDescent="0.25">
      <c r="A218" s="125" t="s">
        <v>76</v>
      </c>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row>
    <row r="219" spans="1:29" x14ac:dyDescent="0.25">
      <c r="A219" s="124" t="s">
        <v>37</v>
      </c>
      <c r="B219" s="124" t="s">
        <v>13</v>
      </c>
      <c r="C219" s="124" t="s">
        <v>2</v>
      </c>
      <c r="D219" s="124" t="s">
        <v>70</v>
      </c>
      <c r="E219" s="124" t="s">
        <v>3</v>
      </c>
      <c r="F219" s="124" t="s">
        <v>4</v>
      </c>
      <c r="G219" s="124" t="s">
        <v>35</v>
      </c>
      <c r="H219" s="124" t="s">
        <v>6</v>
      </c>
      <c r="I219" s="124" t="s">
        <v>7</v>
      </c>
      <c r="J219" s="124" t="s">
        <v>8</v>
      </c>
      <c r="K219" s="124" t="s">
        <v>9</v>
      </c>
      <c r="L219" s="124" t="s">
        <v>32</v>
      </c>
      <c r="M219" s="124" t="s">
        <v>10</v>
      </c>
      <c r="N219" s="124" t="s">
        <v>39</v>
      </c>
      <c r="O219" s="124" t="s">
        <v>33</v>
      </c>
      <c r="P219" s="124" t="s">
        <v>51</v>
      </c>
      <c r="Q219" s="121" t="s">
        <v>31</v>
      </c>
      <c r="R219" s="121" t="s">
        <v>50</v>
      </c>
      <c r="S219" s="121" t="s">
        <v>46</v>
      </c>
      <c r="T219" s="121" t="s">
        <v>48</v>
      </c>
      <c r="U219" s="121"/>
      <c r="V219" s="121" t="s">
        <v>49</v>
      </c>
      <c r="W219" s="124" t="s">
        <v>54</v>
      </c>
      <c r="X219" s="121" t="s">
        <v>52</v>
      </c>
      <c r="Y219" s="121" t="s">
        <v>53</v>
      </c>
      <c r="Z219" s="122" t="s">
        <v>81</v>
      </c>
      <c r="AA219" s="122"/>
      <c r="AB219" s="122"/>
      <c r="AC219" s="122"/>
    </row>
    <row r="220" spans="1:29" ht="75" customHeight="1" x14ac:dyDescent="0.25">
      <c r="A220" s="124"/>
      <c r="B220" s="124"/>
      <c r="C220" s="124"/>
      <c r="D220" s="124"/>
      <c r="E220" s="124"/>
      <c r="F220" s="124"/>
      <c r="G220" s="124"/>
      <c r="H220" s="124"/>
      <c r="I220" s="124"/>
      <c r="J220" s="124"/>
      <c r="K220" s="124"/>
      <c r="L220" s="124"/>
      <c r="M220" s="124"/>
      <c r="N220" s="124"/>
      <c r="O220" s="124"/>
      <c r="P220" s="124"/>
      <c r="Q220" s="121"/>
      <c r="R220" s="121"/>
      <c r="S220" s="121"/>
      <c r="T220" s="121"/>
      <c r="U220" s="121"/>
      <c r="V220" s="121"/>
      <c r="W220" s="124"/>
      <c r="X220" s="121"/>
      <c r="Y220" s="121"/>
      <c r="Z220" s="70" t="s">
        <v>75</v>
      </c>
      <c r="AA220" s="70" t="s">
        <v>79</v>
      </c>
      <c r="AB220" s="70" t="s">
        <v>80</v>
      </c>
      <c r="AC220" s="97" t="s">
        <v>82</v>
      </c>
    </row>
    <row r="221" spans="1:29" x14ac:dyDescent="0.25">
      <c r="A221" s="68" t="s">
        <v>14</v>
      </c>
      <c r="B221" s="72">
        <v>286038</v>
      </c>
      <c r="C221" s="73">
        <f>B221*6.35</f>
        <v>1816341.2999999998</v>
      </c>
      <c r="D221" s="72">
        <v>1035</v>
      </c>
      <c r="E221" s="72">
        <f>D221*350</f>
        <v>362250</v>
      </c>
      <c r="F221" s="72">
        <f>76284+2000+109594</f>
        <v>187878</v>
      </c>
      <c r="G221" s="72">
        <v>26843</v>
      </c>
      <c r="H221" s="74">
        <f t="shared" ref="H221:H223" si="171">C221+E221+F221-G221</f>
        <v>2339626.2999999998</v>
      </c>
      <c r="I221" s="75">
        <f>H221/B221</f>
        <v>8.1794247617449418</v>
      </c>
      <c r="J221" s="68">
        <v>5772</v>
      </c>
      <c r="K221" s="68">
        <v>2050</v>
      </c>
      <c r="L221" s="72">
        <v>55</v>
      </c>
      <c r="M221" s="74">
        <f t="shared" ref="M221:M233" si="172">L221*K221</f>
        <v>112750</v>
      </c>
      <c r="N221" s="75">
        <f t="shared" ref="N221" si="173">M221/J221</f>
        <v>19.533957033957034</v>
      </c>
      <c r="O221" s="74">
        <f t="shared" ref="O221" si="174">J221+B221</f>
        <v>291810</v>
      </c>
      <c r="P221" s="74">
        <f t="shared" ref="P221" si="175">M221+H221</f>
        <v>2452376.2999999998</v>
      </c>
      <c r="Q221" s="75">
        <f t="shared" ref="Q221" si="176">P221/O221</f>
        <v>8.4040173400500322</v>
      </c>
      <c r="R221" s="72">
        <v>0</v>
      </c>
      <c r="S221" s="88">
        <v>0</v>
      </c>
      <c r="T221" s="117">
        <v>0</v>
      </c>
      <c r="U221" s="118"/>
      <c r="V221" s="72">
        <v>0</v>
      </c>
      <c r="W221" s="78">
        <f t="shared" ref="W221:W232" si="177">R221+O221</f>
        <v>291810</v>
      </c>
      <c r="X221" s="78">
        <f t="shared" ref="X221:X232" si="178">S221+P221</f>
        <v>2452376.2999999998</v>
      </c>
      <c r="Y221" s="94">
        <f t="shared" ref="Y221:Y222" si="179">X221/W221</f>
        <v>8.4040173400500322</v>
      </c>
      <c r="Z221" s="68">
        <v>14.13</v>
      </c>
      <c r="AA221" s="68"/>
      <c r="AB221" s="68"/>
      <c r="AC221" s="68"/>
    </row>
    <row r="222" spans="1:29" x14ac:dyDescent="0.25">
      <c r="A222" s="68" t="s">
        <v>15</v>
      </c>
      <c r="B222" s="72">
        <v>126076</v>
      </c>
      <c r="C222" s="73">
        <f t="shared" ref="C222:C232" si="180">B222*6.35</f>
        <v>800582.6</v>
      </c>
      <c r="D222" s="72">
        <v>1035</v>
      </c>
      <c r="E222" s="72">
        <f t="shared" ref="E222:E225" si="181">D222*350</f>
        <v>362250</v>
      </c>
      <c r="F222" s="74">
        <f>14396.72+2000+55396.5+12920</f>
        <v>84713.22</v>
      </c>
      <c r="G222" s="86">
        <v>1247546</v>
      </c>
      <c r="H222" s="74">
        <f t="shared" si="171"/>
        <v>-0.17999999993480742</v>
      </c>
      <c r="I222" s="75">
        <f t="shared" ref="I222:I223" si="182">H222/B222</f>
        <v>-1.427710269478786E-6</v>
      </c>
      <c r="J222" s="68">
        <v>5744</v>
      </c>
      <c r="K222" s="68">
        <v>2060</v>
      </c>
      <c r="L222" s="72">
        <v>58</v>
      </c>
      <c r="M222" s="74">
        <f t="shared" si="172"/>
        <v>119480</v>
      </c>
      <c r="N222" s="75">
        <f t="shared" ref="N222:N233" si="183">M222/J222</f>
        <v>20.800835654596099</v>
      </c>
      <c r="O222" s="74">
        <f t="shared" ref="O222:O232" si="184">J222+B222</f>
        <v>131820</v>
      </c>
      <c r="P222" s="74">
        <f t="shared" ref="P222:P232" si="185">M222+H222</f>
        <v>119479.82000000007</v>
      </c>
      <c r="Q222" s="75">
        <f t="shared" ref="Q222:Q233" si="186">P222/O222</f>
        <v>0.90638613260506806</v>
      </c>
      <c r="R222" s="72">
        <v>129200</v>
      </c>
      <c r="S222" s="91">
        <f t="shared" ref="S222" si="187">R222*4.5</f>
        <v>581400</v>
      </c>
      <c r="T222" s="117">
        <v>12920</v>
      </c>
      <c r="U222" s="118"/>
      <c r="V222" s="74">
        <f t="shared" ref="V222:V232" si="188">S222+T222</f>
        <v>594320</v>
      </c>
      <c r="W222" s="78">
        <f t="shared" si="177"/>
        <v>261020</v>
      </c>
      <c r="X222" s="78">
        <f t="shared" si="178"/>
        <v>700879.82000000007</v>
      </c>
      <c r="Y222" s="95">
        <f t="shared" si="179"/>
        <v>2.68515753582101</v>
      </c>
      <c r="Z222" s="68">
        <v>16.47</v>
      </c>
      <c r="AA222" s="68"/>
      <c r="AB222" s="68"/>
      <c r="AC222" s="68"/>
    </row>
    <row r="223" spans="1:29" x14ac:dyDescent="0.25">
      <c r="A223" s="68" t="s">
        <v>16</v>
      </c>
      <c r="B223" s="72">
        <v>30528</v>
      </c>
      <c r="C223" s="73">
        <f t="shared" si="180"/>
        <v>193852.79999999999</v>
      </c>
      <c r="D223" s="72">
        <v>1035</v>
      </c>
      <c r="E223" s="72">
        <f t="shared" si="181"/>
        <v>362250</v>
      </c>
      <c r="F223" s="74">
        <f>14790+2000+27663+28107</f>
        <v>72560</v>
      </c>
      <c r="G223" s="86">
        <v>306381</v>
      </c>
      <c r="H223" s="74">
        <f t="shared" si="171"/>
        <v>322281.80000000005</v>
      </c>
      <c r="I223" s="75">
        <f t="shared" si="182"/>
        <v>10.556924790356396</v>
      </c>
      <c r="J223" s="84">
        <v>3216</v>
      </c>
      <c r="K223" s="84">
        <v>1160</v>
      </c>
      <c r="L223" s="72">
        <v>59</v>
      </c>
      <c r="M223" s="74">
        <f t="shared" ref="M223" si="189">L223*K223</f>
        <v>68440</v>
      </c>
      <c r="N223" s="75">
        <f t="shared" si="183"/>
        <v>21.281094527363184</v>
      </c>
      <c r="O223" s="74">
        <f t="shared" si="184"/>
        <v>33744</v>
      </c>
      <c r="P223" s="74">
        <f t="shared" si="185"/>
        <v>390721.80000000005</v>
      </c>
      <c r="Q223" s="75">
        <f t="shared" si="186"/>
        <v>11.579000711237555</v>
      </c>
      <c r="R223" s="72">
        <v>281070</v>
      </c>
      <c r="S223" s="91">
        <f t="shared" ref="S223" si="190">R223*4.5</f>
        <v>1264815</v>
      </c>
      <c r="T223" s="117">
        <v>28107</v>
      </c>
      <c r="U223" s="118"/>
      <c r="V223" s="74">
        <f t="shared" si="188"/>
        <v>1292922</v>
      </c>
      <c r="W223" s="78">
        <f t="shared" si="177"/>
        <v>314814</v>
      </c>
      <c r="X223" s="78">
        <f t="shared" si="178"/>
        <v>1655536.8</v>
      </c>
      <c r="Y223" s="95">
        <f t="shared" ref="Y223:Y224" si="191">X223/W223</f>
        <v>5.2587775638948715</v>
      </c>
      <c r="Z223" s="68">
        <v>9.4</v>
      </c>
      <c r="AA223" s="68"/>
      <c r="AB223" s="68"/>
      <c r="AC223" s="68"/>
    </row>
    <row r="224" spans="1:29" x14ac:dyDescent="0.25">
      <c r="A224" s="68" t="s">
        <v>17</v>
      </c>
      <c r="B224" s="72">
        <v>5300</v>
      </c>
      <c r="C224" s="73">
        <f t="shared" si="180"/>
        <v>33655</v>
      </c>
      <c r="D224" s="72">
        <v>1162.8</v>
      </c>
      <c r="E224" s="72">
        <f t="shared" si="181"/>
        <v>406980</v>
      </c>
      <c r="F224" s="72">
        <f>2000+8960+22032+42016+35740</f>
        <v>110748</v>
      </c>
      <c r="G224" s="72">
        <v>0</v>
      </c>
      <c r="H224" s="74">
        <f t="shared" ref="H224:H225" si="192">C224+E224+F224-G224</f>
        <v>551383</v>
      </c>
      <c r="I224" s="32">
        <f t="shared" ref="I224:I232" si="193">H224/B224</f>
        <v>104.03452830188679</v>
      </c>
      <c r="J224" s="68">
        <v>2968</v>
      </c>
      <c r="K224" s="68">
        <v>1000</v>
      </c>
      <c r="L224" s="72">
        <v>59</v>
      </c>
      <c r="M224" s="74">
        <f t="shared" si="172"/>
        <v>59000</v>
      </c>
      <c r="N224" s="75">
        <f t="shared" si="183"/>
        <v>19.878706199460918</v>
      </c>
      <c r="O224" s="74">
        <f t="shared" si="184"/>
        <v>8268</v>
      </c>
      <c r="P224" s="74">
        <f t="shared" si="185"/>
        <v>610383</v>
      </c>
      <c r="Q224" s="32">
        <f t="shared" si="186"/>
        <v>73.824746008708274</v>
      </c>
      <c r="R224" s="72">
        <v>357400</v>
      </c>
      <c r="S224" s="91">
        <f t="shared" ref="S224" si="194">R224*4.5</f>
        <v>1608300</v>
      </c>
      <c r="T224" s="117">
        <f>42016+35740</f>
        <v>77756</v>
      </c>
      <c r="U224" s="118"/>
      <c r="V224" s="74">
        <f t="shared" si="188"/>
        <v>1686056</v>
      </c>
      <c r="W224" s="78">
        <f t="shared" si="177"/>
        <v>365668</v>
      </c>
      <c r="X224" s="78">
        <f t="shared" si="178"/>
        <v>2218683</v>
      </c>
      <c r="Y224" s="95">
        <f t="shared" si="191"/>
        <v>6.0674792434667513</v>
      </c>
      <c r="Z224" s="68">
        <v>6.1</v>
      </c>
      <c r="AA224" s="68"/>
      <c r="AB224" s="68"/>
      <c r="AC224" s="68"/>
    </row>
    <row r="225" spans="1:29" x14ac:dyDescent="0.25">
      <c r="A225" s="68" t="s">
        <v>18</v>
      </c>
      <c r="B225" s="72">
        <v>0</v>
      </c>
      <c r="C225" s="73">
        <v>0</v>
      </c>
      <c r="D225" s="72">
        <v>1035</v>
      </c>
      <c r="E225" s="72">
        <f t="shared" si="181"/>
        <v>362250</v>
      </c>
      <c r="F225" s="72">
        <f>2000+17168+45098+31518</f>
        <v>95784</v>
      </c>
      <c r="G225" s="72">
        <v>0</v>
      </c>
      <c r="H225" s="74">
        <f t="shared" si="192"/>
        <v>458034</v>
      </c>
      <c r="I225" s="75" t="e">
        <f t="shared" si="193"/>
        <v>#DIV/0!</v>
      </c>
      <c r="J225" s="84">
        <v>6576</v>
      </c>
      <c r="K225" s="84">
        <v>2460</v>
      </c>
      <c r="L225" s="72">
        <v>59</v>
      </c>
      <c r="M225" s="74">
        <f t="shared" si="172"/>
        <v>145140</v>
      </c>
      <c r="N225" s="75">
        <f t="shared" si="183"/>
        <v>22.071167883211679</v>
      </c>
      <c r="O225" s="74">
        <f t="shared" si="184"/>
        <v>6576</v>
      </c>
      <c r="P225" s="74">
        <f t="shared" si="185"/>
        <v>603174</v>
      </c>
      <c r="Q225" s="32">
        <f t="shared" si="186"/>
        <v>91.723540145985396</v>
      </c>
      <c r="R225" s="72">
        <v>315180</v>
      </c>
      <c r="S225" s="91">
        <f t="shared" ref="S225" si="195">R225*4.5</f>
        <v>1418310</v>
      </c>
      <c r="T225" s="117">
        <f>45098+31518</f>
        <v>76616</v>
      </c>
      <c r="U225" s="118"/>
      <c r="V225" s="74">
        <f t="shared" si="188"/>
        <v>1494926</v>
      </c>
      <c r="W225" s="78">
        <f t="shared" si="177"/>
        <v>321756</v>
      </c>
      <c r="X225" s="78">
        <f t="shared" si="178"/>
        <v>2021484</v>
      </c>
      <c r="Y225" s="95">
        <f t="shared" ref="Y225:Y233" si="196">X225/W225</f>
        <v>6.282661395591691</v>
      </c>
      <c r="Z225" s="68">
        <v>11.1</v>
      </c>
      <c r="AA225" s="68">
        <v>10</v>
      </c>
      <c r="AB225" s="68"/>
      <c r="AC225" s="68"/>
    </row>
    <row r="226" spans="1:29" x14ac:dyDescent="0.25">
      <c r="A226" s="68" t="s">
        <v>19</v>
      </c>
      <c r="B226" s="72">
        <v>0</v>
      </c>
      <c r="C226" s="73">
        <f t="shared" si="180"/>
        <v>0</v>
      </c>
      <c r="D226" s="72">
        <v>1035</v>
      </c>
      <c r="E226" s="72">
        <f t="shared" ref="E226" si="197">D226*350</f>
        <v>362250</v>
      </c>
      <c r="F226" s="72">
        <f>2000+16065+29485+28816</f>
        <v>76366</v>
      </c>
      <c r="G226" s="72">
        <v>0</v>
      </c>
      <c r="H226" s="74">
        <f t="shared" ref="H226:H232" si="198">C226+E226+F226-G226</f>
        <v>438616</v>
      </c>
      <c r="I226" s="75" t="e">
        <f t="shared" si="193"/>
        <v>#DIV/0!</v>
      </c>
      <c r="J226" s="84">
        <v>3240</v>
      </c>
      <c r="K226" s="84">
        <v>1225</v>
      </c>
      <c r="L226" s="72">
        <v>61</v>
      </c>
      <c r="M226" s="74">
        <f t="shared" si="172"/>
        <v>74725</v>
      </c>
      <c r="N226" s="75">
        <f t="shared" si="183"/>
        <v>23.063271604938272</v>
      </c>
      <c r="O226" s="74">
        <f t="shared" si="184"/>
        <v>3240</v>
      </c>
      <c r="P226" s="74">
        <f t="shared" si="185"/>
        <v>513341</v>
      </c>
      <c r="Q226" s="75">
        <f t="shared" si="186"/>
        <v>158.43858024691357</v>
      </c>
      <c r="R226" s="72">
        <v>288162</v>
      </c>
      <c r="S226" s="89">
        <f t="shared" ref="S226" si="199">R226*4.5</f>
        <v>1296729</v>
      </c>
      <c r="T226" s="117">
        <f>29485+28816</f>
        <v>58301</v>
      </c>
      <c r="U226" s="118"/>
      <c r="V226" s="74">
        <f t="shared" si="188"/>
        <v>1355030</v>
      </c>
      <c r="W226" s="78">
        <f t="shared" si="177"/>
        <v>291402</v>
      </c>
      <c r="X226" s="78">
        <f t="shared" si="178"/>
        <v>1810070</v>
      </c>
      <c r="Y226" s="94">
        <f t="shared" si="196"/>
        <v>6.2115908607353418</v>
      </c>
      <c r="Z226" s="68">
        <v>9.51</v>
      </c>
      <c r="AA226" s="68"/>
      <c r="AB226" s="68"/>
      <c r="AC226" s="68"/>
    </row>
    <row r="227" spans="1:29" x14ac:dyDescent="0.25">
      <c r="A227" s="68" t="s">
        <v>20</v>
      </c>
      <c r="B227" s="72">
        <v>0</v>
      </c>
      <c r="C227" s="73">
        <f t="shared" si="180"/>
        <v>0</v>
      </c>
      <c r="D227" s="72">
        <v>1035</v>
      </c>
      <c r="E227" s="72">
        <f t="shared" ref="E227:E232" si="200">D227*350</f>
        <v>362250</v>
      </c>
      <c r="F227" s="72">
        <f>2000+12663+35466+19292</f>
        <v>69421</v>
      </c>
      <c r="G227" s="72">
        <v>0</v>
      </c>
      <c r="H227" s="74">
        <f t="shared" si="198"/>
        <v>431671</v>
      </c>
      <c r="I227" s="75" t="e">
        <f t="shared" si="193"/>
        <v>#DIV/0!</v>
      </c>
      <c r="J227" s="84">
        <v>2784</v>
      </c>
      <c r="K227" s="84">
        <v>1345</v>
      </c>
      <c r="L227" s="72">
        <v>61</v>
      </c>
      <c r="M227" s="74">
        <f t="shared" si="172"/>
        <v>82045</v>
      </c>
      <c r="N227" s="75">
        <f t="shared" si="183"/>
        <v>29.470186781609197</v>
      </c>
      <c r="O227" s="74">
        <f t="shared" si="184"/>
        <v>2784</v>
      </c>
      <c r="P227" s="74">
        <f t="shared" si="185"/>
        <v>513716</v>
      </c>
      <c r="Q227" s="75">
        <f t="shared" si="186"/>
        <v>184.52442528735631</v>
      </c>
      <c r="R227" s="72">
        <v>192924</v>
      </c>
      <c r="S227" s="91">
        <f t="shared" ref="S227" si="201">R227*4.5</f>
        <v>868158</v>
      </c>
      <c r="T227" s="117">
        <f>35466+19292</f>
        <v>54758</v>
      </c>
      <c r="U227" s="118"/>
      <c r="V227" s="74">
        <f t="shared" si="188"/>
        <v>922916</v>
      </c>
      <c r="W227" s="78">
        <f t="shared" si="177"/>
        <v>195708</v>
      </c>
      <c r="X227" s="78">
        <f t="shared" si="178"/>
        <v>1381874</v>
      </c>
      <c r="Y227" s="94">
        <f t="shared" si="196"/>
        <v>7.0608968463220716</v>
      </c>
      <c r="Z227" s="68">
        <v>11.2</v>
      </c>
      <c r="AA227" s="68">
        <v>2.15</v>
      </c>
      <c r="AB227" s="68"/>
      <c r="AC227" s="68"/>
    </row>
    <row r="228" spans="1:29" x14ac:dyDescent="0.25">
      <c r="A228" s="68" t="s">
        <v>21</v>
      </c>
      <c r="B228" s="72">
        <v>0</v>
      </c>
      <c r="C228" s="73">
        <f t="shared" si="180"/>
        <v>0</v>
      </c>
      <c r="D228" s="72">
        <v>1035</v>
      </c>
      <c r="E228" s="72">
        <f t="shared" si="200"/>
        <v>362250</v>
      </c>
      <c r="F228" s="72">
        <f>2000+2000+15120+25043</f>
        <v>44163</v>
      </c>
      <c r="G228" s="72">
        <v>0</v>
      </c>
      <c r="H228" s="74">
        <f t="shared" si="198"/>
        <v>406413</v>
      </c>
      <c r="I228" s="75" t="e">
        <f t="shared" si="193"/>
        <v>#DIV/0!</v>
      </c>
      <c r="J228" s="72">
        <v>2576</v>
      </c>
      <c r="K228" s="72">
        <v>1045</v>
      </c>
      <c r="L228" s="72">
        <v>61</v>
      </c>
      <c r="M228" s="74">
        <f t="shared" si="172"/>
        <v>63745</v>
      </c>
      <c r="N228" s="75">
        <f t="shared" si="183"/>
        <v>24.745729813664596</v>
      </c>
      <c r="O228" s="74">
        <f t="shared" si="184"/>
        <v>2576</v>
      </c>
      <c r="P228" s="74">
        <f t="shared" si="185"/>
        <v>470158</v>
      </c>
      <c r="Q228" s="75">
        <f t="shared" si="186"/>
        <v>182.51475155279502</v>
      </c>
      <c r="R228" s="72">
        <v>250434</v>
      </c>
      <c r="S228" s="91">
        <f t="shared" ref="S228" si="202">R228*4.5</f>
        <v>1126953</v>
      </c>
      <c r="T228" s="117">
        <f>15120+25043</f>
        <v>40163</v>
      </c>
      <c r="U228" s="118"/>
      <c r="V228" s="74">
        <f t="shared" si="188"/>
        <v>1167116</v>
      </c>
      <c r="W228" s="78">
        <f t="shared" si="177"/>
        <v>253010</v>
      </c>
      <c r="X228" s="78">
        <f t="shared" si="178"/>
        <v>1597111</v>
      </c>
      <c r="Y228" s="94">
        <f t="shared" si="196"/>
        <v>6.3124421959606343</v>
      </c>
      <c r="Z228" s="68">
        <v>9.1</v>
      </c>
      <c r="AA228" s="68"/>
      <c r="AB228" s="68"/>
      <c r="AC228" s="68"/>
    </row>
    <row r="229" spans="1:29" x14ac:dyDescent="0.25">
      <c r="A229" s="68" t="s">
        <v>22</v>
      </c>
      <c r="B229" s="72">
        <v>18</v>
      </c>
      <c r="C229" s="73">
        <f t="shared" si="180"/>
        <v>114.3</v>
      </c>
      <c r="D229" s="72">
        <v>1035</v>
      </c>
      <c r="E229" s="72">
        <f t="shared" si="200"/>
        <v>362250</v>
      </c>
      <c r="F229" s="74">
        <f>2000+13991.7+2000+25826</f>
        <v>43817.7</v>
      </c>
      <c r="G229" s="72">
        <v>0</v>
      </c>
      <c r="H229" s="74">
        <f t="shared" si="198"/>
        <v>406182</v>
      </c>
      <c r="I229" s="51">
        <f t="shared" si="193"/>
        <v>22565.666666666668</v>
      </c>
      <c r="J229" s="72">
        <v>10216</v>
      </c>
      <c r="K229" s="72">
        <v>3375</v>
      </c>
      <c r="L229" s="72">
        <v>63</v>
      </c>
      <c r="M229" s="74">
        <f t="shared" si="172"/>
        <v>212625</v>
      </c>
      <c r="N229" s="75">
        <f t="shared" si="183"/>
        <v>20.812940485512922</v>
      </c>
      <c r="O229" s="74">
        <f t="shared" si="184"/>
        <v>10234</v>
      </c>
      <c r="P229" s="74">
        <f t="shared" si="185"/>
        <v>618807</v>
      </c>
      <c r="Q229" s="75">
        <f t="shared" si="186"/>
        <v>60.465800273597814</v>
      </c>
      <c r="R229" s="72">
        <v>258264</v>
      </c>
      <c r="S229" s="92">
        <f t="shared" ref="S229" si="203">R229*4.5</f>
        <v>1162188</v>
      </c>
      <c r="T229" s="117">
        <v>25826</v>
      </c>
      <c r="U229" s="118"/>
      <c r="V229" s="74">
        <f t="shared" si="188"/>
        <v>1188014</v>
      </c>
      <c r="W229" s="78">
        <f t="shared" si="177"/>
        <v>268498</v>
      </c>
      <c r="X229" s="78">
        <f t="shared" si="178"/>
        <v>1780995</v>
      </c>
      <c r="Y229" s="94">
        <f t="shared" si="196"/>
        <v>6.6331779007664862</v>
      </c>
      <c r="Z229" s="68">
        <v>3.5</v>
      </c>
      <c r="AA229" s="68"/>
      <c r="AB229" s="68">
        <v>35.15</v>
      </c>
      <c r="AC229" s="68"/>
    </row>
    <row r="230" spans="1:29" x14ac:dyDescent="0.25">
      <c r="A230" s="68" t="s">
        <v>23</v>
      </c>
      <c r="B230" s="72">
        <v>123194</v>
      </c>
      <c r="C230" s="73">
        <f t="shared" si="180"/>
        <v>782281.89999999991</v>
      </c>
      <c r="D230" s="72">
        <v>1035</v>
      </c>
      <c r="E230" s="72">
        <f t="shared" si="200"/>
        <v>362250</v>
      </c>
      <c r="F230" s="74">
        <f>2000+53730+11261</f>
        <v>66991</v>
      </c>
      <c r="G230" s="74">
        <v>0</v>
      </c>
      <c r="H230" s="74">
        <f t="shared" si="198"/>
        <v>1211522.8999999999</v>
      </c>
      <c r="I230" s="75">
        <f t="shared" si="193"/>
        <v>9.8342687143854395</v>
      </c>
      <c r="J230" s="84">
        <v>64</v>
      </c>
      <c r="K230" s="84">
        <v>80</v>
      </c>
      <c r="L230" s="72">
        <v>64</v>
      </c>
      <c r="M230" s="74">
        <f t="shared" si="172"/>
        <v>5120</v>
      </c>
      <c r="N230" s="75">
        <f t="shared" si="183"/>
        <v>80</v>
      </c>
      <c r="O230" s="74">
        <f t="shared" si="184"/>
        <v>123258</v>
      </c>
      <c r="P230" s="74">
        <f t="shared" si="185"/>
        <v>1216642.8999999999</v>
      </c>
      <c r="Q230" s="75">
        <f t="shared" si="186"/>
        <v>9.8707012932223464</v>
      </c>
      <c r="R230" s="72">
        <v>112606</v>
      </c>
      <c r="S230" s="92">
        <f t="shared" ref="S230:S232" si="204">R230*4.5</f>
        <v>506727</v>
      </c>
      <c r="T230" s="117">
        <v>11261</v>
      </c>
      <c r="U230" s="118"/>
      <c r="V230" s="74">
        <f t="shared" si="188"/>
        <v>517988</v>
      </c>
      <c r="W230" s="78">
        <f t="shared" si="177"/>
        <v>235864</v>
      </c>
      <c r="X230" s="78">
        <f t="shared" si="178"/>
        <v>1723369.9</v>
      </c>
      <c r="Y230" s="94">
        <f t="shared" si="196"/>
        <v>7.3066254282128682</v>
      </c>
      <c r="Z230" s="68">
        <v>1.05</v>
      </c>
      <c r="AA230" s="68"/>
      <c r="AB230" s="68"/>
      <c r="AC230" s="68">
        <v>0.25</v>
      </c>
    </row>
    <row r="231" spans="1:29" x14ac:dyDescent="0.25">
      <c r="A231" s="68" t="s">
        <v>24</v>
      </c>
      <c r="B231" s="72">
        <v>95981</v>
      </c>
      <c r="C231" s="73">
        <f t="shared" si="180"/>
        <v>609479.35</v>
      </c>
      <c r="D231" s="72">
        <v>1035</v>
      </c>
      <c r="E231" s="72">
        <f t="shared" si="200"/>
        <v>362250</v>
      </c>
      <c r="F231" s="72">
        <f>2000+12789+2000+47053+16801+17935</f>
        <v>98578</v>
      </c>
      <c r="G231" s="74">
        <v>0</v>
      </c>
      <c r="H231" s="74">
        <f t="shared" si="198"/>
        <v>1070307.3500000001</v>
      </c>
      <c r="I231" s="75">
        <f t="shared" si="193"/>
        <v>11.151241912461842</v>
      </c>
      <c r="J231" s="98">
        <v>788.61</v>
      </c>
      <c r="K231" s="84">
        <v>410</v>
      </c>
      <c r="L231" s="72">
        <v>64</v>
      </c>
      <c r="M231" s="74">
        <f t="shared" si="172"/>
        <v>26240</v>
      </c>
      <c r="N231" s="75">
        <f t="shared" si="183"/>
        <v>33.273734799203659</v>
      </c>
      <c r="O231" s="74">
        <f t="shared" si="184"/>
        <v>96769.61</v>
      </c>
      <c r="P231" s="74">
        <f t="shared" si="185"/>
        <v>1096547.3500000001</v>
      </c>
      <c r="Q231" s="75">
        <f t="shared" si="186"/>
        <v>11.331525982175604</v>
      </c>
      <c r="R231" s="72">
        <v>179347</v>
      </c>
      <c r="S231" s="91">
        <f t="shared" si="204"/>
        <v>807061.5</v>
      </c>
      <c r="T231" s="117">
        <f>16801+17935</f>
        <v>34736</v>
      </c>
      <c r="U231" s="118"/>
      <c r="V231" s="74">
        <f t="shared" si="188"/>
        <v>841797.5</v>
      </c>
      <c r="W231" s="78">
        <f t="shared" si="177"/>
        <v>276116.61</v>
      </c>
      <c r="X231" s="78">
        <f t="shared" si="178"/>
        <v>1903608.85</v>
      </c>
      <c r="Y231" s="94">
        <f t="shared" si="196"/>
        <v>6.8942207062443659</v>
      </c>
      <c r="Z231" s="68">
        <v>0.25</v>
      </c>
      <c r="AA231" s="68">
        <v>0</v>
      </c>
      <c r="AB231" s="68">
        <v>3.35</v>
      </c>
      <c r="AC231" s="68"/>
    </row>
    <row r="232" spans="1:29" x14ac:dyDescent="0.25">
      <c r="A232" s="68" t="s">
        <v>25</v>
      </c>
      <c r="B232" s="72">
        <v>220820</v>
      </c>
      <c r="C232" s="73">
        <f t="shared" si="180"/>
        <v>1402207</v>
      </c>
      <c r="D232" s="72">
        <v>1035</v>
      </c>
      <c r="E232" s="72">
        <f t="shared" si="200"/>
        <v>362250</v>
      </c>
      <c r="F232" s="72">
        <f>61402+2000+2000+88552+2943</f>
        <v>156897</v>
      </c>
      <c r="G232" s="72">
        <v>15178</v>
      </c>
      <c r="H232" s="74">
        <f t="shared" si="198"/>
        <v>1906176</v>
      </c>
      <c r="I232" s="75">
        <f t="shared" si="193"/>
        <v>8.6322615705099182</v>
      </c>
      <c r="J232" s="98">
        <v>1964.2</v>
      </c>
      <c r="K232" s="84">
        <v>810</v>
      </c>
      <c r="L232" s="72">
        <v>64</v>
      </c>
      <c r="M232" s="74">
        <f t="shared" si="172"/>
        <v>51840</v>
      </c>
      <c r="N232" s="75">
        <f t="shared" si="183"/>
        <v>26.392424396700946</v>
      </c>
      <c r="O232" s="74">
        <f t="shared" si="184"/>
        <v>222784.2</v>
      </c>
      <c r="P232" s="74">
        <f t="shared" si="185"/>
        <v>1958016</v>
      </c>
      <c r="Q232" s="75">
        <f t="shared" si="186"/>
        <v>8.7888458876347606</v>
      </c>
      <c r="R232" s="72">
        <v>29434</v>
      </c>
      <c r="S232" s="91">
        <f t="shared" si="204"/>
        <v>132453</v>
      </c>
      <c r="T232" s="117">
        <f>S232+2943</f>
        <v>135396</v>
      </c>
      <c r="U232" s="118"/>
      <c r="V232" s="74">
        <f t="shared" si="188"/>
        <v>267849</v>
      </c>
      <c r="W232" s="78">
        <f t="shared" si="177"/>
        <v>252218.2</v>
      </c>
      <c r="X232" s="78">
        <f t="shared" si="178"/>
        <v>2090469</v>
      </c>
      <c r="Y232" s="94">
        <f t="shared" si="196"/>
        <v>8.2883352589147012</v>
      </c>
      <c r="Z232" s="68">
        <v>4</v>
      </c>
      <c r="AA232" s="68"/>
      <c r="AB232" s="68">
        <v>4.75</v>
      </c>
      <c r="AC232" s="68"/>
    </row>
    <row r="233" spans="1:29" x14ac:dyDescent="0.25">
      <c r="A233" s="71" t="s">
        <v>28</v>
      </c>
      <c r="B233" s="76">
        <f>SUM(B221:B232)</f>
        <v>887955</v>
      </c>
      <c r="C233" s="83">
        <f>SUM(C221:C232)</f>
        <v>5638514.2499999991</v>
      </c>
      <c r="D233" s="76"/>
      <c r="E233" s="76">
        <f>SUM(E221:E232)</f>
        <v>4391730</v>
      </c>
      <c r="F233" s="76">
        <f>SUM(F221:F232)</f>
        <v>1107916.92</v>
      </c>
      <c r="G233" s="76"/>
      <c r="H233" s="80">
        <f>SUM(H221:H232)</f>
        <v>9542213.1699999999</v>
      </c>
      <c r="I233" s="75"/>
      <c r="J233" s="76">
        <f>SUM(J221:J232)</f>
        <v>45908.81</v>
      </c>
      <c r="K233" s="76">
        <f>SUM(K221:K232)</f>
        <v>17020</v>
      </c>
      <c r="L233" s="76"/>
      <c r="M233" s="74">
        <f t="shared" si="172"/>
        <v>0</v>
      </c>
      <c r="N233" s="75">
        <f t="shared" si="183"/>
        <v>0</v>
      </c>
      <c r="O233" s="80">
        <f>SUM(O221:O232)</f>
        <v>933863.81</v>
      </c>
      <c r="P233" s="80">
        <f>SUM(P221:P232)</f>
        <v>10563363.17</v>
      </c>
      <c r="Q233" s="82">
        <f t="shared" si="186"/>
        <v>11.31146004040996</v>
      </c>
      <c r="R233" s="76">
        <f>SUM(R221:R232)</f>
        <v>2394021</v>
      </c>
      <c r="S233" s="90">
        <f>SUM(S221:S232)</f>
        <v>10773094.5</v>
      </c>
      <c r="T233" s="119"/>
      <c r="U233" s="120"/>
      <c r="V233" s="76"/>
      <c r="W233" s="79">
        <f>SUM(W221:W232)</f>
        <v>3327884.81</v>
      </c>
      <c r="X233" s="79">
        <f>SUM(X221:X232)</f>
        <v>21336457.670000002</v>
      </c>
      <c r="Y233" s="96">
        <f t="shared" si="196"/>
        <v>6.4114171277460779</v>
      </c>
      <c r="Z233" s="68"/>
      <c r="AA233" s="68"/>
      <c r="AB233" s="68"/>
      <c r="AC233" s="68"/>
    </row>
    <row r="234" spans="1:29" x14ac:dyDescent="0.25">
      <c r="O234" s="99"/>
      <c r="P234" s="26"/>
    </row>
    <row r="235" spans="1:29" x14ac:dyDescent="0.25">
      <c r="R235">
        <f>B233/(R233+B233)</f>
        <v>0.27055499491769591</v>
      </c>
    </row>
    <row r="236" spans="1:29" x14ac:dyDescent="0.25">
      <c r="B236" s="34"/>
      <c r="C236" s="34"/>
      <c r="D236" t="s">
        <v>77</v>
      </c>
    </row>
    <row r="237" spans="1:29" x14ac:dyDescent="0.25">
      <c r="C237" s="24"/>
      <c r="D237" t="s">
        <v>78</v>
      </c>
    </row>
    <row r="240" spans="1:29" ht="18.75" x14ac:dyDescent="0.25">
      <c r="A240" s="125" t="s">
        <v>83</v>
      </c>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row>
    <row r="241" spans="1:29" x14ac:dyDescent="0.25">
      <c r="A241" s="124" t="s">
        <v>37</v>
      </c>
      <c r="B241" s="124" t="s">
        <v>13</v>
      </c>
      <c r="C241" s="124" t="s">
        <v>2</v>
      </c>
      <c r="D241" s="124" t="s">
        <v>70</v>
      </c>
      <c r="E241" s="124" t="s">
        <v>3</v>
      </c>
      <c r="F241" s="124" t="s">
        <v>4</v>
      </c>
      <c r="G241" s="124" t="s">
        <v>35</v>
      </c>
      <c r="H241" s="124" t="s">
        <v>6</v>
      </c>
      <c r="I241" s="124" t="s">
        <v>7</v>
      </c>
      <c r="J241" s="124" t="s">
        <v>8</v>
      </c>
      <c r="K241" s="124" t="s">
        <v>9</v>
      </c>
      <c r="L241" s="124" t="s">
        <v>32</v>
      </c>
      <c r="M241" s="124" t="s">
        <v>10</v>
      </c>
      <c r="N241" s="124" t="s">
        <v>39</v>
      </c>
      <c r="O241" s="124" t="s">
        <v>33</v>
      </c>
      <c r="P241" s="124" t="s">
        <v>51</v>
      </c>
      <c r="Q241" s="121" t="s">
        <v>31</v>
      </c>
      <c r="R241" s="121" t="s">
        <v>50</v>
      </c>
      <c r="S241" s="121" t="s">
        <v>46</v>
      </c>
      <c r="T241" s="121" t="s">
        <v>48</v>
      </c>
      <c r="U241" s="121"/>
      <c r="V241" s="121" t="s">
        <v>49</v>
      </c>
      <c r="W241" s="124" t="s">
        <v>54</v>
      </c>
      <c r="X241" s="121" t="s">
        <v>52</v>
      </c>
      <c r="Y241" s="121" t="s">
        <v>53</v>
      </c>
      <c r="Z241" s="122" t="s">
        <v>81</v>
      </c>
      <c r="AA241" s="122"/>
      <c r="AB241" s="122"/>
      <c r="AC241" s="122"/>
    </row>
    <row r="242" spans="1:29" ht="75" x14ac:dyDescent="0.25">
      <c r="A242" s="124"/>
      <c r="B242" s="124"/>
      <c r="C242" s="124"/>
      <c r="D242" s="124"/>
      <c r="E242" s="124"/>
      <c r="F242" s="124"/>
      <c r="G242" s="124"/>
      <c r="H242" s="124"/>
      <c r="I242" s="124"/>
      <c r="J242" s="124"/>
      <c r="K242" s="124"/>
      <c r="L242" s="124"/>
      <c r="M242" s="124"/>
      <c r="N242" s="124"/>
      <c r="O242" s="124"/>
      <c r="P242" s="124"/>
      <c r="Q242" s="121"/>
      <c r="R242" s="121"/>
      <c r="S242" s="121"/>
      <c r="T242" s="121"/>
      <c r="U242" s="121"/>
      <c r="V242" s="121"/>
      <c r="W242" s="124"/>
      <c r="X242" s="121"/>
      <c r="Y242" s="121"/>
      <c r="Z242" s="101" t="s">
        <v>75</v>
      </c>
      <c r="AA242" s="101" t="s">
        <v>79</v>
      </c>
      <c r="AB242" s="101" t="s">
        <v>80</v>
      </c>
      <c r="AC242" s="97" t="s">
        <v>82</v>
      </c>
    </row>
    <row r="243" spans="1:29" x14ac:dyDescent="0.25">
      <c r="A243" s="68" t="s">
        <v>14</v>
      </c>
      <c r="B243" s="72">
        <v>254502</v>
      </c>
      <c r="C243" s="73">
        <f>B243*6.35</f>
        <v>1616087.7</v>
      </c>
      <c r="D243" s="72">
        <v>1035</v>
      </c>
      <c r="E243" s="72">
        <f t="shared" ref="E243:E250" si="205">D243*350</f>
        <v>362250</v>
      </c>
      <c r="F243" s="72">
        <f>63299+2000+98334</f>
        <v>163633</v>
      </c>
      <c r="G243" s="72">
        <v>23283</v>
      </c>
      <c r="H243" s="74">
        <f t="shared" ref="H243:H254" si="206">C243+E243+F243-G243</f>
        <v>2118687.7000000002</v>
      </c>
      <c r="I243" s="75">
        <f t="shared" ref="I243:I254" si="207">H243/B243</f>
        <v>8.3248371329105471</v>
      </c>
      <c r="J243" s="72">
        <v>289.3</v>
      </c>
      <c r="K243" s="72">
        <v>205</v>
      </c>
      <c r="L243" s="72">
        <v>68</v>
      </c>
      <c r="M243" s="74">
        <f t="shared" ref="M243:M254" si="208">L243*K243</f>
        <v>13940</v>
      </c>
      <c r="N243" s="75">
        <f t="shared" ref="N243:N245" si="209">M243/J243</f>
        <v>48.185274801244383</v>
      </c>
      <c r="O243" s="74">
        <f t="shared" ref="O243:O245" si="210">J243+B243</f>
        <v>254791.3</v>
      </c>
      <c r="P243" s="74">
        <f t="shared" ref="P243:P245" si="211">M243+H243</f>
        <v>2132627.7000000002</v>
      </c>
      <c r="Q243" s="75">
        <f t="shared" ref="Q243:Q245" si="212">P243/O243</f>
        <v>8.3700962317002201</v>
      </c>
      <c r="R243" s="72">
        <v>0</v>
      </c>
      <c r="S243" s="100">
        <v>0</v>
      </c>
      <c r="T243" s="117">
        <v>0</v>
      </c>
      <c r="U243" s="118"/>
      <c r="V243" s="72">
        <v>0</v>
      </c>
      <c r="W243" s="78">
        <f t="shared" ref="W243:X243" si="213">R243+O243</f>
        <v>254791.3</v>
      </c>
      <c r="X243" s="78">
        <f t="shared" si="213"/>
        <v>2132627.7000000002</v>
      </c>
      <c r="Y243" s="94">
        <f t="shared" ref="Y243" si="214">X243/W243</f>
        <v>8.3700962317002201</v>
      </c>
      <c r="Z243" s="68">
        <v>3.25</v>
      </c>
      <c r="AA243" s="68"/>
      <c r="AB243" s="68"/>
      <c r="AC243" s="68"/>
    </row>
    <row r="244" spans="1:29" x14ac:dyDescent="0.25">
      <c r="A244" s="68" t="s">
        <v>15</v>
      </c>
      <c r="B244" s="72">
        <v>208746</v>
      </c>
      <c r="C244" s="73">
        <f>B244*6.35</f>
        <v>1325537.0999999999</v>
      </c>
      <c r="D244" s="72">
        <v>1035</v>
      </c>
      <c r="E244" s="72">
        <f t="shared" si="205"/>
        <v>362250</v>
      </c>
      <c r="F244" s="74">
        <f>56738+2000+82155</f>
        <v>140893</v>
      </c>
      <c r="G244" s="72">
        <f>20031+4128</f>
        <v>24159</v>
      </c>
      <c r="H244" s="74">
        <f t="shared" si="206"/>
        <v>1804521.0999999999</v>
      </c>
      <c r="I244" s="75">
        <f t="shared" si="207"/>
        <v>8.644578099700114</v>
      </c>
      <c r="J244" s="72">
        <v>7956</v>
      </c>
      <c r="K244" s="72">
        <v>3180</v>
      </c>
      <c r="L244" s="72">
        <v>70</v>
      </c>
      <c r="M244" s="74">
        <f t="shared" si="208"/>
        <v>222600</v>
      </c>
      <c r="N244" s="75">
        <f t="shared" si="209"/>
        <v>27.978883861236802</v>
      </c>
      <c r="O244" s="74">
        <f t="shared" si="210"/>
        <v>216702</v>
      </c>
      <c r="P244" s="74">
        <f t="shared" si="211"/>
        <v>2027121.0999999999</v>
      </c>
      <c r="Q244" s="75">
        <f t="shared" si="212"/>
        <v>9.3544180487489719</v>
      </c>
      <c r="R244" s="72">
        <v>0</v>
      </c>
      <c r="S244" s="100">
        <v>0</v>
      </c>
      <c r="T244" s="117">
        <v>0</v>
      </c>
      <c r="U244" s="118"/>
      <c r="V244" s="72">
        <v>0</v>
      </c>
      <c r="W244" s="78">
        <f t="shared" ref="W244" si="215">R244+O244</f>
        <v>216702</v>
      </c>
      <c r="X244" s="78">
        <f t="shared" ref="X244" si="216">S244+P244</f>
        <v>2027121.0999999999</v>
      </c>
      <c r="Y244" s="94">
        <f t="shared" ref="Y244" si="217">X244/W244</f>
        <v>9.3544180487489719</v>
      </c>
      <c r="Z244" s="68">
        <v>13.35</v>
      </c>
      <c r="AA244" s="68"/>
      <c r="AB244" s="68">
        <v>47</v>
      </c>
      <c r="AC244" s="68"/>
    </row>
    <row r="245" spans="1:29" x14ac:dyDescent="0.25">
      <c r="A245" s="68" t="s">
        <v>16</v>
      </c>
      <c r="B245" s="72">
        <v>233514</v>
      </c>
      <c r="C245" s="73">
        <f>B245*6.35</f>
        <v>1482813.9</v>
      </c>
      <c r="D245" s="72">
        <v>1035</v>
      </c>
      <c r="E245" s="72">
        <f t="shared" si="205"/>
        <v>362250</v>
      </c>
      <c r="F245" s="74">
        <f>58110+2360+3960+91032</f>
        <v>155462</v>
      </c>
      <c r="G245" s="72">
        <v>20094</v>
      </c>
      <c r="H245" s="74">
        <f t="shared" si="206"/>
        <v>1980431.9</v>
      </c>
      <c r="I245" s="75">
        <f t="shared" si="207"/>
        <v>8.4809985696789045</v>
      </c>
      <c r="J245" s="84">
        <v>740</v>
      </c>
      <c r="K245" s="84">
        <v>365</v>
      </c>
      <c r="L245" s="72">
        <v>71</v>
      </c>
      <c r="M245" s="74">
        <f t="shared" si="208"/>
        <v>25915</v>
      </c>
      <c r="N245" s="75">
        <f t="shared" si="209"/>
        <v>35.020270270270274</v>
      </c>
      <c r="O245" s="74">
        <f t="shared" si="210"/>
        <v>234254</v>
      </c>
      <c r="P245" s="74">
        <f t="shared" si="211"/>
        <v>2006346.9</v>
      </c>
      <c r="Q245" s="75">
        <f t="shared" si="212"/>
        <v>8.5648351789083641</v>
      </c>
      <c r="R245" s="72">
        <v>0</v>
      </c>
      <c r="S245" s="91">
        <v>0</v>
      </c>
      <c r="T245" s="117">
        <v>0</v>
      </c>
      <c r="U245" s="118"/>
      <c r="V245" s="74">
        <v>0</v>
      </c>
      <c r="W245" s="78">
        <f t="shared" ref="W245" si="218">R245+O245</f>
        <v>234254</v>
      </c>
      <c r="X245" s="78">
        <f t="shared" ref="X245" si="219">S245+P245</f>
        <v>2006346.9</v>
      </c>
      <c r="Y245" s="94">
        <f t="shared" ref="Y245" si="220">X245/W245</f>
        <v>8.5648351789083641</v>
      </c>
      <c r="Z245" s="68">
        <v>5.45</v>
      </c>
      <c r="AA245" s="68"/>
      <c r="AB245" s="68"/>
      <c r="AC245" s="68"/>
    </row>
    <row r="246" spans="1:29" x14ac:dyDescent="0.25">
      <c r="A246" s="68" t="s">
        <v>17</v>
      </c>
      <c r="B246" s="72">
        <v>0</v>
      </c>
      <c r="C246" s="73">
        <v>0</v>
      </c>
      <c r="D246" s="72">
        <v>1035</v>
      </c>
      <c r="E246" s="72">
        <f t="shared" si="205"/>
        <v>362250</v>
      </c>
      <c r="F246" s="72">
        <f>2360+16758+35357+24926</f>
        <v>79401</v>
      </c>
      <c r="G246" s="72">
        <v>0</v>
      </c>
      <c r="H246" s="74">
        <f t="shared" si="206"/>
        <v>441651</v>
      </c>
      <c r="I246" s="75" t="e">
        <f t="shared" si="207"/>
        <v>#DIV/0!</v>
      </c>
      <c r="J246" s="72">
        <v>3464</v>
      </c>
      <c r="K246" s="72">
        <v>1350</v>
      </c>
      <c r="L246" s="72">
        <v>71</v>
      </c>
      <c r="M246" s="74">
        <f t="shared" si="208"/>
        <v>95850</v>
      </c>
      <c r="N246" s="75">
        <f t="shared" ref="N246:N254" si="221">M246/J246</f>
        <v>27.670323325635103</v>
      </c>
      <c r="O246" s="74">
        <f t="shared" ref="O246:O248" si="222">J246+B246</f>
        <v>3464</v>
      </c>
      <c r="P246" s="74">
        <f t="shared" ref="P246:P248" si="223">M246+H246</f>
        <v>537501</v>
      </c>
      <c r="Q246" s="32">
        <f t="shared" ref="Q246:Q248" si="224">P246/O246</f>
        <v>155.16772517321016</v>
      </c>
      <c r="R246" s="72">
        <v>249264</v>
      </c>
      <c r="S246" s="91">
        <f t="shared" ref="S246:S254" si="225">R246*4.5</f>
        <v>1121688</v>
      </c>
      <c r="T246" s="117">
        <f>35357+24926</f>
        <v>60283</v>
      </c>
      <c r="U246" s="118"/>
      <c r="V246" s="74">
        <f t="shared" ref="V246:V252" si="226">T246+S246</f>
        <v>1181971</v>
      </c>
      <c r="W246" s="78">
        <f t="shared" ref="W246" si="227">R246+O246</f>
        <v>252728</v>
      </c>
      <c r="X246" s="78">
        <f t="shared" ref="X246" si="228">S246+P246</f>
        <v>1659189</v>
      </c>
      <c r="Y246" s="94">
        <f t="shared" ref="Y246" si="229">X246/W246</f>
        <v>6.5651174385109687</v>
      </c>
      <c r="Z246" s="68">
        <v>14.54</v>
      </c>
      <c r="AA246" s="68"/>
      <c r="AB246" s="68"/>
      <c r="AC246" s="68">
        <v>1.1000000000000001</v>
      </c>
    </row>
    <row r="247" spans="1:29" x14ac:dyDescent="0.25">
      <c r="A247" s="68" t="s">
        <v>18</v>
      </c>
      <c r="B247" s="72">
        <v>0</v>
      </c>
      <c r="C247" s="73">
        <v>0</v>
      </c>
      <c r="D247" s="72">
        <v>1035</v>
      </c>
      <c r="E247" s="72">
        <f t="shared" si="205"/>
        <v>362250</v>
      </c>
      <c r="F247" s="72">
        <f>2360+217688+16128+52109+25290</f>
        <v>313575</v>
      </c>
      <c r="G247" s="72">
        <v>0</v>
      </c>
      <c r="H247" s="74">
        <f t="shared" si="206"/>
        <v>675825</v>
      </c>
      <c r="I247" s="75" t="e">
        <f t="shared" si="207"/>
        <v>#DIV/0!</v>
      </c>
      <c r="J247" s="84">
        <v>1666</v>
      </c>
      <c r="K247" s="84">
        <v>870</v>
      </c>
      <c r="L247" s="72">
        <v>72</v>
      </c>
      <c r="M247" s="74">
        <f t="shared" si="208"/>
        <v>62640</v>
      </c>
      <c r="N247" s="75">
        <f t="shared" si="221"/>
        <v>37.599039615846337</v>
      </c>
      <c r="O247" s="74">
        <f t="shared" si="222"/>
        <v>1666</v>
      </c>
      <c r="P247" s="74">
        <f t="shared" si="223"/>
        <v>738465</v>
      </c>
      <c r="Q247" s="32">
        <f t="shared" si="224"/>
        <v>443.25630252100842</v>
      </c>
      <c r="R247" s="72">
        <v>252900</v>
      </c>
      <c r="S247" s="91">
        <f t="shared" si="225"/>
        <v>1138050</v>
      </c>
      <c r="T247" s="117">
        <f>52109+25290</f>
        <v>77399</v>
      </c>
      <c r="U247" s="118"/>
      <c r="V247" s="74">
        <f t="shared" si="226"/>
        <v>1215449</v>
      </c>
      <c r="W247" s="78">
        <f t="shared" ref="W247" si="230">R247+O247</f>
        <v>254566</v>
      </c>
      <c r="X247" s="78">
        <f t="shared" ref="X247:X248" si="231">S247+P247</f>
        <v>1876515</v>
      </c>
      <c r="Y247" s="94">
        <f t="shared" ref="Y247" si="232">X247/W247</f>
        <v>7.3714282347210549</v>
      </c>
      <c r="Z247" s="68">
        <v>7.55</v>
      </c>
      <c r="AA247" s="68"/>
      <c r="AB247" s="68"/>
      <c r="AC247" s="68"/>
    </row>
    <row r="248" spans="1:29" x14ac:dyDescent="0.25">
      <c r="A248" s="68" t="s">
        <v>19</v>
      </c>
      <c r="B248" s="72">
        <v>0</v>
      </c>
      <c r="C248" s="73">
        <v>0</v>
      </c>
      <c r="D248" s="72">
        <v>1035</v>
      </c>
      <c r="E248" s="72">
        <f t="shared" si="205"/>
        <v>362250</v>
      </c>
      <c r="F248" s="72">
        <f>2360+2000+16002+42881+28908</f>
        <v>92151</v>
      </c>
      <c r="G248" s="72">
        <v>0</v>
      </c>
      <c r="H248" s="74">
        <f t="shared" si="206"/>
        <v>454401</v>
      </c>
      <c r="I248" s="75" t="e">
        <f t="shared" si="207"/>
        <v>#DIV/0!</v>
      </c>
      <c r="J248" s="84">
        <v>3883</v>
      </c>
      <c r="K248" s="84">
        <v>1570</v>
      </c>
      <c r="L248" s="72">
        <v>75</v>
      </c>
      <c r="M248" s="74">
        <f t="shared" si="208"/>
        <v>117750</v>
      </c>
      <c r="N248" s="75">
        <f t="shared" si="221"/>
        <v>30.324491372650012</v>
      </c>
      <c r="O248" s="74">
        <f t="shared" si="222"/>
        <v>3883</v>
      </c>
      <c r="P248" s="74">
        <f t="shared" si="223"/>
        <v>572151</v>
      </c>
      <c r="Q248" s="32">
        <f t="shared" si="224"/>
        <v>147.3476693278393</v>
      </c>
      <c r="R248" s="72">
        <v>289080</v>
      </c>
      <c r="S248" s="91">
        <f t="shared" si="225"/>
        <v>1300860</v>
      </c>
      <c r="T248" s="117">
        <f>42881+28908</f>
        <v>71789</v>
      </c>
      <c r="U248" s="118"/>
      <c r="V248" s="74">
        <f t="shared" si="226"/>
        <v>1372649</v>
      </c>
      <c r="W248" s="78">
        <f>R248+O248</f>
        <v>292963</v>
      </c>
      <c r="X248" s="78">
        <f t="shared" si="231"/>
        <v>1873011</v>
      </c>
      <c r="Y248" s="94">
        <f t="shared" ref="Y248" si="233">X248/W248</f>
        <v>6.3933363598816229</v>
      </c>
      <c r="Z248" s="68">
        <v>13.4</v>
      </c>
      <c r="AA248" s="68"/>
      <c r="AB248" s="68">
        <v>1.2</v>
      </c>
      <c r="AC248" s="68"/>
    </row>
    <row r="249" spans="1:29" x14ac:dyDescent="0.25">
      <c r="A249" s="68" t="s">
        <v>20</v>
      </c>
      <c r="B249" s="72">
        <v>0</v>
      </c>
      <c r="C249" s="73">
        <v>0</v>
      </c>
      <c r="D249" s="72">
        <v>1035</v>
      </c>
      <c r="E249" s="72">
        <f t="shared" si="205"/>
        <v>362250</v>
      </c>
      <c r="F249" s="72">
        <f>2360+16128+25627+26046</f>
        <v>70161</v>
      </c>
      <c r="G249" s="72">
        <v>0</v>
      </c>
      <c r="H249" s="74">
        <f t="shared" si="206"/>
        <v>432411</v>
      </c>
      <c r="I249" s="75" t="e">
        <f t="shared" si="207"/>
        <v>#DIV/0!</v>
      </c>
      <c r="J249" s="84">
        <v>3729</v>
      </c>
      <c r="K249" s="84">
        <v>1280</v>
      </c>
      <c r="L249" s="72">
        <v>76</v>
      </c>
      <c r="M249" s="74">
        <f t="shared" si="208"/>
        <v>97280</v>
      </c>
      <c r="N249" s="75">
        <f t="shared" si="221"/>
        <v>26.087422901582194</v>
      </c>
      <c r="O249" s="74">
        <f t="shared" ref="O249:O254" si="234">J249+B249</f>
        <v>3729</v>
      </c>
      <c r="P249" s="74">
        <f t="shared" ref="P249:P254" si="235">M249+H249</f>
        <v>529691</v>
      </c>
      <c r="Q249" s="32">
        <f t="shared" ref="Q249:Q255" si="236">P249/O249</f>
        <v>142.04639313488872</v>
      </c>
      <c r="R249" s="72">
        <v>260460</v>
      </c>
      <c r="S249" s="91">
        <f t="shared" si="225"/>
        <v>1172070</v>
      </c>
      <c r="T249" s="117">
        <f>25627+26046</f>
        <v>51673</v>
      </c>
      <c r="U249" s="118"/>
      <c r="V249" s="74">
        <f t="shared" si="226"/>
        <v>1223743</v>
      </c>
      <c r="W249" s="78">
        <f>R249+O249</f>
        <v>264189</v>
      </c>
      <c r="X249" s="78">
        <f t="shared" ref="X249" si="237">S249+P249</f>
        <v>1701761</v>
      </c>
      <c r="Y249" s="94">
        <f t="shared" ref="Y249:Y250" si="238">X249/W249</f>
        <v>6.4414528992501578</v>
      </c>
      <c r="Z249" s="68">
        <v>6.3</v>
      </c>
      <c r="AA249" s="68"/>
      <c r="AB249" s="68">
        <v>7.3</v>
      </c>
      <c r="AC249" s="68"/>
    </row>
    <row r="250" spans="1:29" x14ac:dyDescent="0.25">
      <c r="A250" s="68" t="s">
        <v>21</v>
      </c>
      <c r="B250" s="72">
        <v>0</v>
      </c>
      <c r="C250" s="73">
        <v>0</v>
      </c>
      <c r="D250" s="72">
        <v>1035</v>
      </c>
      <c r="E250" s="72">
        <f t="shared" si="205"/>
        <v>362250</v>
      </c>
      <c r="F250" s="72">
        <f>2360+13860+22968</f>
        <v>39188</v>
      </c>
      <c r="G250" s="72">
        <v>0</v>
      </c>
      <c r="H250" s="74">
        <f t="shared" si="206"/>
        <v>401438</v>
      </c>
      <c r="I250" s="75" t="e">
        <f t="shared" si="207"/>
        <v>#DIV/0!</v>
      </c>
      <c r="J250" s="72">
        <v>748</v>
      </c>
      <c r="K250" s="72">
        <v>330</v>
      </c>
      <c r="L250" s="72">
        <v>76</v>
      </c>
      <c r="M250" s="74">
        <f t="shared" si="208"/>
        <v>25080</v>
      </c>
      <c r="N250" s="75">
        <f t="shared" si="221"/>
        <v>33.529411764705884</v>
      </c>
      <c r="O250" s="74">
        <f t="shared" si="234"/>
        <v>748</v>
      </c>
      <c r="P250" s="74">
        <f t="shared" si="235"/>
        <v>426518</v>
      </c>
      <c r="Q250" s="32">
        <f t="shared" si="236"/>
        <v>570.2112299465241</v>
      </c>
      <c r="R250" s="72">
        <v>229680</v>
      </c>
      <c r="S250" s="91">
        <f t="shared" si="225"/>
        <v>1033560</v>
      </c>
      <c r="T250" s="117">
        <v>22968</v>
      </c>
      <c r="U250" s="118"/>
      <c r="V250" s="74">
        <f t="shared" si="226"/>
        <v>1056528</v>
      </c>
      <c r="W250" s="78">
        <f>R250+O250</f>
        <v>230428</v>
      </c>
      <c r="X250" s="78">
        <f t="shared" ref="X250" si="239">S250+P250</f>
        <v>1460078</v>
      </c>
      <c r="Y250" s="94">
        <f t="shared" si="238"/>
        <v>6.3363740517645422</v>
      </c>
      <c r="Z250" s="68">
        <v>4.1500000000000004</v>
      </c>
      <c r="AA250" s="68"/>
      <c r="AB250" s="68"/>
      <c r="AC250" s="68"/>
    </row>
    <row r="251" spans="1:29" x14ac:dyDescent="0.25">
      <c r="A251" s="68" t="s">
        <v>22</v>
      </c>
      <c r="B251" s="72">
        <v>149438</v>
      </c>
      <c r="C251" s="73">
        <f>B251*6.35</f>
        <v>948931.29999999993</v>
      </c>
      <c r="D251" s="72">
        <v>1035</v>
      </c>
      <c r="E251" s="72">
        <f t="shared" ref="E251:E252" si="240">D251*350</f>
        <v>362250</v>
      </c>
      <c r="F251" s="74">
        <f>3699.51+2360+61491.5+10656</f>
        <v>78207.009999999995</v>
      </c>
      <c r="G251" s="74">
        <v>5122.2299999999996</v>
      </c>
      <c r="H251" s="74">
        <f t="shared" si="206"/>
        <v>1384266.0799999998</v>
      </c>
      <c r="I251" s="75">
        <f t="shared" si="207"/>
        <v>9.2631464553861793</v>
      </c>
      <c r="J251" s="72">
        <v>770</v>
      </c>
      <c r="K251" s="72">
        <v>300</v>
      </c>
      <c r="L251" s="72">
        <v>76</v>
      </c>
      <c r="M251" s="74">
        <f t="shared" si="208"/>
        <v>22800</v>
      </c>
      <c r="N251" s="75">
        <f t="shared" si="221"/>
        <v>29.61038961038961</v>
      </c>
      <c r="O251" s="74">
        <f t="shared" si="234"/>
        <v>150208</v>
      </c>
      <c r="P251" s="74">
        <f t="shared" si="235"/>
        <v>1407066.0799999998</v>
      </c>
      <c r="Q251" s="32">
        <f t="shared" si="236"/>
        <v>9.3674510012782264</v>
      </c>
      <c r="R251" s="72">
        <v>106558</v>
      </c>
      <c r="S251" s="92">
        <f t="shared" si="225"/>
        <v>479511</v>
      </c>
      <c r="T251" s="117">
        <v>10656</v>
      </c>
      <c r="U251" s="118"/>
      <c r="V251" s="74">
        <f t="shared" si="226"/>
        <v>490167</v>
      </c>
      <c r="W251" s="78">
        <f>R251+O251</f>
        <v>256766</v>
      </c>
      <c r="X251" s="78">
        <f t="shared" ref="X251" si="241">S251+P251</f>
        <v>1886577.0799999998</v>
      </c>
      <c r="Y251" s="94">
        <f t="shared" ref="Y251:Y253" si="242">X251/W251</f>
        <v>7.3474567505043495</v>
      </c>
      <c r="Z251" s="68">
        <v>2.4500000000000002</v>
      </c>
      <c r="AA251" s="68"/>
      <c r="AB251" s="68"/>
      <c r="AC251" s="68">
        <v>0.35</v>
      </c>
    </row>
    <row r="252" spans="1:29" x14ac:dyDescent="0.25">
      <c r="A252" s="68" t="s">
        <v>23</v>
      </c>
      <c r="B252" s="72">
        <v>158933</v>
      </c>
      <c r="C252" s="73">
        <f>B252*6.35</f>
        <v>1009224.5499999999</v>
      </c>
      <c r="D252" s="72">
        <v>1035</v>
      </c>
      <c r="E252" s="72">
        <f t="shared" si="240"/>
        <v>362250</v>
      </c>
      <c r="F252" s="74">
        <f>34962+2360+66951+2000+10114+9465</f>
        <v>125852</v>
      </c>
      <c r="G252" s="74">
        <v>373</v>
      </c>
      <c r="H252" s="74">
        <f t="shared" si="206"/>
        <v>1496953.5499999998</v>
      </c>
      <c r="I252" s="75">
        <f t="shared" si="207"/>
        <v>9.4187711173890865</v>
      </c>
      <c r="J252" s="73">
        <v>3895</v>
      </c>
      <c r="K252" s="73">
        <v>1340</v>
      </c>
      <c r="L252" s="72">
        <v>70</v>
      </c>
      <c r="M252" s="74">
        <f t="shared" si="208"/>
        <v>93800</v>
      </c>
      <c r="N252" s="75">
        <f t="shared" si="221"/>
        <v>24.082156611039796</v>
      </c>
      <c r="O252" s="74">
        <f t="shared" si="234"/>
        <v>162828</v>
      </c>
      <c r="P252" s="74">
        <f t="shared" si="235"/>
        <v>1590753.5499999998</v>
      </c>
      <c r="Q252" s="32">
        <f t="shared" si="236"/>
        <v>9.7695331883951155</v>
      </c>
      <c r="R252" s="72">
        <v>94651</v>
      </c>
      <c r="S252" s="92">
        <f t="shared" si="225"/>
        <v>425929.5</v>
      </c>
      <c r="T252" s="117">
        <f>9465+10114</f>
        <v>19579</v>
      </c>
      <c r="U252" s="118"/>
      <c r="V252" s="74">
        <f t="shared" si="226"/>
        <v>445508.5</v>
      </c>
      <c r="W252" s="78">
        <f t="shared" ref="W252:W253" si="243">R252+O252</f>
        <v>257479</v>
      </c>
      <c r="X252" s="78">
        <f t="shared" ref="X252:X253" si="244">S252+P252</f>
        <v>2016683.0499999998</v>
      </c>
      <c r="Y252" s="94">
        <f t="shared" si="242"/>
        <v>7.8324175952213571</v>
      </c>
      <c r="Z252" s="68">
        <v>10</v>
      </c>
      <c r="AA252" s="68"/>
      <c r="AB252" s="68">
        <v>0.25</v>
      </c>
      <c r="AC252" s="68"/>
    </row>
    <row r="253" spans="1:29" x14ac:dyDescent="0.25">
      <c r="A253" s="68" t="s">
        <v>24</v>
      </c>
      <c r="B253" s="72">
        <v>296586</v>
      </c>
      <c r="C253" s="73">
        <f>B253*6.35</f>
        <v>1883321.0999999999</v>
      </c>
      <c r="D253" s="72">
        <v>1035</v>
      </c>
      <c r="E253" s="72">
        <f t="shared" ref="E253" si="245">D253*350</f>
        <v>362250</v>
      </c>
      <c r="F253" s="74">
        <f>78844+2360+112976</f>
        <v>194180</v>
      </c>
      <c r="G253" s="74">
        <v>26398</v>
      </c>
      <c r="H253" s="74">
        <f t="shared" si="206"/>
        <v>2413353.0999999996</v>
      </c>
      <c r="I253" s="75">
        <f t="shared" si="207"/>
        <v>8.1371106525594588</v>
      </c>
      <c r="J253" s="98">
        <v>213</v>
      </c>
      <c r="K253" s="84">
        <v>138</v>
      </c>
      <c r="L253" s="72">
        <v>72</v>
      </c>
      <c r="M253" s="74">
        <f t="shared" si="208"/>
        <v>9936</v>
      </c>
      <c r="N253" s="75">
        <f t="shared" si="221"/>
        <v>46.647887323943664</v>
      </c>
      <c r="O253" s="74">
        <f t="shared" si="234"/>
        <v>296799</v>
      </c>
      <c r="P253" s="74">
        <f t="shared" si="235"/>
        <v>2423289.0999999996</v>
      </c>
      <c r="Q253" s="32">
        <f t="shared" si="236"/>
        <v>8.1647481965909581</v>
      </c>
      <c r="R253" s="72">
        <v>0</v>
      </c>
      <c r="S253" s="91">
        <f t="shared" si="225"/>
        <v>0</v>
      </c>
      <c r="T253" s="117">
        <v>0</v>
      </c>
      <c r="U253" s="118"/>
      <c r="V253" s="74">
        <v>0</v>
      </c>
      <c r="W253" s="78">
        <f t="shared" si="243"/>
        <v>296799</v>
      </c>
      <c r="X253" s="78">
        <f t="shared" si="244"/>
        <v>2423289.0999999996</v>
      </c>
      <c r="Y253" s="94">
        <f t="shared" si="242"/>
        <v>8.1647481965909581</v>
      </c>
      <c r="Z253" s="68">
        <v>1.25</v>
      </c>
      <c r="AA253" s="68"/>
      <c r="AB253" s="68">
        <v>0.25</v>
      </c>
      <c r="AC253" s="68"/>
    </row>
    <row r="254" spans="1:29" x14ac:dyDescent="0.25">
      <c r="A254" s="68" t="s">
        <v>25</v>
      </c>
      <c r="B254" s="72">
        <v>251820</v>
      </c>
      <c r="C254" s="73">
        <f>B254*6.35</f>
        <v>1599057</v>
      </c>
      <c r="D254" s="72">
        <v>1035</v>
      </c>
      <c r="E254" s="72">
        <f t="shared" ref="E254" si="246">D254*350</f>
        <v>362250</v>
      </c>
      <c r="F254" s="72">
        <f>66751+2360+97277</f>
        <v>166388</v>
      </c>
      <c r="G254" s="72">
        <v>23866</v>
      </c>
      <c r="H254" s="74">
        <f t="shared" si="206"/>
        <v>2103829</v>
      </c>
      <c r="I254" s="75">
        <f t="shared" si="207"/>
        <v>8.3544952744023515</v>
      </c>
      <c r="J254" s="98">
        <v>2691</v>
      </c>
      <c r="K254" s="84">
        <v>882</v>
      </c>
      <c r="L254" s="72">
        <v>71</v>
      </c>
      <c r="M254" s="74">
        <f t="shared" si="208"/>
        <v>62622</v>
      </c>
      <c r="N254" s="75">
        <f t="shared" si="221"/>
        <v>23.270903010033443</v>
      </c>
      <c r="O254" s="74">
        <f t="shared" si="234"/>
        <v>254511</v>
      </c>
      <c r="P254" s="74">
        <f t="shared" si="235"/>
        <v>2166451</v>
      </c>
      <c r="Q254" s="32">
        <f t="shared" si="236"/>
        <v>8.5122096883828196</v>
      </c>
      <c r="R254" s="72">
        <v>0</v>
      </c>
      <c r="S254" s="91">
        <f t="shared" si="225"/>
        <v>0</v>
      </c>
      <c r="T254" s="117">
        <v>0</v>
      </c>
      <c r="U254" s="118"/>
      <c r="V254" s="74">
        <v>0</v>
      </c>
      <c r="W254" s="78">
        <f t="shared" ref="W254" si="247">R254+O254</f>
        <v>254511</v>
      </c>
      <c r="X254" s="78">
        <f t="shared" ref="X254" si="248">S254+P254</f>
        <v>2166451</v>
      </c>
      <c r="Y254" s="94">
        <f t="shared" ref="Y254:Y255" si="249">X254/W254</f>
        <v>8.5122096883828196</v>
      </c>
      <c r="Z254" s="68">
        <v>7.25</v>
      </c>
      <c r="AA254" s="68"/>
      <c r="AB254" s="68"/>
      <c r="AC254" s="68"/>
    </row>
    <row r="255" spans="1:29" x14ac:dyDescent="0.25">
      <c r="A255" s="71" t="s">
        <v>28</v>
      </c>
      <c r="B255" s="76"/>
      <c r="C255" s="83"/>
      <c r="D255" s="76"/>
      <c r="E255" s="76"/>
      <c r="F255" s="76"/>
      <c r="G255" s="76"/>
      <c r="H255" s="80"/>
      <c r="I255" s="75"/>
      <c r="J255" s="80">
        <f>SUM(J243:J254)</f>
        <v>30044.3</v>
      </c>
      <c r="K255" s="76">
        <f>SUM(K243:K254)</f>
        <v>11810</v>
      </c>
      <c r="L255" s="76"/>
      <c r="M255" s="74"/>
      <c r="N255" s="75"/>
      <c r="O255" s="80">
        <f>SUM(O243:O254)</f>
        <v>1583583.3</v>
      </c>
      <c r="P255" s="80">
        <f>SUM(P243:P254)</f>
        <v>16557981.429999998</v>
      </c>
      <c r="Q255" s="82">
        <f t="shared" si="236"/>
        <v>10.456021751429178</v>
      </c>
      <c r="R255" s="76">
        <f>SUM(R243:R254)</f>
        <v>1482593</v>
      </c>
      <c r="S255" s="90"/>
      <c r="T255" s="119"/>
      <c r="U255" s="120"/>
      <c r="V255" s="76"/>
      <c r="W255" s="79">
        <f>SUM(W243:W254)</f>
        <v>3066176.3</v>
      </c>
      <c r="X255" s="79">
        <f>SUM(X243:X254)</f>
        <v>23229649.93</v>
      </c>
      <c r="Y255" s="96">
        <f t="shared" si="249"/>
        <v>7.5760972811641656</v>
      </c>
      <c r="Z255" s="68"/>
      <c r="AA255" s="68"/>
      <c r="AB255" s="68"/>
      <c r="AC255" s="68"/>
    </row>
    <row r="259" spans="1:29" ht="18.75" x14ac:dyDescent="0.25">
      <c r="A259" s="125" t="s">
        <v>84</v>
      </c>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row>
    <row r="260" spans="1:29" x14ac:dyDescent="0.25">
      <c r="A260" s="124" t="s">
        <v>37</v>
      </c>
      <c r="B260" s="124" t="s">
        <v>13</v>
      </c>
      <c r="C260" s="124" t="s">
        <v>2</v>
      </c>
      <c r="D260" s="124" t="s">
        <v>70</v>
      </c>
      <c r="E260" s="124" t="s">
        <v>3</v>
      </c>
      <c r="F260" s="124" t="s">
        <v>4</v>
      </c>
      <c r="G260" s="124" t="s">
        <v>35</v>
      </c>
      <c r="H260" s="124" t="s">
        <v>6</v>
      </c>
      <c r="I260" s="124" t="s">
        <v>7</v>
      </c>
      <c r="J260" s="124" t="s">
        <v>8</v>
      </c>
      <c r="K260" s="124" t="s">
        <v>9</v>
      </c>
      <c r="L260" s="124" t="s">
        <v>32</v>
      </c>
      <c r="M260" s="124" t="s">
        <v>10</v>
      </c>
      <c r="N260" s="124" t="s">
        <v>39</v>
      </c>
      <c r="O260" s="124" t="s">
        <v>33</v>
      </c>
      <c r="P260" s="124" t="s">
        <v>51</v>
      </c>
      <c r="Q260" s="121" t="s">
        <v>31</v>
      </c>
      <c r="R260" s="121" t="s">
        <v>50</v>
      </c>
      <c r="S260" s="121" t="s">
        <v>46</v>
      </c>
      <c r="T260" s="121" t="s">
        <v>48</v>
      </c>
      <c r="U260" s="121"/>
      <c r="V260" s="121" t="s">
        <v>49</v>
      </c>
      <c r="W260" s="124" t="s">
        <v>54</v>
      </c>
      <c r="X260" s="121" t="s">
        <v>52</v>
      </c>
      <c r="Y260" s="121" t="s">
        <v>53</v>
      </c>
      <c r="Z260" s="122" t="s">
        <v>81</v>
      </c>
      <c r="AA260" s="122"/>
      <c r="AB260" s="122"/>
      <c r="AC260" s="122"/>
    </row>
    <row r="261" spans="1:29" ht="75" x14ac:dyDescent="0.25">
      <c r="A261" s="124"/>
      <c r="B261" s="124"/>
      <c r="C261" s="124"/>
      <c r="D261" s="124"/>
      <c r="E261" s="124"/>
      <c r="F261" s="124"/>
      <c r="G261" s="124"/>
      <c r="H261" s="124"/>
      <c r="I261" s="124"/>
      <c r="J261" s="124"/>
      <c r="K261" s="124"/>
      <c r="L261" s="124"/>
      <c r="M261" s="124"/>
      <c r="N261" s="124"/>
      <c r="O261" s="124"/>
      <c r="P261" s="124"/>
      <c r="Q261" s="121"/>
      <c r="R261" s="121"/>
      <c r="S261" s="121"/>
      <c r="T261" s="121"/>
      <c r="U261" s="121"/>
      <c r="V261" s="121"/>
      <c r="W261" s="124"/>
      <c r="X261" s="121"/>
      <c r="Y261" s="121"/>
      <c r="Z261" s="103" t="s">
        <v>75</v>
      </c>
      <c r="AA261" s="103" t="s">
        <v>79</v>
      </c>
      <c r="AB261" s="103" t="s">
        <v>80</v>
      </c>
      <c r="AC261" s="97" t="s">
        <v>82</v>
      </c>
    </row>
    <row r="262" spans="1:29" x14ac:dyDescent="0.25">
      <c r="A262" s="68" t="s">
        <v>14</v>
      </c>
      <c r="B262" s="72">
        <v>252972</v>
      </c>
      <c r="C262" s="73">
        <f>B262*6.35</f>
        <v>1606372.2</v>
      </c>
      <c r="D262" s="72">
        <v>1035</v>
      </c>
      <c r="E262" s="72">
        <f t="shared" ref="E262" si="250">D262*350</f>
        <v>362250</v>
      </c>
      <c r="F262" s="72">
        <f>67117+2360+97535</f>
        <v>167012</v>
      </c>
      <c r="G262" s="72">
        <v>23883</v>
      </c>
      <c r="H262" s="74">
        <f t="shared" ref="H262:H263" si="251">C262+E262+F262-G262</f>
        <v>2111751.2000000002</v>
      </c>
      <c r="I262" s="32">
        <f t="shared" ref="I262:I263" si="252">H262/B262</f>
        <v>8.3477665512388732</v>
      </c>
      <c r="J262" s="72">
        <v>1577</v>
      </c>
      <c r="K262" s="72">
        <v>645</v>
      </c>
      <c r="L262" s="72">
        <v>71</v>
      </c>
      <c r="M262" s="74">
        <f t="shared" ref="M262" si="253">L262*K262</f>
        <v>45795</v>
      </c>
      <c r="N262" s="75">
        <f t="shared" ref="N262" si="254">M262/J262</f>
        <v>29.039315155358274</v>
      </c>
      <c r="O262" s="74">
        <f t="shared" ref="O262" si="255">J262+B262</f>
        <v>254549</v>
      </c>
      <c r="P262" s="74">
        <f t="shared" ref="P262" si="256">M262+H262</f>
        <v>2157546.2000000002</v>
      </c>
      <c r="Q262" s="32">
        <f t="shared" ref="Q262" si="257">P262/O262</f>
        <v>8.4759562991801189</v>
      </c>
      <c r="R262" s="72">
        <v>0</v>
      </c>
      <c r="S262" s="102">
        <v>0</v>
      </c>
      <c r="T262" s="117">
        <v>0</v>
      </c>
      <c r="U262" s="118"/>
      <c r="V262" s="72">
        <v>0</v>
      </c>
      <c r="W262" s="78">
        <f t="shared" ref="W262" si="258">R262+O262</f>
        <v>254549</v>
      </c>
      <c r="X262" s="78">
        <f t="shared" ref="X262" si="259">S262+P262</f>
        <v>2157546.2000000002</v>
      </c>
      <c r="Y262" s="94">
        <f t="shared" ref="Y262:Y263" si="260">X262/W262</f>
        <v>8.4759562991801189</v>
      </c>
      <c r="Z262" s="68">
        <v>5.45</v>
      </c>
      <c r="AA262" s="68"/>
      <c r="AB262" s="68">
        <v>15</v>
      </c>
      <c r="AC262" s="68"/>
    </row>
    <row r="263" spans="1:29" x14ac:dyDescent="0.25">
      <c r="A263" s="68" t="s">
        <v>15</v>
      </c>
      <c r="B263" s="72">
        <v>1585</v>
      </c>
      <c r="C263" s="73">
        <f>B263*6.35</f>
        <v>10064.75</v>
      </c>
      <c r="D263" s="72">
        <v>1035</v>
      </c>
      <c r="E263" s="72">
        <f t="shared" ref="E263" si="261">D263*350</f>
        <v>362250</v>
      </c>
      <c r="F263" s="74">
        <f>2013+2360+14086+22534</f>
        <v>40993</v>
      </c>
      <c r="G263" s="104">
        <v>108604</v>
      </c>
      <c r="H263" s="74">
        <f t="shared" si="251"/>
        <v>304703.75</v>
      </c>
      <c r="I263" s="32">
        <f t="shared" si="252"/>
        <v>192.24211356466876</v>
      </c>
      <c r="J263" s="72">
        <v>3827</v>
      </c>
      <c r="K263" s="72">
        <v>1405</v>
      </c>
      <c r="L263" s="72">
        <v>69</v>
      </c>
      <c r="M263" s="74">
        <f t="shared" ref="M263" si="262">L263*K263</f>
        <v>96945</v>
      </c>
      <c r="N263" s="75">
        <f t="shared" ref="N263" si="263">M263/J263</f>
        <v>25.331852626077868</v>
      </c>
      <c r="O263" s="74">
        <f t="shared" ref="O263" si="264">J263+B263</f>
        <v>5412</v>
      </c>
      <c r="P263" s="74">
        <f t="shared" ref="P263" si="265">M263+H263</f>
        <v>401648.75</v>
      </c>
      <c r="Q263" s="32">
        <f t="shared" ref="Q263" si="266">P263/O263</f>
        <v>74.214477087952702</v>
      </c>
      <c r="R263" s="72">
        <v>226926</v>
      </c>
      <c r="S263" s="92">
        <f t="shared" ref="S263:S273" si="267">R263*4.5</f>
        <v>1021167</v>
      </c>
      <c r="T263" s="117">
        <v>36620</v>
      </c>
      <c r="U263" s="118"/>
      <c r="V263" s="74">
        <f t="shared" ref="V263:V266" si="268">T263+S263</f>
        <v>1057787</v>
      </c>
      <c r="W263" s="78">
        <f t="shared" ref="W263" si="269">R263+O263</f>
        <v>232338</v>
      </c>
      <c r="X263" s="78">
        <f t="shared" ref="X263" si="270">S263+P263</f>
        <v>1422815.75</v>
      </c>
      <c r="Y263" s="94">
        <f t="shared" si="260"/>
        <v>6.1239046131067667</v>
      </c>
      <c r="Z263" s="68">
        <v>12</v>
      </c>
      <c r="AA263" s="68">
        <v>4.5</v>
      </c>
      <c r="AB263" s="68"/>
      <c r="AC263" s="68"/>
    </row>
    <row r="264" spans="1:29" x14ac:dyDescent="0.25">
      <c r="A264" s="68" t="s">
        <v>16</v>
      </c>
      <c r="B264" s="72">
        <v>4000</v>
      </c>
      <c r="C264" s="73">
        <f t="shared" ref="C264:C273" si="271">B264*6.35</f>
        <v>25400</v>
      </c>
      <c r="D264" s="72">
        <v>1035</v>
      </c>
      <c r="E264" s="72">
        <f t="shared" ref="E264:E267" si="272">D264*350</f>
        <v>362250</v>
      </c>
      <c r="F264" s="74">
        <f>2360+15382+24626+23047</f>
        <v>65415</v>
      </c>
      <c r="G264" s="104">
        <v>0</v>
      </c>
      <c r="H264" s="74">
        <f t="shared" ref="H264:H273" si="273">C264+E264+F264-G264</f>
        <v>453065</v>
      </c>
      <c r="I264" s="32">
        <f t="shared" ref="I264:I273" si="274">H264/B264</f>
        <v>113.26625</v>
      </c>
      <c r="J264" s="84">
        <v>362</v>
      </c>
      <c r="K264" s="84">
        <v>225</v>
      </c>
      <c r="L264" s="72">
        <v>70</v>
      </c>
      <c r="M264" s="74">
        <f t="shared" ref="M264:M273" si="275">L264*K264</f>
        <v>15750</v>
      </c>
      <c r="N264" s="75">
        <f t="shared" ref="N264:N273" si="276">M264/J264</f>
        <v>43.508287292817677</v>
      </c>
      <c r="O264" s="74">
        <f t="shared" ref="O264:O273" si="277">J264+B264</f>
        <v>4362</v>
      </c>
      <c r="P264" s="74">
        <f t="shared" ref="P264:P273" si="278">M264+H264</f>
        <v>468815</v>
      </c>
      <c r="Q264" s="32">
        <f t="shared" ref="Q264:Q273" si="279">P264/O264</f>
        <v>107.47707473635947</v>
      </c>
      <c r="R264" s="72">
        <v>230468</v>
      </c>
      <c r="S264" s="92">
        <f t="shared" si="267"/>
        <v>1037106</v>
      </c>
      <c r="T264" s="117">
        <f>23047+24626</f>
        <v>47673</v>
      </c>
      <c r="U264" s="118"/>
      <c r="V264" s="74">
        <f t="shared" si="268"/>
        <v>1084779</v>
      </c>
      <c r="W264" s="78">
        <f t="shared" ref="W264" si="280">R264+O264</f>
        <v>234830</v>
      </c>
      <c r="X264" s="78">
        <f t="shared" ref="X264" si="281">S264+P264</f>
        <v>1505921</v>
      </c>
      <c r="Y264" s="94">
        <f t="shared" ref="Y264:Y266" si="282">X264/W264</f>
        <v>6.4128135246774258</v>
      </c>
      <c r="Z264" s="68">
        <v>2.4</v>
      </c>
      <c r="AA264" s="68"/>
      <c r="AB264" s="68"/>
      <c r="AC264" s="68"/>
    </row>
    <row r="265" spans="1:29" x14ac:dyDescent="0.25">
      <c r="A265" s="68" t="s">
        <v>17</v>
      </c>
      <c r="B265" s="72">
        <v>0</v>
      </c>
      <c r="C265" s="73">
        <f t="shared" si="271"/>
        <v>0</v>
      </c>
      <c r="D265" s="72">
        <v>1035</v>
      </c>
      <c r="E265" s="72">
        <f t="shared" si="272"/>
        <v>362250</v>
      </c>
      <c r="F265" s="74">
        <f>2360+15624+27305+25555</f>
        <v>70844</v>
      </c>
      <c r="G265" s="104">
        <v>0</v>
      </c>
      <c r="H265" s="74">
        <f t="shared" si="273"/>
        <v>433094</v>
      </c>
      <c r="I265" s="32" t="e">
        <f t="shared" si="274"/>
        <v>#DIV/0!</v>
      </c>
      <c r="J265" s="72">
        <v>4283</v>
      </c>
      <c r="K265" s="72">
        <v>1475</v>
      </c>
      <c r="L265" s="72">
        <v>70</v>
      </c>
      <c r="M265" s="74">
        <f t="shared" si="275"/>
        <v>103250</v>
      </c>
      <c r="N265" s="75">
        <f t="shared" si="276"/>
        <v>24.106934391781461</v>
      </c>
      <c r="O265" s="74">
        <f t="shared" si="277"/>
        <v>4283</v>
      </c>
      <c r="P265" s="74">
        <f t="shared" si="278"/>
        <v>536344</v>
      </c>
      <c r="Q265" s="32">
        <f t="shared" si="279"/>
        <v>125.22624328741536</v>
      </c>
      <c r="R265" s="72">
        <v>255546</v>
      </c>
      <c r="S265" s="92">
        <f t="shared" si="267"/>
        <v>1149957</v>
      </c>
      <c r="T265" s="117">
        <f>27305+25555</f>
        <v>52860</v>
      </c>
      <c r="U265" s="118"/>
      <c r="V265" s="74">
        <f t="shared" si="268"/>
        <v>1202817</v>
      </c>
      <c r="W265" s="78">
        <f t="shared" ref="W265" si="283">R265+O265</f>
        <v>259829</v>
      </c>
      <c r="X265" s="78">
        <f t="shared" ref="X265" si="284">S265+P265</f>
        <v>1686301</v>
      </c>
      <c r="Y265" s="94">
        <f t="shared" si="282"/>
        <v>6.4900415273121936</v>
      </c>
      <c r="Z265" s="68">
        <v>10.25</v>
      </c>
      <c r="AA265" s="68"/>
      <c r="AB265" s="68"/>
      <c r="AC265" s="68"/>
    </row>
    <row r="266" spans="1:29" x14ac:dyDescent="0.25">
      <c r="A266" s="68" t="s">
        <v>18</v>
      </c>
      <c r="B266" s="72">
        <v>0</v>
      </c>
      <c r="C266" s="73">
        <f t="shared" si="271"/>
        <v>0</v>
      </c>
      <c r="D266" s="72">
        <v>1035</v>
      </c>
      <c r="E266" s="72">
        <f t="shared" si="272"/>
        <v>362250</v>
      </c>
      <c r="F266" s="72">
        <f>2360+14616+27292+25542</f>
        <v>69810</v>
      </c>
      <c r="G266" s="72">
        <v>0</v>
      </c>
      <c r="H266" s="74">
        <f t="shared" si="273"/>
        <v>432060</v>
      </c>
      <c r="I266" s="32" t="e">
        <f t="shared" si="274"/>
        <v>#DIV/0!</v>
      </c>
      <c r="J266" s="84">
        <v>807</v>
      </c>
      <c r="K266" s="84">
        <v>380</v>
      </c>
      <c r="L266" s="72">
        <v>71</v>
      </c>
      <c r="M266" s="74">
        <f t="shared" si="275"/>
        <v>26980</v>
      </c>
      <c r="N266" s="75">
        <f t="shared" si="276"/>
        <v>33.432465923172245</v>
      </c>
      <c r="O266" s="74">
        <f t="shared" si="277"/>
        <v>807</v>
      </c>
      <c r="P266" s="74">
        <f t="shared" si="278"/>
        <v>459040</v>
      </c>
      <c r="Q266" s="32">
        <f t="shared" si="279"/>
        <v>568.82280049566293</v>
      </c>
      <c r="R266" s="72">
        <v>255420</v>
      </c>
      <c r="S266" s="92">
        <f t="shared" si="267"/>
        <v>1149390</v>
      </c>
      <c r="T266" s="117">
        <f>25542+27292</f>
        <v>52834</v>
      </c>
      <c r="U266" s="118"/>
      <c r="V266" s="74">
        <f t="shared" si="268"/>
        <v>1202224</v>
      </c>
      <c r="W266" s="78">
        <f t="shared" ref="W266" si="285">R266+O266</f>
        <v>256227</v>
      </c>
      <c r="X266" s="78">
        <f t="shared" ref="X266" si="286">S266+P266</f>
        <v>1608430</v>
      </c>
      <c r="Y266" s="94">
        <f t="shared" si="282"/>
        <v>6.2773634316445968</v>
      </c>
      <c r="Z266" s="68">
        <v>4.3499999999999996</v>
      </c>
      <c r="AA266" s="68"/>
      <c r="AB266" s="68"/>
      <c r="AC266" s="68"/>
    </row>
    <row r="267" spans="1:29" x14ac:dyDescent="0.25">
      <c r="A267" s="68" t="s">
        <v>19</v>
      </c>
      <c r="B267" s="72">
        <v>2993</v>
      </c>
      <c r="C267" s="73">
        <f t="shared" si="271"/>
        <v>19005.55</v>
      </c>
      <c r="D267" s="72">
        <v>1035</v>
      </c>
      <c r="E267" s="72">
        <f t="shared" si="272"/>
        <v>362250</v>
      </c>
      <c r="F267" s="72">
        <f>2360+14180+25266+23646</f>
        <v>65452</v>
      </c>
      <c r="G267" s="72">
        <v>0</v>
      </c>
      <c r="H267" s="74">
        <f t="shared" si="273"/>
        <v>446707.55</v>
      </c>
      <c r="I267" s="32">
        <f t="shared" si="274"/>
        <v>149.25076845973939</v>
      </c>
      <c r="J267" s="84">
        <v>2181</v>
      </c>
      <c r="K267" s="84">
        <v>790</v>
      </c>
      <c r="L267" s="72">
        <v>71</v>
      </c>
      <c r="M267" s="74">
        <f t="shared" si="275"/>
        <v>56090</v>
      </c>
      <c r="N267" s="75">
        <f t="shared" si="276"/>
        <v>25.717560751948646</v>
      </c>
      <c r="O267" s="74">
        <f t="shared" si="277"/>
        <v>5174</v>
      </c>
      <c r="P267" s="74">
        <f t="shared" si="278"/>
        <v>502797.55</v>
      </c>
      <c r="Q267" s="32">
        <f t="shared" si="279"/>
        <v>97.177725164282947</v>
      </c>
      <c r="R267" s="72">
        <v>236461</v>
      </c>
      <c r="S267" s="92">
        <f t="shared" si="267"/>
        <v>1064074.5</v>
      </c>
      <c r="T267" s="117">
        <f>25266+23646</f>
        <v>48912</v>
      </c>
      <c r="U267" s="118"/>
      <c r="V267" s="74">
        <f t="shared" ref="V267:V271" si="287">T267+S267</f>
        <v>1112986.5</v>
      </c>
      <c r="W267" s="78">
        <f t="shared" ref="W267" si="288">R267+O267</f>
        <v>241635</v>
      </c>
      <c r="X267" s="78">
        <f t="shared" ref="X267" si="289">S267+P267</f>
        <v>1566872.05</v>
      </c>
      <c r="Y267" s="94">
        <f t="shared" ref="Y267:Y273" si="290">X267/W267</f>
        <v>6.4844581703809467</v>
      </c>
      <c r="Z267" s="68">
        <v>8.4</v>
      </c>
      <c r="AA267" s="68"/>
      <c r="AB267" s="68"/>
      <c r="AC267" s="68"/>
    </row>
    <row r="268" spans="1:29" x14ac:dyDescent="0.25">
      <c r="A268" s="68" t="s">
        <v>20</v>
      </c>
      <c r="B268" s="72">
        <v>100656</v>
      </c>
      <c r="C268" s="73">
        <f t="shared" si="271"/>
        <v>639165.6</v>
      </c>
      <c r="D268" s="72">
        <v>1035</v>
      </c>
      <c r="E268" s="72">
        <f t="shared" ref="E268:E273" si="291">D268*350</f>
        <v>362250</v>
      </c>
      <c r="F268" s="72">
        <f>3068+45062+10101+9454</f>
        <v>67685</v>
      </c>
      <c r="G268" s="72">
        <v>0</v>
      </c>
      <c r="H268" s="74">
        <f t="shared" si="273"/>
        <v>1069100.6000000001</v>
      </c>
      <c r="I268" s="75">
        <f t="shared" si="274"/>
        <v>10.621330074709904</v>
      </c>
      <c r="J268" s="84">
        <v>2859</v>
      </c>
      <c r="K268" s="84">
        <v>1130</v>
      </c>
      <c r="L268" s="72">
        <v>72</v>
      </c>
      <c r="M268" s="74">
        <f t="shared" si="275"/>
        <v>81360</v>
      </c>
      <c r="N268" s="75">
        <f t="shared" si="276"/>
        <v>28.457502623294857</v>
      </c>
      <c r="O268" s="74">
        <f t="shared" si="277"/>
        <v>103515</v>
      </c>
      <c r="P268" s="74">
        <f t="shared" si="278"/>
        <v>1150460.6000000001</v>
      </c>
      <c r="Q268" s="32">
        <f t="shared" si="279"/>
        <v>11.113950635173648</v>
      </c>
      <c r="R268" s="72">
        <v>94536</v>
      </c>
      <c r="S268" s="92">
        <f t="shared" si="267"/>
        <v>425412</v>
      </c>
      <c r="T268" s="117">
        <f>9454+10101</f>
        <v>19555</v>
      </c>
      <c r="U268" s="118"/>
      <c r="V268" s="74">
        <f t="shared" si="287"/>
        <v>444967</v>
      </c>
      <c r="W268" s="78">
        <f t="shared" ref="W268:W271" si="292">R268+O268</f>
        <v>198051</v>
      </c>
      <c r="X268" s="78">
        <f t="shared" ref="X268:X271" si="293">S268+P268</f>
        <v>1575872.6</v>
      </c>
      <c r="Y268" s="94">
        <f t="shared" si="290"/>
        <v>7.9569030199292108</v>
      </c>
      <c r="Z268" s="68">
        <v>12.1</v>
      </c>
      <c r="AA268" s="68"/>
      <c r="AB268" s="68"/>
      <c r="AC268" s="68"/>
    </row>
    <row r="269" spans="1:29" x14ac:dyDescent="0.25">
      <c r="A269" s="68" t="s">
        <v>21</v>
      </c>
      <c r="B269" s="72">
        <v>158803</v>
      </c>
      <c r="C269" s="73">
        <f t="shared" si="271"/>
        <v>1008399.0499999999</v>
      </c>
      <c r="D269" s="72">
        <v>1035</v>
      </c>
      <c r="E269" s="72">
        <f t="shared" si="291"/>
        <v>362250</v>
      </c>
      <c r="F269" s="72">
        <f>35847+3068+67433+46742+9475+8868</f>
        <v>171433</v>
      </c>
      <c r="G269" s="72">
        <v>0</v>
      </c>
      <c r="H269" s="74">
        <f t="shared" si="273"/>
        <v>1542082.0499999998</v>
      </c>
      <c r="I269" s="75">
        <f t="shared" si="274"/>
        <v>9.7106606928080694</v>
      </c>
      <c r="J269" s="72">
        <v>4799</v>
      </c>
      <c r="K269" s="72">
        <v>1655</v>
      </c>
      <c r="L269" s="72">
        <v>72</v>
      </c>
      <c r="M269" s="74">
        <f t="shared" si="275"/>
        <v>119160</v>
      </c>
      <c r="N269" s="75">
        <f t="shared" si="276"/>
        <v>24.830172952698479</v>
      </c>
      <c r="O269" s="74">
        <f t="shared" si="277"/>
        <v>163602</v>
      </c>
      <c r="P269" s="74">
        <f t="shared" si="278"/>
        <v>1661242.0499999998</v>
      </c>
      <c r="Q269" s="32">
        <f t="shared" si="279"/>
        <v>10.154167125096269</v>
      </c>
      <c r="R269" s="74">
        <v>88678.8</v>
      </c>
      <c r="S269" s="92">
        <f t="shared" si="267"/>
        <v>399054.60000000003</v>
      </c>
      <c r="T269" s="117">
        <f>8868+46742</f>
        <v>55610</v>
      </c>
      <c r="U269" s="118"/>
      <c r="V269" s="74">
        <f t="shared" si="287"/>
        <v>454664.60000000003</v>
      </c>
      <c r="W269" s="78">
        <f t="shared" si="292"/>
        <v>252280.8</v>
      </c>
      <c r="X269" s="78">
        <f t="shared" si="293"/>
        <v>2060296.65</v>
      </c>
      <c r="Y269" s="94">
        <f t="shared" si="290"/>
        <v>8.1666803419047351</v>
      </c>
      <c r="Z269" s="68">
        <v>10</v>
      </c>
      <c r="AA269" s="68"/>
      <c r="AB269" s="68">
        <v>4.0999999999999996</v>
      </c>
      <c r="AC269" s="68"/>
    </row>
    <row r="270" spans="1:29" x14ac:dyDescent="0.25">
      <c r="A270" s="68" t="s">
        <v>22</v>
      </c>
      <c r="B270" s="72">
        <v>164540</v>
      </c>
      <c r="C270" s="73">
        <f t="shared" si="271"/>
        <v>1044828.9999999999</v>
      </c>
      <c r="D270" s="72">
        <v>1035</v>
      </c>
      <c r="E270" s="72">
        <f t="shared" si="291"/>
        <v>362250</v>
      </c>
      <c r="F270" s="74">
        <f>58022+3068+68877+5537+5182</f>
        <v>140686</v>
      </c>
      <c r="G270" s="74">
        <v>0</v>
      </c>
      <c r="H270" s="74">
        <f t="shared" si="273"/>
        <v>1547765</v>
      </c>
      <c r="I270" s="75">
        <f t="shared" si="274"/>
        <v>9.4066184514403801</v>
      </c>
      <c r="J270" s="72">
        <v>2060</v>
      </c>
      <c r="K270" s="72">
        <v>750</v>
      </c>
      <c r="L270" s="72">
        <v>72</v>
      </c>
      <c r="M270" s="74">
        <f t="shared" si="275"/>
        <v>54000</v>
      </c>
      <c r="N270" s="75">
        <f t="shared" si="276"/>
        <v>26.21359223300971</v>
      </c>
      <c r="O270" s="74">
        <f t="shared" si="277"/>
        <v>166600</v>
      </c>
      <c r="P270" s="74">
        <f t="shared" si="278"/>
        <v>1601765</v>
      </c>
      <c r="Q270" s="32">
        <f t="shared" si="279"/>
        <v>9.6144357743097242</v>
      </c>
      <c r="R270" s="72">
        <v>51823</v>
      </c>
      <c r="S270" s="92">
        <f t="shared" si="267"/>
        <v>233203.5</v>
      </c>
      <c r="T270" s="117">
        <f>5182+5537</f>
        <v>10719</v>
      </c>
      <c r="U270" s="118"/>
      <c r="V270" s="74">
        <f t="shared" si="287"/>
        <v>243922.5</v>
      </c>
      <c r="W270" s="78">
        <f t="shared" si="292"/>
        <v>218423</v>
      </c>
      <c r="X270" s="78">
        <f t="shared" si="293"/>
        <v>1834968.5</v>
      </c>
      <c r="Y270" s="94">
        <f t="shared" si="290"/>
        <v>8.4009857020551859</v>
      </c>
      <c r="Z270" s="68">
        <v>5.5</v>
      </c>
      <c r="AA270" s="68"/>
      <c r="AB270" s="68">
        <v>4.0999999999999996</v>
      </c>
      <c r="AC270" s="68"/>
    </row>
    <row r="271" spans="1:29" x14ac:dyDescent="0.25">
      <c r="A271" s="68" t="s">
        <v>23</v>
      </c>
      <c r="B271" s="72">
        <v>145523</v>
      </c>
      <c r="C271" s="73">
        <f t="shared" si="271"/>
        <v>924071.04999999993</v>
      </c>
      <c r="D271" s="72">
        <v>1035</v>
      </c>
      <c r="E271" s="72">
        <f t="shared" si="291"/>
        <v>362250</v>
      </c>
      <c r="F271" s="74">
        <f>54670+3068+60781+5523+5169</f>
        <v>129211</v>
      </c>
      <c r="G271" s="74">
        <v>0</v>
      </c>
      <c r="H271" s="74">
        <f t="shared" si="273"/>
        <v>1415532.0499999998</v>
      </c>
      <c r="I271" s="75">
        <f t="shared" si="274"/>
        <v>9.7272049779072702</v>
      </c>
      <c r="J271" s="73">
        <v>410</v>
      </c>
      <c r="K271" s="73">
        <v>246</v>
      </c>
      <c r="L271" s="72">
        <v>72</v>
      </c>
      <c r="M271" s="74">
        <f t="shared" si="275"/>
        <v>17712</v>
      </c>
      <c r="N271" s="75">
        <f t="shared" si="276"/>
        <v>43.2</v>
      </c>
      <c r="O271" s="74">
        <f t="shared" si="277"/>
        <v>145933</v>
      </c>
      <c r="P271" s="74">
        <f t="shared" si="278"/>
        <v>1433244.0499999998</v>
      </c>
      <c r="Q271" s="75">
        <f t="shared" si="279"/>
        <v>9.8212470791390558</v>
      </c>
      <c r="R271" s="72">
        <v>51687</v>
      </c>
      <c r="S271" s="92">
        <f t="shared" si="267"/>
        <v>232591.5</v>
      </c>
      <c r="T271" s="117">
        <f>5523+5169</f>
        <v>10692</v>
      </c>
      <c r="U271" s="118"/>
      <c r="V271" s="74">
        <f t="shared" si="287"/>
        <v>243283.5</v>
      </c>
      <c r="W271" s="78">
        <f t="shared" si="292"/>
        <v>197620</v>
      </c>
      <c r="X271" s="78">
        <f t="shared" si="293"/>
        <v>1665835.5499999998</v>
      </c>
      <c r="Y271" s="94">
        <f t="shared" si="290"/>
        <v>8.4294886651148655</v>
      </c>
      <c r="Z271" s="68">
        <v>1.35</v>
      </c>
      <c r="AA271" s="68"/>
      <c r="AB271" s="68"/>
      <c r="AC271" s="68"/>
    </row>
    <row r="272" spans="1:29" x14ac:dyDescent="0.25">
      <c r="A272" s="68" t="s">
        <v>24</v>
      </c>
      <c r="B272" s="72">
        <v>225875</v>
      </c>
      <c r="C272" s="73">
        <f t="shared" si="271"/>
        <v>1434306.25</v>
      </c>
      <c r="D272" s="72">
        <v>1035</v>
      </c>
      <c r="E272" s="72">
        <f t="shared" si="291"/>
        <v>362250</v>
      </c>
      <c r="F272" s="74">
        <f>59155+3068+87147</f>
        <v>149370</v>
      </c>
      <c r="G272" s="74">
        <v>20366</v>
      </c>
      <c r="H272" s="74">
        <f t="shared" si="273"/>
        <v>1925560.25</v>
      </c>
      <c r="I272" s="75">
        <f t="shared" si="274"/>
        <v>8.5248931931377978</v>
      </c>
      <c r="J272" s="98">
        <v>2391</v>
      </c>
      <c r="K272" s="84">
        <v>884</v>
      </c>
      <c r="L272" s="72">
        <v>72</v>
      </c>
      <c r="M272" s="74">
        <f t="shared" si="275"/>
        <v>63648</v>
      </c>
      <c r="N272" s="75">
        <f t="shared" si="276"/>
        <v>26.619824341279799</v>
      </c>
      <c r="O272" s="74">
        <f t="shared" si="277"/>
        <v>228266</v>
      </c>
      <c r="P272" s="74">
        <f t="shared" si="278"/>
        <v>1989208.25</v>
      </c>
      <c r="Q272" s="75">
        <f t="shared" si="279"/>
        <v>8.7144307518421495</v>
      </c>
      <c r="R272" s="72">
        <v>0</v>
      </c>
      <c r="S272" s="91">
        <f t="shared" si="267"/>
        <v>0</v>
      </c>
      <c r="T272" s="117">
        <v>0</v>
      </c>
      <c r="U272" s="118"/>
      <c r="V272" s="74">
        <v>0</v>
      </c>
      <c r="W272" s="78">
        <f t="shared" ref="W272:W273" si="294">R272+O272</f>
        <v>228266</v>
      </c>
      <c r="X272" s="78">
        <f t="shared" ref="X272:X273" si="295">S272+P272</f>
        <v>1989208.25</v>
      </c>
      <c r="Y272" s="94">
        <f t="shared" si="290"/>
        <v>8.7144307518421495</v>
      </c>
      <c r="Z272" s="68">
        <v>6.35</v>
      </c>
      <c r="AA272" s="68"/>
      <c r="AB272" s="68"/>
      <c r="AC272" s="68" t="s">
        <v>113</v>
      </c>
    </row>
    <row r="273" spans="1:29" x14ac:dyDescent="0.25">
      <c r="A273" s="68" t="s">
        <v>25</v>
      </c>
      <c r="B273" s="72">
        <v>176436</v>
      </c>
      <c r="C273" s="73">
        <f t="shared" si="271"/>
        <v>1120368.5999999999</v>
      </c>
      <c r="D273" s="72">
        <v>1035</v>
      </c>
      <c r="E273" s="72">
        <f t="shared" si="291"/>
        <v>362250</v>
      </c>
      <c r="F273" s="72">
        <f>44463+3068+13724+71527</f>
        <v>132782</v>
      </c>
      <c r="G273" s="72">
        <v>16522</v>
      </c>
      <c r="H273" s="74">
        <f t="shared" si="273"/>
        <v>1598878.5999999999</v>
      </c>
      <c r="I273" s="75">
        <f t="shared" si="274"/>
        <v>9.0620882359609141</v>
      </c>
      <c r="J273" s="82">
        <v>46</v>
      </c>
      <c r="K273" s="82">
        <v>50</v>
      </c>
      <c r="L273" s="72">
        <v>72</v>
      </c>
      <c r="M273" s="74">
        <f t="shared" si="275"/>
        <v>3600</v>
      </c>
      <c r="N273" s="75">
        <f t="shared" si="276"/>
        <v>78.260869565217391</v>
      </c>
      <c r="O273" s="74">
        <f t="shared" si="277"/>
        <v>176482</v>
      </c>
      <c r="P273" s="74">
        <f t="shared" si="278"/>
        <v>1602478.5999999999</v>
      </c>
      <c r="Q273" s="75">
        <f t="shared" si="279"/>
        <v>9.080124885257419</v>
      </c>
      <c r="R273" s="72">
        <v>0</v>
      </c>
      <c r="S273" s="91">
        <f t="shared" si="267"/>
        <v>0</v>
      </c>
      <c r="T273" s="117">
        <v>0</v>
      </c>
      <c r="U273" s="118"/>
      <c r="V273" s="74">
        <v>0</v>
      </c>
      <c r="W273" s="78">
        <f t="shared" si="294"/>
        <v>176482</v>
      </c>
      <c r="X273" s="78">
        <f t="shared" si="295"/>
        <v>1602478.5999999999</v>
      </c>
      <c r="Y273" s="94">
        <f t="shared" si="290"/>
        <v>9.080124885257419</v>
      </c>
      <c r="Z273" s="68"/>
      <c r="AA273" s="68"/>
      <c r="AB273" s="68"/>
      <c r="AC273" s="68"/>
    </row>
    <row r="274" spans="1:29" x14ac:dyDescent="0.25">
      <c r="A274" s="71" t="s">
        <v>28</v>
      </c>
      <c r="B274" s="76">
        <f>SUM(B262:B273)</f>
        <v>1233383</v>
      </c>
      <c r="C274" s="83"/>
      <c r="D274" s="76"/>
      <c r="E274" s="76"/>
      <c r="F274" s="76"/>
      <c r="G274" s="76"/>
      <c r="H274" s="80"/>
      <c r="I274" s="75"/>
      <c r="J274" s="76">
        <f>SUM(J262:J273)</f>
        <v>25602</v>
      </c>
      <c r="K274" s="76"/>
      <c r="L274" s="76"/>
      <c r="M274" s="74"/>
      <c r="N274" s="75"/>
      <c r="O274" s="74">
        <f>J274+B274</f>
        <v>1258985</v>
      </c>
      <c r="P274" s="80"/>
      <c r="Q274" s="82"/>
      <c r="R274" s="80">
        <f>SUM(R262:R273)</f>
        <v>1491545.8</v>
      </c>
      <c r="S274" s="90"/>
      <c r="T274" s="119"/>
      <c r="U274" s="120"/>
      <c r="V274" s="76"/>
      <c r="W274" s="79">
        <f>SUM(W262:W273)</f>
        <v>2750530.8</v>
      </c>
      <c r="X274" s="79">
        <f>SUM(X262:X273)</f>
        <v>20676546.150000002</v>
      </c>
      <c r="Y274" s="96">
        <f>X274/W274</f>
        <v>7.5172930803029017</v>
      </c>
      <c r="Z274" s="68"/>
      <c r="AA274" s="68"/>
      <c r="AB274" s="68"/>
      <c r="AC274" s="68"/>
    </row>
    <row r="277" spans="1:29" x14ac:dyDescent="0.25">
      <c r="B277" s="104"/>
      <c r="C277" t="s">
        <v>85</v>
      </c>
      <c r="V277">
        <f>R274/W274</f>
        <v>0.54227562185451628</v>
      </c>
    </row>
    <row r="280" spans="1:29" ht="18.75" customHeight="1" x14ac:dyDescent="0.25">
      <c r="A280" s="123" t="s">
        <v>114</v>
      </c>
      <c r="B280" s="123"/>
      <c r="C280" s="123"/>
      <c r="D280" s="123"/>
      <c r="E280" s="123"/>
      <c r="F280" s="123"/>
      <c r="G280" s="123"/>
      <c r="H280" s="123"/>
      <c r="I280" s="123"/>
      <c r="J280" s="123"/>
      <c r="K280" s="123"/>
      <c r="L280" s="123"/>
      <c r="M280" s="123"/>
      <c r="N280" s="123"/>
      <c r="O280" s="123"/>
      <c r="P280" s="123"/>
      <c r="Q280" s="123"/>
      <c r="R280" s="123"/>
      <c r="S280" s="123"/>
      <c r="T280" s="123"/>
      <c r="U280" s="123"/>
      <c r="V280" s="123"/>
      <c r="W280" s="123"/>
      <c r="X280" s="123"/>
      <c r="Y280" s="123"/>
      <c r="Z280" s="123"/>
      <c r="AA280" s="123"/>
      <c r="AB280" s="123"/>
      <c r="AC280" s="123"/>
    </row>
    <row r="281" spans="1:29" x14ac:dyDescent="0.25">
      <c r="A281" s="124" t="s">
        <v>37</v>
      </c>
      <c r="B281" s="124" t="s">
        <v>13</v>
      </c>
      <c r="C281" s="124" t="s">
        <v>2</v>
      </c>
      <c r="D281" s="124" t="s">
        <v>70</v>
      </c>
      <c r="E281" s="124" t="s">
        <v>3</v>
      </c>
      <c r="F281" s="124" t="s">
        <v>4</v>
      </c>
      <c r="G281" s="124" t="s">
        <v>35</v>
      </c>
      <c r="H281" s="124" t="s">
        <v>6</v>
      </c>
      <c r="I281" s="124" t="s">
        <v>7</v>
      </c>
      <c r="J281" s="124" t="s">
        <v>8</v>
      </c>
      <c r="K281" s="124" t="s">
        <v>9</v>
      </c>
      <c r="L281" s="124" t="s">
        <v>32</v>
      </c>
      <c r="M281" s="124" t="s">
        <v>10</v>
      </c>
      <c r="N281" s="124" t="s">
        <v>39</v>
      </c>
      <c r="O281" s="124" t="s">
        <v>33</v>
      </c>
      <c r="P281" s="124" t="s">
        <v>51</v>
      </c>
      <c r="Q281" s="121" t="s">
        <v>31</v>
      </c>
      <c r="R281" s="121" t="s">
        <v>50</v>
      </c>
      <c r="S281" s="121" t="s">
        <v>46</v>
      </c>
      <c r="T281" s="121" t="s">
        <v>48</v>
      </c>
      <c r="U281" s="121"/>
      <c r="V281" s="121" t="s">
        <v>49</v>
      </c>
      <c r="W281" s="124" t="s">
        <v>54</v>
      </c>
      <c r="X281" s="121" t="s">
        <v>52</v>
      </c>
      <c r="Y281" s="121" t="s">
        <v>53</v>
      </c>
      <c r="Z281" s="122" t="s">
        <v>81</v>
      </c>
      <c r="AA281" s="122"/>
      <c r="AB281" s="122"/>
      <c r="AC281" s="122"/>
    </row>
    <row r="282" spans="1:29" ht="75" x14ac:dyDescent="0.25">
      <c r="A282" s="124"/>
      <c r="B282" s="124"/>
      <c r="C282" s="124"/>
      <c r="D282" s="124"/>
      <c r="E282" s="124"/>
      <c r="F282" s="124"/>
      <c r="G282" s="124"/>
      <c r="H282" s="124"/>
      <c r="I282" s="124"/>
      <c r="J282" s="124"/>
      <c r="K282" s="124"/>
      <c r="L282" s="124"/>
      <c r="M282" s="124"/>
      <c r="N282" s="124"/>
      <c r="O282" s="124"/>
      <c r="P282" s="124"/>
      <c r="Q282" s="121"/>
      <c r="R282" s="121"/>
      <c r="S282" s="121"/>
      <c r="T282" s="121"/>
      <c r="U282" s="121"/>
      <c r="V282" s="121"/>
      <c r="W282" s="124"/>
      <c r="X282" s="121"/>
      <c r="Y282" s="121"/>
      <c r="Z282" s="108" t="s">
        <v>75</v>
      </c>
      <c r="AA282" s="108" t="s">
        <v>79</v>
      </c>
      <c r="AB282" s="108" t="s">
        <v>80</v>
      </c>
      <c r="AC282" s="97" t="s">
        <v>82</v>
      </c>
    </row>
    <row r="283" spans="1:29" x14ac:dyDescent="0.25">
      <c r="A283" s="68" t="s">
        <v>14</v>
      </c>
      <c r="B283" s="72">
        <v>38713</v>
      </c>
      <c r="C283" s="73">
        <f>B283*6.35</f>
        <v>245827.55</v>
      </c>
      <c r="D283" s="72">
        <v>1035</v>
      </c>
      <c r="E283" s="72">
        <f t="shared" ref="E283:E285" si="296">D283*350</f>
        <v>362250</v>
      </c>
      <c r="F283" s="72">
        <f>11560+3068+233021+27166</f>
        <v>274815</v>
      </c>
      <c r="G283" s="72">
        <v>4980</v>
      </c>
      <c r="H283" s="74">
        <f t="shared" ref="H283" si="297">C283+E283+F283-G283</f>
        <v>877912.55</v>
      </c>
      <c r="I283" s="32">
        <f t="shared" ref="I283" si="298">H283/B283</f>
        <v>22.677461059592385</v>
      </c>
      <c r="J283" s="74">
        <v>636</v>
      </c>
      <c r="K283" s="72">
        <v>350</v>
      </c>
      <c r="L283" s="72">
        <v>72</v>
      </c>
      <c r="M283" s="74">
        <f t="shared" ref="M283" si="299">L283*K283</f>
        <v>25200</v>
      </c>
      <c r="N283" s="75">
        <f t="shared" ref="N283" si="300">M283/J283</f>
        <v>39.622641509433961</v>
      </c>
      <c r="O283" s="74">
        <f t="shared" ref="O283" si="301">J283+B283</f>
        <v>39349</v>
      </c>
      <c r="P283" s="74">
        <f t="shared" ref="P283" si="302">M283+H283</f>
        <v>903112.55</v>
      </c>
      <c r="Q283" s="75">
        <f t="shared" ref="Q283" si="303">P283/O283</f>
        <v>22.951346921141582</v>
      </c>
      <c r="R283" s="72">
        <v>0</v>
      </c>
      <c r="S283" s="107">
        <v>0</v>
      </c>
      <c r="T283" s="117">
        <v>0</v>
      </c>
      <c r="U283" s="118"/>
      <c r="V283" s="72">
        <v>0</v>
      </c>
      <c r="W283" s="78">
        <f t="shared" ref="W283" si="304">R283+O283</f>
        <v>39349</v>
      </c>
      <c r="X283" s="78">
        <f t="shared" ref="X283" si="305">S283+P283</f>
        <v>903112.55</v>
      </c>
      <c r="Y283" s="32">
        <f t="shared" ref="Y283" si="306">X283/W283</f>
        <v>22.951346921141582</v>
      </c>
      <c r="Z283" s="68"/>
      <c r="AA283" s="68">
        <v>0</v>
      </c>
      <c r="AB283" s="68"/>
      <c r="AC283" s="68"/>
    </row>
    <row r="284" spans="1:29" x14ac:dyDescent="0.25">
      <c r="A284" s="68" t="s">
        <v>15</v>
      </c>
      <c r="B284" s="72">
        <v>68310</v>
      </c>
      <c r="C284" s="73">
        <f>B284*6.35</f>
        <v>433768.5</v>
      </c>
      <c r="D284" s="72">
        <v>1035</v>
      </c>
      <c r="E284" s="72">
        <f t="shared" si="296"/>
        <v>362250</v>
      </c>
      <c r="F284" s="74">
        <f>3068+103634+39344+7879+7374</f>
        <v>161299</v>
      </c>
      <c r="G284" s="72">
        <v>0</v>
      </c>
      <c r="H284" s="74">
        <f t="shared" ref="H284" si="307">C284+E284+F284-G284</f>
        <v>957317.5</v>
      </c>
      <c r="I284" s="75">
        <f t="shared" ref="I284:I288" si="308">H284/B284</f>
        <v>14.014309764309765</v>
      </c>
      <c r="J284" s="74">
        <v>1239</v>
      </c>
      <c r="K284" s="72">
        <v>450</v>
      </c>
      <c r="L284" s="72">
        <v>77</v>
      </c>
      <c r="M284" s="74">
        <f t="shared" ref="M284" si="309">L284*K284</f>
        <v>34650</v>
      </c>
      <c r="N284" s="75">
        <f t="shared" ref="N284" si="310">M284/J284</f>
        <v>27.966101694915253</v>
      </c>
      <c r="O284" s="74">
        <f t="shared" ref="O284" si="311">J284+B284</f>
        <v>69549</v>
      </c>
      <c r="P284" s="74">
        <f t="shared" ref="P284" si="312">M284+H284</f>
        <v>991967.5</v>
      </c>
      <c r="Q284" s="75">
        <f t="shared" ref="Q284" si="313">P284/O284</f>
        <v>14.262857841234238</v>
      </c>
      <c r="R284" s="72">
        <v>73739</v>
      </c>
      <c r="S284" s="92">
        <f>R284*4.5</f>
        <v>331825.5</v>
      </c>
      <c r="T284" s="117">
        <f>7879+7374</f>
        <v>15253</v>
      </c>
      <c r="U284" s="118"/>
      <c r="V284" s="74">
        <f t="shared" ref="V284:V290" si="314">T284+S284</f>
        <v>347078.5</v>
      </c>
      <c r="W284" s="78">
        <f t="shared" ref="W284" si="315">R284+O284</f>
        <v>143288</v>
      </c>
      <c r="X284" s="78">
        <f t="shared" ref="X284" si="316">S284+P284</f>
        <v>1323793</v>
      </c>
      <c r="Y284" s="94">
        <f t="shared" ref="Y284" si="317">X284/W284</f>
        <v>9.2386871196471443</v>
      </c>
      <c r="Z284" s="68">
        <v>7.13</v>
      </c>
      <c r="AA284" s="68"/>
      <c r="AB284" s="68"/>
      <c r="AC284" s="68"/>
    </row>
    <row r="285" spans="1:29" x14ac:dyDescent="0.25">
      <c r="A285" s="68" t="s">
        <v>16</v>
      </c>
      <c r="B285" s="72">
        <v>0</v>
      </c>
      <c r="C285" s="73">
        <v>0</v>
      </c>
      <c r="D285" s="72">
        <v>1035</v>
      </c>
      <c r="E285" s="72">
        <f t="shared" si="296"/>
        <v>362250</v>
      </c>
      <c r="F285" s="109">
        <f>3068+13134+12627+163418+16913</f>
        <v>209160</v>
      </c>
      <c r="G285" s="72">
        <v>0</v>
      </c>
      <c r="H285" s="74">
        <f t="shared" ref="H285" si="318">C285+E285+F285-G285</f>
        <v>571410</v>
      </c>
      <c r="I285" s="75" t="e">
        <f t="shared" si="308"/>
        <v>#DIV/0!</v>
      </c>
      <c r="J285" s="98">
        <v>773</v>
      </c>
      <c r="K285" s="84">
        <v>400</v>
      </c>
      <c r="L285" s="72">
        <v>77</v>
      </c>
      <c r="M285" s="74">
        <f t="shared" ref="M285:M288" si="319">L285*K285</f>
        <v>30800</v>
      </c>
      <c r="N285" s="75">
        <f t="shared" ref="N285:N288" si="320">M285/J285</f>
        <v>39.84476067270375</v>
      </c>
      <c r="O285" s="74">
        <f t="shared" ref="O285" si="321">J285+B285</f>
        <v>773</v>
      </c>
      <c r="P285" s="74">
        <f t="shared" ref="P285" si="322">M285+H285</f>
        <v>602210</v>
      </c>
      <c r="Q285" s="75">
        <f t="shared" ref="Q285" si="323">P285/O285</f>
        <v>779.05562742561449</v>
      </c>
      <c r="R285" s="72">
        <v>169133</v>
      </c>
      <c r="S285" s="111">
        <f>(R285*4.5)-163418</f>
        <v>597680.5</v>
      </c>
      <c r="T285" s="117">
        <f>16913</f>
        <v>16913</v>
      </c>
      <c r="U285" s="118"/>
      <c r="V285" s="74">
        <f t="shared" si="314"/>
        <v>614593.5</v>
      </c>
      <c r="W285" s="78">
        <f t="shared" ref="W285" si="324">R285+O285</f>
        <v>169906</v>
      </c>
      <c r="X285" s="78">
        <f t="shared" ref="X285" si="325">S285+P285</f>
        <v>1199890.5</v>
      </c>
      <c r="Y285" s="94">
        <f t="shared" ref="Y285" si="326">X285/W285</f>
        <v>7.062084328981908</v>
      </c>
      <c r="Z285" s="68">
        <v>8.1300000000000008</v>
      </c>
      <c r="AA285" s="68"/>
      <c r="AB285" s="68"/>
      <c r="AC285" s="68"/>
    </row>
    <row r="286" spans="1:29" x14ac:dyDescent="0.25">
      <c r="A286" s="68" t="s">
        <v>17</v>
      </c>
      <c r="B286" s="72">
        <v>0</v>
      </c>
      <c r="C286" s="73">
        <v>0</v>
      </c>
      <c r="D286" s="72">
        <v>1035</v>
      </c>
      <c r="E286" s="72">
        <f t="shared" ref="E286:E290" si="327">D286*350</f>
        <v>362250</v>
      </c>
      <c r="F286" s="74">
        <f>3068+12812+11224.6+16843+17997</f>
        <v>61944.6</v>
      </c>
      <c r="G286" s="112">
        <v>424195</v>
      </c>
      <c r="H286" s="114">
        <f t="shared" ref="H286:H289" si="328">C286+E286+F286-G286</f>
        <v>-0.40000000002328306</v>
      </c>
      <c r="I286" s="75" t="e">
        <f t="shared" si="308"/>
        <v>#DIV/0!</v>
      </c>
      <c r="J286" s="74">
        <v>145.80000000000001</v>
      </c>
      <c r="K286" s="72">
        <v>165</v>
      </c>
      <c r="L286" s="72">
        <v>77</v>
      </c>
      <c r="M286" s="74">
        <f t="shared" si="319"/>
        <v>12705</v>
      </c>
      <c r="N286" s="75">
        <f t="shared" si="320"/>
        <v>87.139917695473244</v>
      </c>
      <c r="O286" s="74">
        <f t="shared" ref="O286" si="329">J286+B286</f>
        <v>145.80000000000001</v>
      </c>
      <c r="P286" s="74">
        <f t="shared" ref="P286" si="330">M286+H286</f>
        <v>12704.599999999977</v>
      </c>
      <c r="Q286" s="75">
        <f t="shared" ref="Q286" si="331">P286/O286</f>
        <v>87.137174211248123</v>
      </c>
      <c r="R286" s="72">
        <v>168427</v>
      </c>
      <c r="S286" s="92">
        <f t="shared" ref="S286:S294" si="332">R286*4.5</f>
        <v>757921.5</v>
      </c>
      <c r="T286" s="117">
        <f>16843+17997</f>
        <v>34840</v>
      </c>
      <c r="U286" s="118"/>
      <c r="V286" s="74">
        <f t="shared" si="314"/>
        <v>792761.5</v>
      </c>
      <c r="W286" s="78">
        <f t="shared" ref="W286" si="333">R286+O286</f>
        <v>168572.79999999999</v>
      </c>
      <c r="X286" s="78">
        <f t="shared" ref="X286" si="334">S286+P286</f>
        <v>770626.1</v>
      </c>
      <c r="Y286" s="94">
        <f t="shared" ref="Y286" si="335">X286/W286</f>
        <v>4.571473571062473</v>
      </c>
      <c r="Z286" s="68">
        <v>2.1</v>
      </c>
      <c r="AA286" s="68"/>
      <c r="AB286" s="68"/>
      <c r="AC286" s="68"/>
    </row>
    <row r="287" spans="1:29" x14ac:dyDescent="0.25">
      <c r="A287" s="68" t="s">
        <v>18</v>
      </c>
      <c r="B287" s="72">
        <v>0</v>
      </c>
      <c r="C287" s="73">
        <v>0</v>
      </c>
      <c r="D287" s="72">
        <v>1035</v>
      </c>
      <c r="E287" s="72">
        <f t="shared" si="327"/>
        <v>362250</v>
      </c>
      <c r="F287" s="72">
        <f>3068+11214+15139+16176</f>
        <v>45597</v>
      </c>
      <c r="G287" s="114">
        <v>407847</v>
      </c>
      <c r="H287" s="114">
        <f t="shared" si="328"/>
        <v>0</v>
      </c>
      <c r="I287" s="75" t="e">
        <f t="shared" si="308"/>
        <v>#DIV/0!</v>
      </c>
      <c r="J287" s="80">
        <v>4615</v>
      </c>
      <c r="K287" s="80">
        <v>1795</v>
      </c>
      <c r="L287" s="72">
        <v>77</v>
      </c>
      <c r="M287" s="74">
        <f t="shared" si="319"/>
        <v>138215</v>
      </c>
      <c r="N287" s="75">
        <f t="shared" si="320"/>
        <v>29.949079089924162</v>
      </c>
      <c r="O287" s="74">
        <f t="shared" ref="O287:O288" si="336">J287+B287</f>
        <v>4615</v>
      </c>
      <c r="P287" s="74">
        <f t="shared" ref="P287:P288" si="337">M287+H287</f>
        <v>138215</v>
      </c>
      <c r="Q287" s="75">
        <f t="shared" ref="Q287:Q288" si="338">P287/O287</f>
        <v>29.949079089924162</v>
      </c>
      <c r="R287" s="72">
        <v>151387</v>
      </c>
      <c r="S287" s="92">
        <f t="shared" si="332"/>
        <v>681241.5</v>
      </c>
      <c r="T287" s="117">
        <f>15139+16176</f>
        <v>31315</v>
      </c>
      <c r="U287" s="118"/>
      <c r="V287" s="74">
        <f t="shared" si="314"/>
        <v>712556.5</v>
      </c>
      <c r="W287" s="78">
        <f t="shared" ref="W287" si="339">R287+O287</f>
        <v>156002</v>
      </c>
      <c r="X287" s="78">
        <f t="shared" ref="X287" si="340">S287+P287</f>
        <v>819456.5</v>
      </c>
      <c r="Y287" s="94">
        <f t="shared" ref="Y287" si="341">X287/W287</f>
        <v>5.2528589377059269</v>
      </c>
      <c r="Z287" s="68">
        <v>12.15</v>
      </c>
      <c r="AA287" s="68"/>
      <c r="AB287" s="68">
        <v>5.5</v>
      </c>
      <c r="AC287" s="68">
        <v>1</v>
      </c>
    </row>
    <row r="288" spans="1:29" x14ac:dyDescent="0.25">
      <c r="A288" s="68" t="s">
        <v>19</v>
      </c>
      <c r="B288" s="72">
        <v>0</v>
      </c>
      <c r="C288" s="73">
        <v>0</v>
      </c>
      <c r="D288" s="72">
        <v>1035</v>
      </c>
      <c r="E288" s="72">
        <f t="shared" si="327"/>
        <v>362250</v>
      </c>
      <c r="F288" s="72">
        <f>3068+13356+528+21179+22102</f>
        <v>60233</v>
      </c>
      <c r="G288" s="114">
        <v>22102</v>
      </c>
      <c r="H288" s="114">
        <f t="shared" si="328"/>
        <v>400381</v>
      </c>
      <c r="I288" s="75" t="e">
        <f t="shared" si="308"/>
        <v>#DIV/0!</v>
      </c>
      <c r="J288" s="98">
        <v>5083</v>
      </c>
      <c r="K288" s="84">
        <v>1870</v>
      </c>
      <c r="L288" s="72">
        <v>78</v>
      </c>
      <c r="M288" s="74">
        <f t="shared" si="319"/>
        <v>145860</v>
      </c>
      <c r="N288" s="75">
        <f t="shared" si="320"/>
        <v>28.695652173913043</v>
      </c>
      <c r="O288" s="74">
        <f t="shared" si="336"/>
        <v>5083</v>
      </c>
      <c r="P288" s="74">
        <f t="shared" si="337"/>
        <v>546241</v>
      </c>
      <c r="Q288" s="75">
        <f t="shared" si="338"/>
        <v>107.46429274050757</v>
      </c>
      <c r="R288" s="72">
        <v>211786</v>
      </c>
      <c r="S288" s="92">
        <f t="shared" si="332"/>
        <v>953037</v>
      </c>
      <c r="T288" s="117">
        <f>22630+21179</f>
        <v>43809</v>
      </c>
      <c r="U288" s="118"/>
      <c r="V288" s="74">
        <f t="shared" si="314"/>
        <v>996846</v>
      </c>
      <c r="W288" s="78">
        <f t="shared" ref="W288" si="342">R288+O288</f>
        <v>216869</v>
      </c>
      <c r="X288" s="78">
        <f t="shared" ref="X288" si="343">S288+P288</f>
        <v>1499278</v>
      </c>
      <c r="Y288" s="94">
        <f t="shared" ref="Y288" si="344">X288/W288</f>
        <v>6.9132886673521803</v>
      </c>
      <c r="Z288" s="68">
        <v>10.4</v>
      </c>
      <c r="AA288" s="68"/>
      <c r="AB288" s="68"/>
      <c r="AC288" s="68">
        <v>3.2</v>
      </c>
    </row>
    <row r="289" spans="1:29" x14ac:dyDescent="0.25">
      <c r="A289" s="68" t="s">
        <v>20</v>
      </c>
      <c r="B289" s="72">
        <v>0</v>
      </c>
      <c r="C289" s="73">
        <v>0</v>
      </c>
      <c r="D289" s="72">
        <v>1035</v>
      </c>
      <c r="E289" s="72">
        <f t="shared" si="327"/>
        <v>362250</v>
      </c>
      <c r="F289" s="72">
        <f>3068+13356+23692+22173</f>
        <v>62289</v>
      </c>
      <c r="G289" s="72">
        <v>0</v>
      </c>
      <c r="H289" s="73">
        <f t="shared" si="328"/>
        <v>424539</v>
      </c>
      <c r="I289" s="75" t="e">
        <f t="shared" ref="I289:I290" si="345">H289/B289</f>
        <v>#DIV/0!</v>
      </c>
      <c r="J289" s="98">
        <v>356.2</v>
      </c>
      <c r="K289" s="84">
        <v>260</v>
      </c>
      <c r="L289" s="72">
        <v>78</v>
      </c>
      <c r="M289" s="74">
        <f t="shared" ref="M289:M290" si="346">L289*K289</f>
        <v>20280</v>
      </c>
      <c r="N289" s="75">
        <f t="shared" ref="N289:N290" si="347">M289/J289</f>
        <v>56.934306569343065</v>
      </c>
      <c r="O289" s="74">
        <f t="shared" ref="O289:O290" si="348">J289+B289</f>
        <v>356.2</v>
      </c>
      <c r="P289" s="74">
        <f t="shared" ref="P289:P290" si="349">M289+H289</f>
        <v>444819</v>
      </c>
      <c r="Q289" s="75">
        <f t="shared" ref="Q289:Q290" si="350">P289/O289</f>
        <v>1248.7900056148233</v>
      </c>
      <c r="R289" s="72">
        <v>221731</v>
      </c>
      <c r="S289" s="92">
        <f t="shared" si="332"/>
        <v>997789.5</v>
      </c>
      <c r="T289" s="117">
        <f>23692+22173</f>
        <v>45865</v>
      </c>
      <c r="U289" s="118"/>
      <c r="V289" s="74">
        <f t="shared" si="314"/>
        <v>1043654.5</v>
      </c>
      <c r="W289" s="78">
        <f t="shared" ref="W289:W290" si="351">R289+O289</f>
        <v>222087.2</v>
      </c>
      <c r="X289" s="78">
        <f t="shared" ref="X289:X290" si="352">S289+P289</f>
        <v>1442608.5</v>
      </c>
      <c r="Y289" s="94">
        <f t="shared" ref="Y289:Y293" si="353">X289/W289</f>
        <v>6.4956850282231482</v>
      </c>
      <c r="Z289" s="68">
        <v>3.31</v>
      </c>
      <c r="AA289" s="68"/>
      <c r="AB289" s="68"/>
      <c r="AC289" s="68"/>
    </row>
    <row r="290" spans="1:29" x14ac:dyDescent="0.25">
      <c r="A290" s="68" t="s">
        <v>21</v>
      </c>
      <c r="B290" s="72">
        <v>79356</v>
      </c>
      <c r="C290" s="73">
        <f>B290*6.35</f>
        <v>503910.6</v>
      </c>
      <c r="D290" s="72">
        <v>1035</v>
      </c>
      <c r="E290" s="72">
        <f t="shared" si="327"/>
        <v>362250</v>
      </c>
      <c r="F290" s="74">
        <f>3068+38845.4+14190.7+11255</f>
        <v>67359.100000000006</v>
      </c>
      <c r="G290" s="72">
        <v>0</v>
      </c>
      <c r="H290" s="73">
        <f t="shared" ref="H290" si="354">C290+E290+F290-G290</f>
        <v>933519.7</v>
      </c>
      <c r="I290" s="75">
        <f t="shared" si="345"/>
        <v>11.763693986592065</v>
      </c>
      <c r="J290" s="74">
        <v>6174</v>
      </c>
      <c r="K290" s="72">
        <v>2430</v>
      </c>
      <c r="L290" s="72">
        <v>78</v>
      </c>
      <c r="M290" s="74">
        <f t="shared" si="346"/>
        <v>189540</v>
      </c>
      <c r="N290" s="75">
        <f t="shared" si="347"/>
        <v>30.699708454810494</v>
      </c>
      <c r="O290" s="74">
        <f t="shared" si="348"/>
        <v>85530</v>
      </c>
      <c r="P290" s="74">
        <f t="shared" si="349"/>
        <v>1123059.7</v>
      </c>
      <c r="Q290" s="75">
        <f t="shared" si="350"/>
        <v>13.130593943645504</v>
      </c>
      <c r="R290" s="74">
        <v>112549</v>
      </c>
      <c r="S290" s="92">
        <f t="shared" si="332"/>
        <v>506470.5</v>
      </c>
      <c r="T290" s="117">
        <f>14191+11255</f>
        <v>25446</v>
      </c>
      <c r="U290" s="118"/>
      <c r="V290" s="74">
        <f t="shared" si="314"/>
        <v>531916.5</v>
      </c>
      <c r="W290" s="78">
        <f t="shared" si="351"/>
        <v>198079</v>
      </c>
      <c r="X290" s="78">
        <f t="shared" si="352"/>
        <v>1629530.2</v>
      </c>
      <c r="Y290" s="94">
        <f t="shared" si="353"/>
        <v>8.2266681475572874</v>
      </c>
      <c r="Z290" s="68">
        <v>52.05</v>
      </c>
      <c r="AA290" s="68"/>
      <c r="AB290" s="68"/>
      <c r="AC290" s="68"/>
    </row>
    <row r="291" spans="1:29" x14ac:dyDescent="0.25">
      <c r="A291" s="68" t="s">
        <v>22</v>
      </c>
      <c r="B291" s="72">
        <v>88864</v>
      </c>
      <c r="C291" s="73">
        <f t="shared" ref="C291:C294" si="355">B291*6.35</f>
        <v>564286.4</v>
      </c>
      <c r="D291" s="72">
        <v>1035</v>
      </c>
      <c r="E291" s="72">
        <f t="shared" ref="E291:E294" si="356">D291*350</f>
        <v>362250</v>
      </c>
      <c r="F291" s="74">
        <f>5954+3068+41868+11381+9026+2036</f>
        <v>73333</v>
      </c>
      <c r="G291" s="74">
        <v>0</v>
      </c>
      <c r="H291" s="73">
        <f t="shared" ref="H291" si="357">C291+E291+F291-G291</f>
        <v>999869.4</v>
      </c>
      <c r="I291" s="75">
        <f t="shared" ref="I291" si="358">H291/B291</f>
        <v>11.251681220741808</v>
      </c>
      <c r="J291" s="72">
        <v>1106</v>
      </c>
      <c r="K291" s="72">
        <v>450</v>
      </c>
      <c r="L291" s="72">
        <v>78</v>
      </c>
      <c r="M291" s="74">
        <f t="shared" ref="M291:M294" si="359">L291*K291</f>
        <v>35100</v>
      </c>
      <c r="N291" s="75">
        <f t="shared" ref="N291:N294" si="360">M291/J291</f>
        <v>31.735985533453889</v>
      </c>
      <c r="O291" s="74">
        <f t="shared" ref="O291:O294" si="361">J291+B291</f>
        <v>89970</v>
      </c>
      <c r="P291" s="74">
        <f t="shared" ref="P291:P294" si="362">M291+H291</f>
        <v>1034969.4</v>
      </c>
      <c r="Q291" s="75">
        <f t="shared" ref="Q291:Q294" si="363">P291/O291</f>
        <v>11.503494498166056</v>
      </c>
      <c r="R291" s="72">
        <v>90264.6</v>
      </c>
      <c r="S291" s="92">
        <f t="shared" si="332"/>
        <v>406190.7</v>
      </c>
      <c r="T291" s="117">
        <f>11381+9026</f>
        <v>20407</v>
      </c>
      <c r="U291" s="118"/>
      <c r="V291" s="74">
        <f t="shared" ref="V291:V293" si="364">T291+S291</f>
        <v>426597.7</v>
      </c>
      <c r="W291" s="78">
        <f t="shared" ref="W291:W293" si="365">R291+O291</f>
        <v>180234.6</v>
      </c>
      <c r="X291" s="78">
        <f t="shared" ref="X291:X293" si="366">S291+P291</f>
        <v>1441160.1</v>
      </c>
      <c r="Y291" s="94">
        <f t="shared" si="353"/>
        <v>7.9960235160174573</v>
      </c>
      <c r="Z291" s="68">
        <v>3.2</v>
      </c>
      <c r="AA291" s="68"/>
      <c r="AB291" s="68">
        <v>2.2999999999999998</v>
      </c>
      <c r="AC291" s="68"/>
    </row>
    <row r="292" spans="1:29" x14ac:dyDescent="0.25">
      <c r="A292" s="68" t="s">
        <v>23</v>
      </c>
      <c r="B292" s="72">
        <v>118723</v>
      </c>
      <c r="C292" s="73">
        <f t="shared" si="355"/>
        <v>753891.04999999993</v>
      </c>
      <c r="D292" s="72">
        <v>1035</v>
      </c>
      <c r="E292" s="72">
        <f t="shared" si="356"/>
        <v>362250</v>
      </c>
      <c r="F292" s="74">
        <f>16255+3068+52493+15164+12027+900</f>
        <v>99907</v>
      </c>
      <c r="G292" s="74">
        <v>0</v>
      </c>
      <c r="H292" s="73">
        <f t="shared" ref="H292:H293" si="367">C292+E292+F292-G292</f>
        <v>1216048.0499999998</v>
      </c>
      <c r="I292" s="75">
        <f t="shared" ref="I292:I293" si="368">H292/B292</f>
        <v>10.242733505723406</v>
      </c>
      <c r="J292" s="73">
        <v>4602</v>
      </c>
      <c r="K292" s="73">
        <v>1455</v>
      </c>
      <c r="L292" s="72">
        <v>82</v>
      </c>
      <c r="M292" s="74">
        <f t="shared" si="359"/>
        <v>119310</v>
      </c>
      <c r="N292" s="75">
        <f t="shared" si="360"/>
        <v>25.925684485006521</v>
      </c>
      <c r="O292" s="74">
        <f t="shared" si="361"/>
        <v>123325</v>
      </c>
      <c r="P292" s="74">
        <f t="shared" si="362"/>
        <v>1335358.0499999998</v>
      </c>
      <c r="Q292" s="75">
        <f t="shared" si="363"/>
        <v>10.827959051287248</v>
      </c>
      <c r="R292" s="72">
        <v>120266.6</v>
      </c>
      <c r="S292" s="92">
        <f t="shared" si="332"/>
        <v>541199.70000000007</v>
      </c>
      <c r="T292" s="117">
        <f>15164+12027</f>
        <v>27191</v>
      </c>
      <c r="U292" s="118"/>
      <c r="V292" s="74">
        <f t="shared" si="364"/>
        <v>568390.70000000007</v>
      </c>
      <c r="W292" s="78">
        <f t="shared" si="365"/>
        <v>243591.6</v>
      </c>
      <c r="X292" s="78">
        <f t="shared" si="366"/>
        <v>1876557.75</v>
      </c>
      <c r="Y292" s="94">
        <f t="shared" si="353"/>
        <v>7.7037046843979837</v>
      </c>
      <c r="Z292" s="68">
        <v>10.55</v>
      </c>
      <c r="AA292" s="68"/>
      <c r="AB292" s="68"/>
      <c r="AC292" s="68"/>
    </row>
    <row r="293" spans="1:29" x14ac:dyDescent="0.25">
      <c r="A293" s="68" t="s">
        <v>24</v>
      </c>
      <c r="B293" s="72">
        <v>141682</v>
      </c>
      <c r="C293" s="73">
        <f t="shared" si="355"/>
        <v>899680.7</v>
      </c>
      <c r="D293" s="72">
        <v>1035</v>
      </c>
      <c r="E293" s="72">
        <f t="shared" si="356"/>
        <v>362250</v>
      </c>
      <c r="F293" s="74">
        <f>24315+3068+60816+14464+11472+1021</f>
        <v>115156</v>
      </c>
      <c r="G293" s="74">
        <v>0</v>
      </c>
      <c r="H293" s="73">
        <f t="shared" si="367"/>
        <v>1377086.7</v>
      </c>
      <c r="I293" s="75">
        <f t="shared" si="368"/>
        <v>9.7195600005646448</v>
      </c>
      <c r="J293" s="98">
        <v>1730</v>
      </c>
      <c r="K293" s="84">
        <v>650</v>
      </c>
      <c r="L293" s="72">
        <v>85</v>
      </c>
      <c r="M293" s="74">
        <f t="shared" si="359"/>
        <v>55250</v>
      </c>
      <c r="N293" s="75">
        <f t="shared" si="360"/>
        <v>31.936416184971097</v>
      </c>
      <c r="O293" s="74">
        <f t="shared" si="361"/>
        <v>143412</v>
      </c>
      <c r="P293" s="74">
        <f t="shared" si="362"/>
        <v>1432336.7</v>
      </c>
      <c r="Q293" s="75">
        <f t="shared" si="363"/>
        <v>9.9875651967757229</v>
      </c>
      <c r="R293" s="72">
        <v>114721.2</v>
      </c>
      <c r="S293" s="91">
        <f t="shared" si="332"/>
        <v>516245.39999999997</v>
      </c>
      <c r="T293" s="117">
        <f>14464+11472</f>
        <v>25936</v>
      </c>
      <c r="U293" s="118"/>
      <c r="V293" s="74">
        <f t="shared" si="364"/>
        <v>542181.39999999991</v>
      </c>
      <c r="W293" s="78">
        <f t="shared" si="365"/>
        <v>258133.2</v>
      </c>
      <c r="X293" s="78">
        <f t="shared" si="366"/>
        <v>1948582.0999999999</v>
      </c>
      <c r="Y293" s="94">
        <f t="shared" si="353"/>
        <v>7.5487465386087482</v>
      </c>
      <c r="Z293" s="68">
        <v>4.55</v>
      </c>
      <c r="AA293" s="68"/>
      <c r="AB293" s="68"/>
      <c r="AC293" s="68"/>
    </row>
    <row r="294" spans="1:29" x14ac:dyDescent="0.25">
      <c r="A294" s="68" t="s">
        <v>25</v>
      </c>
      <c r="B294" s="72">
        <v>155774</v>
      </c>
      <c r="C294" s="73">
        <f t="shared" si="355"/>
        <v>989164.89999999991</v>
      </c>
      <c r="D294" s="72">
        <v>1035</v>
      </c>
      <c r="E294" s="72">
        <f t="shared" si="356"/>
        <v>362250</v>
      </c>
      <c r="F294" s="72">
        <f>24454+3068+65676+19640+15577</f>
        <v>128415</v>
      </c>
      <c r="G294" s="74">
        <v>0</v>
      </c>
      <c r="H294" s="73">
        <f t="shared" ref="H294" si="369">C294+E294+F294-G294</f>
        <v>1479829.9</v>
      </c>
      <c r="I294" s="75">
        <f t="shared" ref="I294" si="370">H294/B294</f>
        <v>9.4998517082439946</v>
      </c>
      <c r="J294" s="116">
        <v>540</v>
      </c>
      <c r="K294" s="116">
        <v>260.10000000000002</v>
      </c>
      <c r="L294" s="72">
        <v>86</v>
      </c>
      <c r="M294" s="74">
        <f t="shared" si="359"/>
        <v>22368.600000000002</v>
      </c>
      <c r="N294" s="75">
        <f t="shared" si="360"/>
        <v>41.423333333333339</v>
      </c>
      <c r="O294" s="74">
        <f t="shared" si="361"/>
        <v>156314</v>
      </c>
      <c r="P294" s="74">
        <f t="shared" si="362"/>
        <v>1502198.5</v>
      </c>
      <c r="Q294" s="75">
        <f t="shared" si="363"/>
        <v>9.6101340890771141</v>
      </c>
      <c r="R294" s="72">
        <v>162826</v>
      </c>
      <c r="S294" s="91">
        <f t="shared" si="332"/>
        <v>732717</v>
      </c>
      <c r="T294" s="117">
        <f>19640+15577</f>
        <v>35217</v>
      </c>
      <c r="U294" s="118"/>
      <c r="V294" s="74">
        <f t="shared" ref="V294" si="371">T294+S294</f>
        <v>767934</v>
      </c>
      <c r="W294" s="78">
        <f t="shared" ref="W294" si="372">R294+O294</f>
        <v>319140</v>
      </c>
      <c r="X294" s="78">
        <f t="shared" ref="X294" si="373">S294+P294</f>
        <v>2234915.5</v>
      </c>
      <c r="Y294" s="94">
        <f t="shared" ref="Y294:Y295" si="374">X294/W294</f>
        <v>7.0029313154101649</v>
      </c>
      <c r="Z294" s="68">
        <v>2.15</v>
      </c>
      <c r="AA294" s="68"/>
      <c r="AB294" s="68"/>
      <c r="AC294" s="68">
        <v>0.45</v>
      </c>
    </row>
    <row r="295" spans="1:29" x14ac:dyDescent="0.25">
      <c r="A295" s="71" t="s">
        <v>28</v>
      </c>
      <c r="B295" s="76">
        <f>SUM(B283:B294)</f>
        <v>691422</v>
      </c>
      <c r="C295" s="83"/>
      <c r="D295" s="76"/>
      <c r="E295" s="76"/>
      <c r="F295" s="76"/>
      <c r="G295" s="76"/>
      <c r="H295" s="80">
        <f>SUM(H283:H294)</f>
        <v>9237913.4000000004</v>
      </c>
      <c r="I295" s="75"/>
      <c r="J295" s="80">
        <f>SUM(J283:J294)</f>
        <v>27000</v>
      </c>
      <c r="K295" s="76">
        <f>SUM(K283:K294)</f>
        <v>10535.1</v>
      </c>
      <c r="L295" s="76"/>
      <c r="M295" s="74"/>
      <c r="N295" s="75"/>
      <c r="O295" s="74"/>
      <c r="P295" s="80"/>
      <c r="Q295" s="82"/>
      <c r="R295" s="80">
        <f>SUM(R283:R294)</f>
        <v>1596830.4000000001</v>
      </c>
      <c r="S295" s="90">
        <f>SUM(S283:S294)</f>
        <v>7022318.8000000007</v>
      </c>
      <c r="T295" s="119"/>
      <c r="U295" s="120"/>
      <c r="V295" s="76"/>
      <c r="W295" s="79">
        <f>SUM(W283:W294)</f>
        <v>2315252.4000000004</v>
      </c>
      <c r="X295" s="79">
        <f>SUM(X283:X294)</f>
        <v>17089510.799999997</v>
      </c>
      <c r="Y295" s="96">
        <f t="shared" si="374"/>
        <v>7.3812733333091431</v>
      </c>
      <c r="Z295" s="68"/>
      <c r="AA295" s="68"/>
      <c r="AB295" s="68"/>
      <c r="AC295" s="68"/>
    </row>
    <row r="297" spans="1:29" x14ac:dyDescent="0.25">
      <c r="B297" s="24"/>
      <c r="C297" t="s">
        <v>117</v>
      </c>
    </row>
    <row r="298" spans="1:29" x14ac:dyDescent="0.25">
      <c r="B298" s="110"/>
      <c r="C298" t="s">
        <v>115</v>
      </c>
    </row>
    <row r="299" spans="1:29" x14ac:dyDescent="0.25">
      <c r="B299" s="113"/>
      <c r="C299" t="s">
        <v>116</v>
      </c>
    </row>
    <row r="300" spans="1:29" x14ac:dyDescent="0.25">
      <c r="H300" s="26"/>
    </row>
    <row r="302" spans="1:29" ht="18.75" x14ac:dyDescent="0.25">
      <c r="A302" s="123" t="s">
        <v>118</v>
      </c>
      <c r="B302" s="123"/>
      <c r="C302" s="123"/>
      <c r="D302" s="123"/>
      <c r="E302" s="123"/>
      <c r="F302" s="123"/>
      <c r="G302" s="123"/>
      <c r="H302" s="123"/>
      <c r="I302" s="123"/>
      <c r="J302" s="123"/>
      <c r="K302" s="123"/>
      <c r="L302" s="123"/>
      <c r="M302" s="123"/>
      <c r="N302" s="123"/>
      <c r="O302" s="123"/>
      <c r="P302" s="123"/>
      <c r="Q302" s="123"/>
      <c r="R302" s="123"/>
      <c r="S302" s="123"/>
      <c r="T302" s="123"/>
      <c r="U302" s="123"/>
      <c r="V302" s="123"/>
      <c r="W302" s="123"/>
      <c r="X302" s="123"/>
      <c r="Y302" s="123"/>
      <c r="Z302" s="123"/>
      <c r="AA302" s="123"/>
      <c r="AB302" s="123"/>
      <c r="AC302" s="123"/>
    </row>
    <row r="303" spans="1:29" x14ac:dyDescent="0.25">
      <c r="A303" s="124" t="s">
        <v>37</v>
      </c>
      <c r="B303" s="124" t="s">
        <v>13</v>
      </c>
      <c r="C303" s="124" t="s">
        <v>2</v>
      </c>
      <c r="D303" s="124" t="s">
        <v>70</v>
      </c>
      <c r="E303" s="124" t="s">
        <v>3</v>
      </c>
      <c r="F303" s="124" t="s">
        <v>4</v>
      </c>
      <c r="G303" s="124" t="s">
        <v>35</v>
      </c>
      <c r="H303" s="124" t="s">
        <v>6</v>
      </c>
      <c r="I303" s="124" t="s">
        <v>7</v>
      </c>
      <c r="J303" s="124" t="s">
        <v>8</v>
      </c>
      <c r="K303" s="124" t="s">
        <v>9</v>
      </c>
      <c r="L303" s="124" t="s">
        <v>32</v>
      </c>
      <c r="M303" s="124" t="s">
        <v>10</v>
      </c>
      <c r="N303" s="124" t="s">
        <v>39</v>
      </c>
      <c r="O303" s="124" t="s">
        <v>33</v>
      </c>
      <c r="P303" s="124" t="s">
        <v>51</v>
      </c>
      <c r="Q303" s="121" t="s">
        <v>31</v>
      </c>
      <c r="R303" s="121" t="s">
        <v>50</v>
      </c>
      <c r="S303" s="121" t="s">
        <v>46</v>
      </c>
      <c r="T303" s="121" t="s">
        <v>48</v>
      </c>
      <c r="U303" s="121"/>
      <c r="V303" s="121" t="s">
        <v>49</v>
      </c>
      <c r="W303" s="124" t="s">
        <v>54</v>
      </c>
      <c r="X303" s="121" t="s">
        <v>52</v>
      </c>
      <c r="Y303" s="121" t="s">
        <v>53</v>
      </c>
      <c r="Z303" s="122" t="s">
        <v>81</v>
      </c>
      <c r="AA303" s="122"/>
      <c r="AB303" s="122"/>
      <c r="AC303" s="122"/>
    </row>
    <row r="304" spans="1:29" ht="75" x14ac:dyDescent="0.25">
      <c r="A304" s="124"/>
      <c r="B304" s="124"/>
      <c r="C304" s="124"/>
      <c r="D304" s="124"/>
      <c r="E304" s="124"/>
      <c r="F304" s="124"/>
      <c r="G304" s="124"/>
      <c r="H304" s="124"/>
      <c r="I304" s="124"/>
      <c r="J304" s="124"/>
      <c r="K304" s="124"/>
      <c r="L304" s="124"/>
      <c r="M304" s="124"/>
      <c r="N304" s="124"/>
      <c r="O304" s="124"/>
      <c r="P304" s="124"/>
      <c r="Q304" s="121"/>
      <c r="R304" s="121"/>
      <c r="S304" s="121"/>
      <c r="T304" s="121"/>
      <c r="U304" s="121"/>
      <c r="V304" s="121"/>
      <c r="W304" s="124"/>
      <c r="X304" s="121"/>
      <c r="Y304" s="121"/>
      <c r="Z304" s="115" t="s">
        <v>75</v>
      </c>
      <c r="AA304" s="115" t="s">
        <v>79</v>
      </c>
      <c r="AB304" s="115" t="s">
        <v>80</v>
      </c>
      <c r="AC304" s="97" t="s">
        <v>82</v>
      </c>
    </row>
    <row r="305" spans="1:29" x14ac:dyDescent="0.25">
      <c r="A305" s="68" t="s">
        <v>14</v>
      </c>
      <c r="B305" s="72">
        <v>211832</v>
      </c>
      <c r="C305" s="73">
        <f t="shared" ref="C305" si="375">B305*6.35</f>
        <v>1345133.2</v>
      </c>
      <c r="D305" s="72">
        <v>1035</v>
      </c>
      <c r="E305" s="72">
        <f t="shared" ref="E305" si="376">D305*350</f>
        <v>362250</v>
      </c>
      <c r="F305" s="72">
        <f>70418+3068+86024+5347+4242+1858</f>
        <v>170957</v>
      </c>
      <c r="G305" s="74">
        <v>13127</v>
      </c>
      <c r="H305" s="73">
        <f t="shared" ref="H305" si="377">C305+E305+F305-G305</f>
        <v>1865213.2</v>
      </c>
      <c r="I305" s="75">
        <f t="shared" ref="I305" si="378">H305/B305</f>
        <v>8.8051531402243288</v>
      </c>
      <c r="J305" s="82">
        <v>1545</v>
      </c>
      <c r="K305" s="82">
        <v>660</v>
      </c>
      <c r="L305" s="72">
        <v>95</v>
      </c>
      <c r="M305" s="74">
        <f t="shared" ref="M305" si="379">L305*K305</f>
        <v>62700</v>
      </c>
      <c r="N305" s="75">
        <f t="shared" ref="N305" si="380">M305/J305</f>
        <v>40.582524271844662</v>
      </c>
      <c r="O305" s="74">
        <f t="shared" ref="O305" si="381">J305+B305</f>
        <v>213377</v>
      </c>
      <c r="P305" s="74">
        <f t="shared" ref="P305" si="382">M305+H305</f>
        <v>1927913.2</v>
      </c>
      <c r="Q305" s="75">
        <f t="shared" ref="Q305" si="383">P305/O305</f>
        <v>9.0352437235503356</v>
      </c>
      <c r="R305" s="72">
        <v>42416</v>
      </c>
      <c r="S305" s="91">
        <f t="shared" ref="S305:S310" si="384">R305*4.5</f>
        <v>190872</v>
      </c>
      <c r="T305" s="117">
        <v>4242</v>
      </c>
      <c r="U305" s="118"/>
      <c r="V305" s="74">
        <f t="shared" ref="V305:V307" si="385">T305+S305</f>
        <v>195114</v>
      </c>
      <c r="W305" s="78">
        <f t="shared" ref="W305:W306" si="386">R305+O305</f>
        <v>255793</v>
      </c>
      <c r="X305" s="78">
        <f t="shared" ref="X305:X306" si="387">S305+P305</f>
        <v>2118785.2000000002</v>
      </c>
      <c r="Y305" s="94">
        <f t="shared" ref="Y305:Y306" si="388">X305/W305</f>
        <v>8.2832024332174861</v>
      </c>
      <c r="Z305" s="68">
        <v>5.45</v>
      </c>
      <c r="AA305" s="68">
        <v>0</v>
      </c>
      <c r="AB305" s="68"/>
      <c r="AC305" s="68">
        <v>1.35</v>
      </c>
    </row>
    <row r="306" spans="1:29" x14ac:dyDescent="0.25">
      <c r="A306" s="68" t="s">
        <v>15</v>
      </c>
      <c r="B306" s="72">
        <v>0</v>
      </c>
      <c r="C306" s="73">
        <f t="shared" ref="C306:C307" si="389">B306*6.35</f>
        <v>0</v>
      </c>
      <c r="D306" s="72">
        <v>1035</v>
      </c>
      <c r="E306" s="72">
        <f t="shared" ref="E306:E310" si="390">D306*350</f>
        <v>362250</v>
      </c>
      <c r="F306" s="72">
        <f>3068+24979+13471+15819+420</f>
        <v>57757</v>
      </c>
      <c r="G306" s="109">
        <v>420007</v>
      </c>
      <c r="H306" s="73">
        <f t="shared" ref="H306:H307" si="391">C306+E306+F306-G306</f>
        <v>0</v>
      </c>
      <c r="I306" s="75" t="e">
        <f t="shared" ref="I306:I307" si="392">H306/B306</f>
        <v>#DIV/0!</v>
      </c>
      <c r="J306" s="82">
        <v>1030</v>
      </c>
      <c r="K306" s="82">
        <v>485</v>
      </c>
      <c r="L306" s="72">
        <v>95</v>
      </c>
      <c r="M306" s="74">
        <f t="shared" ref="M306" si="393">L306*K306</f>
        <v>46075</v>
      </c>
      <c r="N306" s="75">
        <f t="shared" ref="N306" si="394">M306/J306</f>
        <v>44.733009708737868</v>
      </c>
      <c r="O306" s="74">
        <f t="shared" ref="O306" si="395">J306+B306</f>
        <v>1030</v>
      </c>
      <c r="P306" s="74">
        <f t="shared" ref="P306" si="396">M306+H306</f>
        <v>46075</v>
      </c>
      <c r="Q306" s="75">
        <f t="shared" ref="Q306" si="397">P306/O306</f>
        <v>44.733009708737868</v>
      </c>
      <c r="R306" s="72">
        <v>158191.20000000001</v>
      </c>
      <c r="S306" s="91">
        <f t="shared" si="384"/>
        <v>711860.4</v>
      </c>
      <c r="T306" s="117">
        <v>15819</v>
      </c>
      <c r="U306" s="118"/>
      <c r="V306" s="74">
        <f t="shared" si="385"/>
        <v>727679.4</v>
      </c>
      <c r="W306" s="78">
        <f t="shared" si="386"/>
        <v>159221.20000000001</v>
      </c>
      <c r="X306" s="78">
        <f t="shared" si="387"/>
        <v>757935.4</v>
      </c>
      <c r="Y306" s="94">
        <f t="shared" si="388"/>
        <v>4.7602668488869568</v>
      </c>
      <c r="Z306" s="68">
        <v>5.35</v>
      </c>
      <c r="AA306" s="68"/>
      <c r="AB306" s="68"/>
      <c r="AC306" s="68"/>
    </row>
    <row r="307" spans="1:29" x14ac:dyDescent="0.25">
      <c r="A307" s="68" t="s">
        <v>16</v>
      </c>
      <c r="B307" s="72">
        <v>75408</v>
      </c>
      <c r="C307" s="73">
        <f t="shared" si="389"/>
        <v>478840.8</v>
      </c>
      <c r="D307" s="72">
        <v>1035</v>
      </c>
      <c r="E307" s="72">
        <f t="shared" si="390"/>
        <v>362250</v>
      </c>
      <c r="F307" s="74">
        <f>16754+3068+38765+15049+909</f>
        <v>74545</v>
      </c>
      <c r="G307" s="72">
        <v>5578</v>
      </c>
      <c r="H307" s="73">
        <f t="shared" si="391"/>
        <v>910057.8</v>
      </c>
      <c r="I307" s="75">
        <f t="shared" si="392"/>
        <v>12.068451623169956</v>
      </c>
      <c r="J307" s="80">
        <v>1776</v>
      </c>
      <c r="K307" s="76">
        <v>770</v>
      </c>
      <c r="L307" s="72">
        <v>95</v>
      </c>
      <c r="M307" s="74">
        <f t="shared" ref="M307" si="398">L307*K307</f>
        <v>73150</v>
      </c>
      <c r="N307" s="75">
        <f t="shared" ref="N307" si="399">M307/J307</f>
        <v>41.188063063063062</v>
      </c>
      <c r="O307" s="74">
        <f t="shared" ref="O307" si="400">J307+B307</f>
        <v>77184</v>
      </c>
      <c r="P307" s="74">
        <f t="shared" ref="P307" si="401">M307+H307</f>
        <v>983207.8</v>
      </c>
      <c r="Q307" s="75">
        <f t="shared" ref="Q307" si="402">P307/O307</f>
        <v>12.738492433665009</v>
      </c>
      <c r="R307" s="72">
        <v>150494</v>
      </c>
      <c r="S307" s="91">
        <f t="shared" si="384"/>
        <v>677223</v>
      </c>
      <c r="T307" s="117">
        <f>15049</f>
        <v>15049</v>
      </c>
      <c r="U307" s="118"/>
      <c r="V307" s="74">
        <f t="shared" si="385"/>
        <v>692272</v>
      </c>
      <c r="W307" s="78">
        <f t="shared" ref="W307" si="403">R307+O307</f>
        <v>227678</v>
      </c>
      <c r="X307" s="78">
        <f t="shared" ref="X307" si="404">S307+P307</f>
        <v>1660430.8</v>
      </c>
      <c r="Y307" s="94">
        <f t="shared" ref="Y307" si="405">X307/W307</f>
        <v>7.2928908370593559</v>
      </c>
      <c r="Z307" s="72">
        <v>5.2</v>
      </c>
      <c r="AA307" s="68"/>
      <c r="AB307" s="68"/>
      <c r="AC307" s="68">
        <v>10</v>
      </c>
    </row>
    <row r="308" spans="1:29" x14ac:dyDescent="0.25">
      <c r="A308" s="68" t="s">
        <v>17</v>
      </c>
      <c r="B308" s="72">
        <v>0</v>
      </c>
      <c r="C308" s="73">
        <v>0</v>
      </c>
      <c r="D308" s="72">
        <v>1035</v>
      </c>
      <c r="E308" s="72">
        <f t="shared" si="390"/>
        <v>362250</v>
      </c>
      <c r="F308" s="74">
        <f>3068+14994+5039+26577</f>
        <v>49678</v>
      </c>
      <c r="G308" s="72">
        <v>0</v>
      </c>
      <c r="H308" s="73">
        <f t="shared" ref="H308:H310" si="406">C308+E308+F308-G308</f>
        <v>411928</v>
      </c>
      <c r="I308" s="75" t="e">
        <f t="shared" ref="I308:I310" si="407">H308/B308</f>
        <v>#DIV/0!</v>
      </c>
      <c r="J308" s="80">
        <v>20516.71</v>
      </c>
      <c r="K308" s="76">
        <v>7220</v>
      </c>
      <c r="L308" s="72">
        <v>96</v>
      </c>
      <c r="M308" s="74">
        <f t="shared" ref="M308:M310" si="408">L308*K308</f>
        <v>693120</v>
      </c>
      <c r="N308" s="75">
        <f t="shared" ref="N308:N310" si="409">M308/J308</f>
        <v>33.783194284073815</v>
      </c>
      <c r="O308" s="74">
        <f t="shared" ref="O308:O310" si="410">J308+B308</f>
        <v>20516.71</v>
      </c>
      <c r="P308" s="74">
        <f t="shared" ref="P308:P310" si="411">M308+H308</f>
        <v>1105048</v>
      </c>
      <c r="Q308" s="75">
        <f t="shared" ref="Q308:Q310" si="412">P308/O308</f>
        <v>53.860877304402123</v>
      </c>
      <c r="R308" s="72">
        <v>265768</v>
      </c>
      <c r="S308" s="91">
        <f t="shared" si="384"/>
        <v>1195956</v>
      </c>
      <c r="T308" s="117">
        <v>26577</v>
      </c>
      <c r="U308" s="118"/>
      <c r="V308" s="74">
        <f t="shared" ref="V308" si="413">T308+S308</f>
        <v>1222533</v>
      </c>
      <c r="W308" s="78">
        <f t="shared" ref="W308" si="414">R308+O308</f>
        <v>286284.71000000002</v>
      </c>
      <c r="X308" s="78">
        <f t="shared" ref="X308" si="415">S308+P308</f>
        <v>2301004</v>
      </c>
      <c r="Y308" s="94">
        <f t="shared" ref="Y308" si="416">X308/W308</f>
        <v>8.0374673170634914</v>
      </c>
      <c r="Z308" s="72">
        <v>68.150000000000006</v>
      </c>
      <c r="AA308" s="68"/>
      <c r="AB308" s="68">
        <v>9.35</v>
      </c>
      <c r="AC308" s="68"/>
    </row>
    <row r="309" spans="1:29" x14ac:dyDescent="0.25">
      <c r="A309" s="68" t="s">
        <v>18</v>
      </c>
      <c r="B309" s="72">
        <v>0</v>
      </c>
      <c r="C309" s="73">
        <v>0</v>
      </c>
      <c r="D309" s="72">
        <v>1035</v>
      </c>
      <c r="E309" s="72">
        <f t="shared" si="390"/>
        <v>362250</v>
      </c>
      <c r="F309" s="72">
        <f>3068+17136+42656+33832</f>
        <v>96692</v>
      </c>
      <c r="G309" s="73">
        <v>0</v>
      </c>
      <c r="H309" s="73">
        <f t="shared" si="406"/>
        <v>458942</v>
      </c>
      <c r="I309" s="75" t="e">
        <f t="shared" si="407"/>
        <v>#DIV/0!</v>
      </c>
      <c r="J309" s="80">
        <v>2071</v>
      </c>
      <c r="K309" s="80">
        <v>790</v>
      </c>
      <c r="L309" s="72">
        <v>96</v>
      </c>
      <c r="M309" s="74">
        <f t="shared" si="408"/>
        <v>75840</v>
      </c>
      <c r="N309" s="75">
        <f t="shared" si="409"/>
        <v>36.619990342829553</v>
      </c>
      <c r="O309" s="74">
        <f t="shared" si="410"/>
        <v>2071</v>
      </c>
      <c r="P309" s="74">
        <f t="shared" si="411"/>
        <v>534782</v>
      </c>
      <c r="Q309" s="75">
        <f t="shared" si="412"/>
        <v>258.22404635441814</v>
      </c>
      <c r="R309" s="72">
        <v>338315.4</v>
      </c>
      <c r="S309" s="92">
        <f t="shared" si="384"/>
        <v>1522419.3</v>
      </c>
      <c r="T309" s="117">
        <f>42656+33832</f>
        <v>76488</v>
      </c>
      <c r="U309" s="118"/>
      <c r="V309" s="74">
        <f t="shared" ref="V309:V310" si="417">T309+S309</f>
        <v>1598907.3</v>
      </c>
      <c r="W309" s="78">
        <f t="shared" ref="W309:W310" si="418">R309+O309</f>
        <v>340386.4</v>
      </c>
      <c r="X309" s="78">
        <f t="shared" ref="X309:X310" si="419">S309+P309</f>
        <v>2057201.3</v>
      </c>
      <c r="Y309" s="94">
        <f t="shared" ref="Y309:Y310" si="420">X309/W309</f>
        <v>6.0437235447714714</v>
      </c>
      <c r="Z309" s="72">
        <v>3.3</v>
      </c>
      <c r="AA309" s="68"/>
      <c r="AB309" s="68"/>
      <c r="AC309" s="68"/>
    </row>
    <row r="310" spans="1:29" x14ac:dyDescent="0.25">
      <c r="A310" s="68" t="s">
        <v>19</v>
      </c>
      <c r="B310" s="72">
        <v>0</v>
      </c>
      <c r="C310" s="73">
        <v>0</v>
      </c>
      <c r="D310" s="72">
        <v>1058.4000000000001</v>
      </c>
      <c r="E310" s="72">
        <f t="shared" si="390"/>
        <v>370440.00000000006</v>
      </c>
      <c r="F310" s="72">
        <f>3068+18522+39452+31290</f>
        <v>92332</v>
      </c>
      <c r="G310" s="73">
        <v>0</v>
      </c>
      <c r="H310" s="73">
        <f t="shared" si="406"/>
        <v>462772.00000000006</v>
      </c>
      <c r="I310" s="75" t="e">
        <f t="shared" si="407"/>
        <v>#DIV/0!</v>
      </c>
      <c r="J310" s="80">
        <v>4557</v>
      </c>
      <c r="K310" s="76">
        <v>1720</v>
      </c>
      <c r="L310" s="72">
        <v>96</v>
      </c>
      <c r="M310" s="74">
        <f t="shared" si="408"/>
        <v>165120</v>
      </c>
      <c r="N310" s="75">
        <f t="shared" si="409"/>
        <v>36.234364713627386</v>
      </c>
      <c r="O310" s="74">
        <f t="shared" si="410"/>
        <v>4557</v>
      </c>
      <c r="P310" s="74">
        <f t="shared" si="411"/>
        <v>627892</v>
      </c>
      <c r="Q310" s="75">
        <f t="shared" si="412"/>
        <v>137.78626289225369</v>
      </c>
      <c r="R310" s="72">
        <v>312904.8</v>
      </c>
      <c r="S310" s="92">
        <f t="shared" si="384"/>
        <v>1408071.5999999999</v>
      </c>
      <c r="T310" s="117">
        <f>39452+31290</f>
        <v>70742</v>
      </c>
      <c r="U310" s="118"/>
      <c r="V310" s="74">
        <f t="shared" si="417"/>
        <v>1478813.5999999999</v>
      </c>
      <c r="W310" s="78">
        <f t="shared" si="418"/>
        <v>317461.8</v>
      </c>
      <c r="X310" s="78">
        <f t="shared" si="419"/>
        <v>2035963.5999999999</v>
      </c>
      <c r="Y310" s="94">
        <f t="shared" si="420"/>
        <v>6.4132553900973281</v>
      </c>
      <c r="Z310" s="72">
        <v>13.15</v>
      </c>
      <c r="AA310" s="68"/>
      <c r="AB310" s="68"/>
      <c r="AC310" s="68">
        <v>1</v>
      </c>
    </row>
    <row r="311" spans="1:29" x14ac:dyDescent="0.25">
      <c r="A311" s="68" t="s">
        <v>20</v>
      </c>
      <c r="B311" s="72">
        <v>0</v>
      </c>
      <c r="C311" s="73">
        <v>0</v>
      </c>
      <c r="D311" s="72"/>
      <c r="E311" s="72"/>
      <c r="F311" s="72"/>
      <c r="G311" s="72"/>
      <c r="H311" s="73"/>
      <c r="I311" s="75"/>
      <c r="J311" s="98"/>
      <c r="K311" s="84"/>
      <c r="L311" s="72"/>
      <c r="M311" s="74"/>
      <c r="N311" s="75"/>
      <c r="O311" s="74"/>
      <c r="P311" s="74"/>
      <c r="Q311" s="75"/>
      <c r="R311" s="72"/>
      <c r="S311" s="92"/>
      <c r="T311" s="117"/>
      <c r="U311" s="118"/>
      <c r="V311" s="74"/>
      <c r="W311" s="78"/>
      <c r="X311" s="78"/>
      <c r="Y311" s="94"/>
      <c r="Z311" s="72"/>
      <c r="AA311" s="68"/>
      <c r="AB311" s="68"/>
      <c r="AC311" s="68"/>
    </row>
    <row r="312" spans="1:29" x14ac:dyDescent="0.25">
      <c r="A312" s="68" t="s">
        <v>21</v>
      </c>
      <c r="B312" s="72">
        <v>0</v>
      </c>
      <c r="C312" s="73">
        <v>0</v>
      </c>
      <c r="D312" s="72"/>
      <c r="E312" s="72"/>
      <c r="F312" s="74"/>
      <c r="G312" s="72"/>
      <c r="H312" s="73"/>
      <c r="I312" s="75"/>
      <c r="J312" s="74"/>
      <c r="K312" s="72"/>
      <c r="L312" s="72"/>
      <c r="M312" s="74"/>
      <c r="N312" s="75"/>
      <c r="O312" s="74"/>
      <c r="P312" s="74"/>
      <c r="Q312" s="75"/>
      <c r="R312" s="74"/>
      <c r="S312" s="92"/>
      <c r="T312" s="117"/>
      <c r="U312" s="118"/>
      <c r="V312" s="74"/>
      <c r="W312" s="78"/>
      <c r="X312" s="78"/>
      <c r="Y312" s="94"/>
      <c r="Z312" s="72"/>
      <c r="AA312" s="68"/>
      <c r="AB312" s="68"/>
      <c r="AC312" s="68"/>
    </row>
    <row r="313" spans="1:29" x14ac:dyDescent="0.25">
      <c r="A313" s="68" t="s">
        <v>22</v>
      </c>
      <c r="B313" s="72">
        <v>0</v>
      </c>
      <c r="C313" s="73">
        <v>0</v>
      </c>
      <c r="D313" s="72"/>
      <c r="E313" s="72"/>
      <c r="F313" s="74"/>
      <c r="G313" s="74"/>
      <c r="H313" s="73"/>
      <c r="I313" s="75"/>
      <c r="J313" s="72"/>
      <c r="K313" s="72"/>
      <c r="L313" s="72"/>
      <c r="M313" s="74"/>
      <c r="N313" s="75"/>
      <c r="O313" s="74"/>
      <c r="P313" s="74"/>
      <c r="Q313" s="75"/>
      <c r="R313" s="72"/>
      <c r="S313" s="92"/>
      <c r="T313" s="117"/>
      <c r="U313" s="118"/>
      <c r="V313" s="74"/>
      <c r="W313" s="78"/>
      <c r="X313" s="78"/>
      <c r="Y313" s="94"/>
      <c r="Z313" s="68"/>
      <c r="AA313" s="68"/>
      <c r="AB313" s="68"/>
      <c r="AC313" s="68"/>
    </row>
    <row r="314" spans="1:29" x14ac:dyDescent="0.25">
      <c r="A314" s="68" t="s">
        <v>23</v>
      </c>
      <c r="B314" s="72">
        <v>0</v>
      </c>
      <c r="C314" s="73">
        <v>0</v>
      </c>
      <c r="D314" s="72"/>
      <c r="E314" s="72"/>
      <c r="F314" s="74"/>
      <c r="G314" s="74"/>
      <c r="H314" s="73"/>
      <c r="I314" s="75"/>
      <c r="J314" s="73"/>
      <c r="K314" s="73"/>
      <c r="L314" s="72"/>
      <c r="M314" s="74"/>
      <c r="N314" s="75"/>
      <c r="O314" s="74"/>
      <c r="P314" s="74"/>
      <c r="Q314" s="75"/>
      <c r="R314" s="72"/>
      <c r="S314" s="92"/>
      <c r="T314" s="117"/>
      <c r="U314" s="118"/>
      <c r="V314" s="74"/>
      <c r="W314" s="78"/>
      <c r="X314" s="78"/>
      <c r="Y314" s="94"/>
      <c r="Z314" s="68"/>
      <c r="AA314" s="68"/>
      <c r="AB314" s="68"/>
      <c r="AC314" s="68"/>
    </row>
    <row r="315" spans="1:29" x14ac:dyDescent="0.25">
      <c r="A315" s="68" t="s">
        <v>24</v>
      </c>
      <c r="B315" s="72">
        <v>0</v>
      </c>
      <c r="C315" s="73">
        <v>0</v>
      </c>
      <c r="D315" s="72"/>
      <c r="E315" s="72"/>
      <c r="F315" s="74"/>
      <c r="G315" s="74"/>
      <c r="H315" s="73"/>
      <c r="I315" s="75"/>
      <c r="J315" s="98"/>
      <c r="K315" s="84"/>
      <c r="L315" s="72"/>
      <c r="M315" s="74"/>
      <c r="N315" s="75"/>
      <c r="O315" s="74"/>
      <c r="P315" s="74"/>
      <c r="Q315" s="75"/>
      <c r="R315" s="72"/>
      <c r="S315" s="91"/>
      <c r="T315" s="117"/>
      <c r="U315" s="118"/>
      <c r="V315" s="74"/>
      <c r="W315" s="78"/>
      <c r="X315" s="78"/>
      <c r="Y315" s="94"/>
      <c r="Z315" s="68"/>
      <c r="AA315" s="68"/>
      <c r="AB315" s="68"/>
      <c r="AC315" s="68"/>
    </row>
    <row r="316" spans="1:29" x14ac:dyDescent="0.25">
      <c r="A316" s="68" t="s">
        <v>25</v>
      </c>
      <c r="B316" s="72">
        <v>0</v>
      </c>
      <c r="C316" s="73">
        <v>0</v>
      </c>
      <c r="D316" s="72"/>
      <c r="E316" s="72"/>
      <c r="F316" s="72"/>
      <c r="G316" s="74"/>
      <c r="H316" s="73"/>
      <c r="I316" s="75"/>
      <c r="J316" s="116"/>
      <c r="K316" s="116"/>
      <c r="L316" s="72"/>
      <c r="M316" s="74"/>
      <c r="N316" s="75"/>
      <c r="O316" s="74"/>
      <c r="P316" s="74"/>
      <c r="Q316" s="75"/>
      <c r="R316" s="72"/>
      <c r="S316" s="91"/>
      <c r="T316" s="117"/>
      <c r="U316" s="118"/>
      <c r="V316" s="74"/>
      <c r="W316" s="78"/>
      <c r="X316" s="78"/>
      <c r="Y316" s="94"/>
      <c r="Z316" s="68"/>
      <c r="AA316" s="68"/>
      <c r="AB316" s="68"/>
      <c r="AC316" s="68"/>
    </row>
    <row r="317" spans="1:29" x14ac:dyDescent="0.25">
      <c r="A317" s="71" t="s">
        <v>28</v>
      </c>
      <c r="B317" s="76"/>
      <c r="C317" s="83"/>
      <c r="D317" s="76"/>
      <c r="E317" s="76"/>
      <c r="F317" s="76"/>
      <c r="G317" s="76"/>
      <c r="H317" s="80"/>
      <c r="I317" s="75"/>
      <c r="J317" s="80"/>
      <c r="K317" s="76"/>
      <c r="L317" s="76"/>
      <c r="M317" s="74"/>
      <c r="N317" s="75"/>
      <c r="O317" s="74"/>
      <c r="P317" s="80"/>
      <c r="Q317" s="82"/>
      <c r="R317" s="80"/>
      <c r="S317" s="90"/>
      <c r="T317" s="119"/>
      <c r="U317" s="120"/>
      <c r="V317" s="76"/>
      <c r="W317" s="79"/>
      <c r="X317" s="79"/>
      <c r="Y317" s="96"/>
      <c r="Z317" s="68"/>
      <c r="AA317" s="68"/>
      <c r="AB317" s="68"/>
      <c r="AC317" s="68"/>
    </row>
    <row r="319" spans="1:29" x14ac:dyDescent="0.25">
      <c r="B319" s="24"/>
      <c r="C319" t="s">
        <v>117</v>
      </c>
    </row>
    <row r="320" spans="1:29" x14ac:dyDescent="0.25">
      <c r="B320" s="109"/>
      <c r="C320" t="s">
        <v>85</v>
      </c>
    </row>
  </sheetData>
  <mergeCells count="290">
    <mergeCell ref="T251:U251"/>
    <mergeCell ref="T252:U252"/>
    <mergeCell ref="T253:U253"/>
    <mergeCell ref="T254:U254"/>
    <mergeCell ref="T255:U255"/>
    <mergeCell ref="Z241:AC241"/>
    <mergeCell ref="Y241:Y242"/>
    <mergeCell ref="T243:U243"/>
    <mergeCell ref="T244:U244"/>
    <mergeCell ref="T245:U245"/>
    <mergeCell ref="T246:U246"/>
    <mergeCell ref="T247:U247"/>
    <mergeCell ref="T248:U248"/>
    <mergeCell ref="T249:U249"/>
    <mergeCell ref="T250:U250"/>
    <mergeCell ref="A240:Y240"/>
    <mergeCell ref="A241:A242"/>
    <mergeCell ref="B241:B242"/>
    <mergeCell ref="C241:C242"/>
    <mergeCell ref="D241:D242"/>
    <mergeCell ref="E241:E242"/>
    <mergeCell ref="F241:F242"/>
    <mergeCell ref="G241:G242"/>
    <mergeCell ref="H241:H242"/>
    <mergeCell ref="I241:I242"/>
    <mergeCell ref="J241:J242"/>
    <mergeCell ref="K241:K242"/>
    <mergeCell ref="L241:L242"/>
    <mergeCell ref="M241:M242"/>
    <mergeCell ref="N241:N242"/>
    <mergeCell ref="O241:O242"/>
    <mergeCell ref="P241:P242"/>
    <mergeCell ref="Q241:Q242"/>
    <mergeCell ref="R241:R242"/>
    <mergeCell ref="S241:S242"/>
    <mergeCell ref="T241:U242"/>
    <mergeCell ref="V241:V242"/>
    <mergeCell ref="W241:W242"/>
    <mergeCell ref="X241:X242"/>
    <mergeCell ref="T232:U232"/>
    <mergeCell ref="T233:U233"/>
    <mergeCell ref="A218:Y218"/>
    <mergeCell ref="T224:U224"/>
    <mergeCell ref="T225:U225"/>
    <mergeCell ref="T226:U226"/>
    <mergeCell ref="T227:U227"/>
    <mergeCell ref="T228:U228"/>
    <mergeCell ref="T229:U229"/>
    <mergeCell ref="T230:U230"/>
    <mergeCell ref="T231:U231"/>
    <mergeCell ref="T201:U201"/>
    <mergeCell ref="T202:U202"/>
    <mergeCell ref="A197:Y197"/>
    <mergeCell ref="T208:U208"/>
    <mergeCell ref="T209:U209"/>
    <mergeCell ref="T210:U210"/>
    <mergeCell ref="T211:U211"/>
    <mergeCell ref="T212:U212"/>
    <mergeCell ref="T203:U203"/>
    <mergeCell ref="T204:U204"/>
    <mergeCell ref="T205:U205"/>
    <mergeCell ref="T206:U206"/>
    <mergeCell ref="T207:U207"/>
    <mergeCell ref="T133:U133"/>
    <mergeCell ref="T186:U186"/>
    <mergeCell ref="T176:U176"/>
    <mergeCell ref="T177:U177"/>
    <mergeCell ref="A171:Y171"/>
    <mergeCell ref="T173:U173"/>
    <mergeCell ref="T174:U174"/>
    <mergeCell ref="T184:U184"/>
    <mergeCell ref="T181:U181"/>
    <mergeCell ref="T182:U182"/>
    <mergeCell ref="T183:U183"/>
    <mergeCell ref="T178:U178"/>
    <mergeCell ref="T179:U179"/>
    <mergeCell ref="T180:U180"/>
    <mergeCell ref="C144:J144"/>
    <mergeCell ref="C142:H142"/>
    <mergeCell ref="C140:H140"/>
    <mergeCell ref="A146:Y146"/>
    <mergeCell ref="T175:U175"/>
    <mergeCell ref="T150:U150"/>
    <mergeCell ref="T151:U151"/>
    <mergeCell ref="T152:U152"/>
    <mergeCell ref="T154:U154"/>
    <mergeCell ref="T155:U155"/>
    <mergeCell ref="T124:U124"/>
    <mergeCell ref="T125:U125"/>
    <mergeCell ref="T126:U126"/>
    <mergeCell ref="T127:U127"/>
    <mergeCell ref="T128:U128"/>
    <mergeCell ref="T129:U129"/>
    <mergeCell ref="T130:U130"/>
    <mergeCell ref="T131:U131"/>
    <mergeCell ref="T132:U132"/>
    <mergeCell ref="A48:Q48"/>
    <mergeCell ref="A72:Q72"/>
    <mergeCell ref="A1:P1"/>
    <mergeCell ref="A18:G18"/>
    <mergeCell ref="H18:I18"/>
    <mergeCell ref="A19:G19"/>
    <mergeCell ref="H19:I19"/>
    <mergeCell ref="A42:G42"/>
    <mergeCell ref="H42:I42"/>
    <mergeCell ref="A43:G43"/>
    <mergeCell ref="H43:I43"/>
    <mergeCell ref="A20:G20"/>
    <mergeCell ref="H20:I20"/>
    <mergeCell ref="A24:P24"/>
    <mergeCell ref="A41:G41"/>
    <mergeCell ref="H41:I41"/>
    <mergeCell ref="B68:H68"/>
    <mergeCell ref="I68:J68"/>
    <mergeCell ref="B69:H69"/>
    <mergeCell ref="I69:J69"/>
    <mergeCell ref="B70:H70"/>
    <mergeCell ref="I70:J70"/>
    <mergeCell ref="B92:F92"/>
    <mergeCell ref="B94:F94"/>
    <mergeCell ref="G92:I92"/>
    <mergeCell ref="G93:I93"/>
    <mergeCell ref="G94:I94"/>
    <mergeCell ref="B93:F93"/>
    <mergeCell ref="A122:Q122"/>
    <mergeCell ref="A97:Q97"/>
    <mergeCell ref="B118:N118"/>
    <mergeCell ref="C117:J117"/>
    <mergeCell ref="C119:L119"/>
    <mergeCell ref="Z219:AC219"/>
    <mergeCell ref="A219:A220"/>
    <mergeCell ref="B219:B220"/>
    <mergeCell ref="C219:C220"/>
    <mergeCell ref="D219:D220"/>
    <mergeCell ref="E219:E220"/>
    <mergeCell ref="F219:F220"/>
    <mergeCell ref="G219:G220"/>
    <mergeCell ref="H219:H220"/>
    <mergeCell ref="I219:I220"/>
    <mergeCell ref="J219:J220"/>
    <mergeCell ref="K219:K220"/>
    <mergeCell ref="L219:L220"/>
    <mergeCell ref="M219:M220"/>
    <mergeCell ref="N219:N220"/>
    <mergeCell ref="O219:O220"/>
    <mergeCell ref="P219:P220"/>
    <mergeCell ref="Q219:Q220"/>
    <mergeCell ref="R219:R220"/>
    <mergeCell ref="S219:S220"/>
    <mergeCell ref="T136:U136"/>
    <mergeCell ref="T135:U135"/>
    <mergeCell ref="T134:U134"/>
    <mergeCell ref="T219:U220"/>
    <mergeCell ref="V219:V220"/>
    <mergeCell ref="W219:W220"/>
    <mergeCell ref="X219:X220"/>
    <mergeCell ref="Y219:Y220"/>
    <mergeCell ref="T223:U223"/>
    <mergeCell ref="T222:U222"/>
    <mergeCell ref="T221:U221"/>
    <mergeCell ref="T185:U185"/>
    <mergeCell ref="T161:U161"/>
    <mergeCell ref="T160:U160"/>
    <mergeCell ref="T159:U159"/>
    <mergeCell ref="T158:U158"/>
    <mergeCell ref="T156:U156"/>
    <mergeCell ref="T157:U157"/>
    <mergeCell ref="T153:U153"/>
    <mergeCell ref="T149:U149"/>
    <mergeCell ref="T148:U148"/>
    <mergeCell ref="T137:U137"/>
    <mergeCell ref="T199:U199"/>
    <mergeCell ref="T200:U200"/>
    <mergeCell ref="A259:Y259"/>
    <mergeCell ref="A260:A261"/>
    <mergeCell ref="B260:B261"/>
    <mergeCell ref="C260:C261"/>
    <mergeCell ref="D260:D261"/>
    <mergeCell ref="E260:E261"/>
    <mergeCell ref="F260:F261"/>
    <mergeCell ref="G260:G261"/>
    <mergeCell ref="H260:H261"/>
    <mergeCell ref="I260:I261"/>
    <mergeCell ref="J260:J261"/>
    <mergeCell ref="K260:K261"/>
    <mergeCell ref="L260:L261"/>
    <mergeCell ref="M260:M261"/>
    <mergeCell ref="N260:N261"/>
    <mergeCell ref="O260:O261"/>
    <mergeCell ref="P260:P261"/>
    <mergeCell ref="Q260:Q261"/>
    <mergeCell ref="R260:R261"/>
    <mergeCell ref="S260:S261"/>
    <mergeCell ref="T260:U261"/>
    <mergeCell ref="V260:V261"/>
    <mergeCell ref="W260:W261"/>
    <mergeCell ref="X260:X261"/>
    <mergeCell ref="T269:U269"/>
    <mergeCell ref="T270:U270"/>
    <mergeCell ref="T271:U271"/>
    <mergeCell ref="T272:U272"/>
    <mergeCell ref="T273:U273"/>
    <mergeCell ref="T274:U274"/>
    <mergeCell ref="Y260:Y261"/>
    <mergeCell ref="Z260:AC260"/>
    <mergeCell ref="T262:U262"/>
    <mergeCell ref="T263:U263"/>
    <mergeCell ref="T264:U264"/>
    <mergeCell ref="T265:U265"/>
    <mergeCell ref="T266:U266"/>
    <mergeCell ref="T267:U267"/>
    <mergeCell ref="T268:U268"/>
    <mergeCell ref="T290:U290"/>
    <mergeCell ref="A281:A282"/>
    <mergeCell ref="B281:B282"/>
    <mergeCell ref="C281:C282"/>
    <mergeCell ref="D281:D282"/>
    <mergeCell ref="E281:E282"/>
    <mergeCell ref="F281:F282"/>
    <mergeCell ref="G281:G282"/>
    <mergeCell ref="H281:H282"/>
    <mergeCell ref="I281:I282"/>
    <mergeCell ref="J281:J282"/>
    <mergeCell ref="K281:K282"/>
    <mergeCell ref="L281:L282"/>
    <mergeCell ref="M281:M282"/>
    <mergeCell ref="N281:N282"/>
    <mergeCell ref="O281:O282"/>
    <mergeCell ref="P281:P282"/>
    <mergeCell ref="Q281:Q282"/>
    <mergeCell ref="R281:R282"/>
    <mergeCell ref="S281:S282"/>
    <mergeCell ref="T281:U282"/>
    <mergeCell ref="Z281:AC281"/>
    <mergeCell ref="Y281:Y282"/>
    <mergeCell ref="T283:U283"/>
    <mergeCell ref="T284:U284"/>
    <mergeCell ref="T285:U285"/>
    <mergeCell ref="T286:U286"/>
    <mergeCell ref="T287:U287"/>
    <mergeCell ref="T288:U288"/>
    <mergeCell ref="T289:U289"/>
    <mergeCell ref="V281:V282"/>
    <mergeCell ref="W281:W282"/>
    <mergeCell ref="X281:X282"/>
    <mergeCell ref="P303:P304"/>
    <mergeCell ref="Q303:Q304"/>
    <mergeCell ref="R303:R304"/>
    <mergeCell ref="S303:S304"/>
    <mergeCell ref="T303:U304"/>
    <mergeCell ref="V303:V304"/>
    <mergeCell ref="W303:W304"/>
    <mergeCell ref="T291:U291"/>
    <mergeCell ref="T292:U292"/>
    <mergeCell ref="T293:U293"/>
    <mergeCell ref="T294:U294"/>
    <mergeCell ref="T295:U295"/>
    <mergeCell ref="Z303:AC303"/>
    <mergeCell ref="T305:U305"/>
    <mergeCell ref="T306:U306"/>
    <mergeCell ref="T307:U307"/>
    <mergeCell ref="T308:U308"/>
    <mergeCell ref="T309:U309"/>
    <mergeCell ref="T310:U310"/>
    <mergeCell ref="A280:AC280"/>
    <mergeCell ref="A302:AC302"/>
    <mergeCell ref="A303:A304"/>
    <mergeCell ref="B303:B304"/>
    <mergeCell ref="C303:C304"/>
    <mergeCell ref="D303:D304"/>
    <mergeCell ref="E303:E304"/>
    <mergeCell ref="F303:F304"/>
    <mergeCell ref="G303:G304"/>
    <mergeCell ref="H303:H304"/>
    <mergeCell ref="I303:I304"/>
    <mergeCell ref="J303:J304"/>
    <mergeCell ref="K303:K304"/>
    <mergeCell ref="L303:L304"/>
    <mergeCell ref="M303:M304"/>
    <mergeCell ref="N303:N304"/>
    <mergeCell ref="O303:O304"/>
    <mergeCell ref="T311:U311"/>
    <mergeCell ref="T312:U312"/>
    <mergeCell ref="T313:U313"/>
    <mergeCell ref="T314:U314"/>
    <mergeCell ref="T315:U315"/>
    <mergeCell ref="T316:U316"/>
    <mergeCell ref="T317:U317"/>
    <mergeCell ref="X303:X304"/>
    <mergeCell ref="Y303:Y304"/>
  </mergeCells>
  <pageMargins left="0" right="0" top="0.75" bottom="0.75" header="0.3" footer="0.3"/>
  <pageSetup scale="56" fitToHeight="0" orientation="landscape" r:id="rId1"/>
  <headerFooter>
    <oddFooter>&amp;L&amp;1#&amp;"Calibri"&amp;8&amp;K000000Sensitivity: LNT Construction Internal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20"/>
  <sheetViews>
    <sheetView zoomScale="80" zoomScaleNormal="80" workbookViewId="0">
      <selection activeCell="V12" sqref="V12"/>
    </sheetView>
  </sheetViews>
  <sheetFormatPr defaultRowHeight="15" x14ac:dyDescent="0.25"/>
  <cols>
    <col min="1" max="1" width="8.5703125" customWidth="1"/>
    <col min="2" max="2" width="12.5703125" customWidth="1"/>
    <col min="3" max="3" width="13.140625" customWidth="1"/>
    <col min="4" max="4" width="14.28515625" customWidth="1"/>
    <col min="5" max="5" width="13" customWidth="1"/>
    <col min="6" max="6" width="10.85546875" customWidth="1"/>
    <col min="7" max="7" width="10.140625" customWidth="1"/>
    <col min="8" max="14" width="12.42578125" customWidth="1"/>
    <col min="15" max="15" width="16.7109375" customWidth="1"/>
    <col min="16" max="16" width="14.42578125" customWidth="1"/>
    <col min="17" max="18" width="16.85546875" customWidth="1"/>
    <col min="19" max="19" width="8.42578125" customWidth="1"/>
    <col min="20" max="21" width="10.7109375" customWidth="1"/>
    <col min="22" max="22" width="12.7109375" customWidth="1"/>
    <col min="23" max="23" width="12.42578125" customWidth="1"/>
    <col min="24" max="24" width="17.42578125" customWidth="1"/>
  </cols>
  <sheetData>
    <row r="1" spans="1:24" x14ac:dyDescent="0.25">
      <c r="X1" s="106">
        <v>43704</v>
      </c>
    </row>
    <row r="2" spans="1:24" ht="18.75" x14ac:dyDescent="0.25">
      <c r="A2" s="125" t="s">
        <v>83</v>
      </c>
      <c r="B2" s="125"/>
      <c r="C2" s="125"/>
      <c r="D2" s="125"/>
      <c r="E2" s="125"/>
      <c r="F2" s="125"/>
      <c r="G2" s="125"/>
      <c r="H2" s="125"/>
      <c r="I2" s="125"/>
      <c r="J2" s="125"/>
      <c r="K2" s="125"/>
      <c r="L2" s="125"/>
      <c r="M2" s="125"/>
      <c r="N2" s="125"/>
      <c r="O2" s="125"/>
      <c r="P2" s="125"/>
      <c r="Q2" s="125"/>
      <c r="R2" s="125"/>
      <c r="S2" s="125"/>
      <c r="T2" s="125"/>
      <c r="U2" s="125"/>
      <c r="V2" s="125"/>
      <c r="W2" s="125"/>
      <c r="X2" s="125"/>
    </row>
    <row r="3" spans="1:24" ht="18.75" x14ac:dyDescent="0.25">
      <c r="A3" s="124" t="s">
        <v>37</v>
      </c>
      <c r="B3" s="140" t="s">
        <v>111</v>
      </c>
      <c r="C3" s="140"/>
      <c r="D3" s="140"/>
      <c r="E3" s="140"/>
      <c r="F3" s="140"/>
      <c r="G3" s="140"/>
      <c r="H3" s="140"/>
      <c r="I3" s="140"/>
      <c r="J3" s="140"/>
      <c r="K3" s="141" t="s">
        <v>110</v>
      </c>
      <c r="L3" s="141"/>
      <c r="M3" s="141"/>
      <c r="N3" s="141"/>
      <c r="O3" s="141"/>
      <c r="P3" s="141"/>
      <c r="Q3" s="141"/>
      <c r="R3" s="141" t="s">
        <v>109</v>
      </c>
      <c r="S3" s="141"/>
      <c r="T3" s="141"/>
      <c r="U3" s="141"/>
      <c r="V3" s="141"/>
      <c r="W3" s="141"/>
      <c r="X3" s="124" t="s">
        <v>99</v>
      </c>
    </row>
    <row r="4" spans="1:24" ht="32.25" customHeight="1" x14ac:dyDescent="0.25">
      <c r="A4" s="124"/>
      <c r="B4" s="124" t="s">
        <v>86</v>
      </c>
      <c r="C4" s="124" t="s">
        <v>87</v>
      </c>
      <c r="D4" s="124" t="s">
        <v>88</v>
      </c>
      <c r="E4" s="124" t="s">
        <v>89</v>
      </c>
      <c r="F4" s="124" t="s">
        <v>90</v>
      </c>
      <c r="G4" s="124" t="s">
        <v>91</v>
      </c>
      <c r="H4" s="124" t="s">
        <v>92</v>
      </c>
      <c r="I4" s="124" t="s">
        <v>98</v>
      </c>
      <c r="J4" s="124" t="s">
        <v>97</v>
      </c>
      <c r="K4" s="124" t="s">
        <v>107</v>
      </c>
      <c r="L4" s="124" t="s">
        <v>100</v>
      </c>
      <c r="M4" s="124" t="s">
        <v>101</v>
      </c>
      <c r="N4" s="124" t="s">
        <v>102</v>
      </c>
      <c r="O4" s="124" t="s">
        <v>103</v>
      </c>
      <c r="P4" s="124" t="s">
        <v>104</v>
      </c>
      <c r="Q4" s="124" t="s">
        <v>105</v>
      </c>
      <c r="R4" s="121" t="s">
        <v>50</v>
      </c>
      <c r="S4" s="124" t="s">
        <v>93</v>
      </c>
      <c r="T4" s="124" t="s">
        <v>94</v>
      </c>
      <c r="U4" s="124" t="s">
        <v>95</v>
      </c>
      <c r="V4" s="124" t="s">
        <v>106</v>
      </c>
      <c r="W4" s="124" t="s">
        <v>96</v>
      </c>
      <c r="X4" s="124"/>
    </row>
    <row r="5" spans="1:24" ht="60.75" customHeight="1" x14ac:dyDescent="0.25">
      <c r="A5" s="124"/>
      <c r="B5" s="124"/>
      <c r="C5" s="124"/>
      <c r="D5" s="124"/>
      <c r="E5" s="124"/>
      <c r="F5" s="124"/>
      <c r="G5" s="124"/>
      <c r="H5" s="124"/>
      <c r="I5" s="124"/>
      <c r="J5" s="124"/>
      <c r="K5" s="124"/>
      <c r="L5" s="124"/>
      <c r="M5" s="124"/>
      <c r="N5" s="124"/>
      <c r="O5" s="124"/>
      <c r="P5" s="124"/>
      <c r="Q5" s="124"/>
      <c r="R5" s="121"/>
      <c r="S5" s="124"/>
      <c r="T5" s="124"/>
      <c r="U5" s="124"/>
      <c r="V5" s="124"/>
      <c r="W5" s="124"/>
      <c r="X5" s="124"/>
    </row>
    <row r="6" spans="1:24" x14ac:dyDescent="0.25">
      <c r="A6" s="68" t="s">
        <v>14</v>
      </c>
      <c r="B6" s="68">
        <f>K6+R6</f>
        <v>254502</v>
      </c>
      <c r="C6" s="105">
        <v>6.35</v>
      </c>
      <c r="D6" s="75">
        <f t="shared" ref="D6:D17" si="0">C6*B6</f>
        <v>1616087.7</v>
      </c>
      <c r="E6" s="72">
        <v>49842</v>
      </c>
      <c r="F6" s="72">
        <v>1.27</v>
      </c>
      <c r="G6" s="72">
        <f>F6*E6</f>
        <v>63299.340000000004</v>
      </c>
      <c r="H6" s="75">
        <f>G6+D6</f>
        <v>1679387.04</v>
      </c>
      <c r="I6" s="74">
        <f>H6*0.5</f>
        <v>839693.52</v>
      </c>
      <c r="J6" s="74">
        <f>I6+H6</f>
        <v>2519080.56</v>
      </c>
      <c r="K6" s="72">
        <v>254502</v>
      </c>
      <c r="L6" s="74">
        <f>K6*6.35</f>
        <v>1616087.7</v>
      </c>
      <c r="M6" s="74">
        <v>49842</v>
      </c>
      <c r="N6" s="75">
        <f>M6*F6</f>
        <v>63299.340000000004</v>
      </c>
      <c r="O6" s="74">
        <f>N6+L6</f>
        <v>1679387.04</v>
      </c>
      <c r="P6" s="74">
        <f>O6*0.5</f>
        <v>839693.52</v>
      </c>
      <c r="Q6" s="74">
        <f>P6+O6</f>
        <v>2519080.56</v>
      </c>
      <c r="R6" s="72">
        <v>0</v>
      </c>
      <c r="S6" s="75">
        <v>4.5</v>
      </c>
      <c r="T6" s="72">
        <f>S6*R6</f>
        <v>0</v>
      </c>
      <c r="U6" s="72">
        <v>0</v>
      </c>
      <c r="V6" s="72">
        <v>0</v>
      </c>
      <c r="W6" s="72">
        <f>V6+U6+T6</f>
        <v>0</v>
      </c>
      <c r="X6" s="74">
        <f>J6-(Q6+W6)</f>
        <v>0</v>
      </c>
    </row>
    <row r="7" spans="1:24" x14ac:dyDescent="0.25">
      <c r="A7" s="68" t="s">
        <v>15</v>
      </c>
      <c r="B7" s="68">
        <f t="shared" ref="B7:B17" si="1">K7+R7</f>
        <v>208746</v>
      </c>
      <c r="C7" s="105">
        <v>6.35</v>
      </c>
      <c r="D7" s="75">
        <f t="shared" si="0"/>
        <v>1325537.0999999999</v>
      </c>
      <c r="E7" s="72">
        <v>44676</v>
      </c>
      <c r="F7" s="72">
        <v>1.27</v>
      </c>
      <c r="G7" s="72">
        <f t="shared" ref="G7:G17" si="2">F7*E7</f>
        <v>56738.520000000004</v>
      </c>
      <c r="H7" s="75">
        <f t="shared" ref="H7:H17" si="3">G7+D7</f>
        <v>1382275.6199999999</v>
      </c>
      <c r="I7" s="74">
        <f t="shared" ref="I7:I17" si="4">H7*0.5</f>
        <v>691137.80999999994</v>
      </c>
      <c r="J7" s="74">
        <f t="shared" ref="J7:J17" si="5">I7+H7</f>
        <v>2073413.4299999997</v>
      </c>
      <c r="K7" s="72">
        <v>208746</v>
      </c>
      <c r="L7" s="74">
        <f t="shared" ref="L7:L17" si="6">K7*6.35</f>
        <v>1325537.0999999999</v>
      </c>
      <c r="M7" s="74">
        <v>44676</v>
      </c>
      <c r="N7" s="75">
        <f t="shared" ref="N7:N17" si="7">M7*F7</f>
        <v>56738.520000000004</v>
      </c>
      <c r="O7" s="74">
        <f t="shared" ref="O7:O17" si="8">N7+L7</f>
        <v>1382275.6199999999</v>
      </c>
      <c r="P7" s="74">
        <f t="shared" ref="P7:P17" si="9">O7*0.5</f>
        <v>691137.80999999994</v>
      </c>
      <c r="Q7" s="74">
        <f t="shared" ref="Q7:Q17" si="10">P7+O7</f>
        <v>2073413.4299999997</v>
      </c>
      <c r="R7" s="72">
        <v>0</v>
      </c>
      <c r="S7" s="75">
        <v>4.5</v>
      </c>
      <c r="T7" s="72">
        <f t="shared" ref="T7:T17" si="11">S7*R7</f>
        <v>0</v>
      </c>
      <c r="U7" s="72">
        <v>0</v>
      </c>
      <c r="V7" s="72">
        <v>0</v>
      </c>
      <c r="W7" s="72">
        <f t="shared" ref="W7:W17" si="12">V7+U7+T7</f>
        <v>0</v>
      </c>
      <c r="X7" s="74">
        <f t="shared" ref="X7:X17" si="13">J7-(Q7+W7)</f>
        <v>0</v>
      </c>
    </row>
    <row r="8" spans="1:24" x14ac:dyDescent="0.25">
      <c r="A8" s="68" t="s">
        <v>16</v>
      </c>
      <c r="B8" s="68">
        <f t="shared" si="1"/>
        <v>233514</v>
      </c>
      <c r="C8" s="105">
        <v>6.35</v>
      </c>
      <c r="D8" s="75">
        <f t="shared" si="0"/>
        <v>1482813.9</v>
      </c>
      <c r="E8" s="72">
        <v>45756</v>
      </c>
      <c r="F8" s="72">
        <v>1.27</v>
      </c>
      <c r="G8" s="72">
        <f t="shared" si="2"/>
        <v>58110.12</v>
      </c>
      <c r="H8" s="75">
        <f t="shared" si="3"/>
        <v>1540924.02</v>
      </c>
      <c r="I8" s="74">
        <f t="shared" si="4"/>
        <v>770462.01</v>
      </c>
      <c r="J8" s="74">
        <f t="shared" si="5"/>
        <v>2311386.0300000003</v>
      </c>
      <c r="K8" s="72">
        <v>233514</v>
      </c>
      <c r="L8" s="74">
        <f t="shared" si="6"/>
        <v>1482813.9</v>
      </c>
      <c r="M8" s="74">
        <v>45756</v>
      </c>
      <c r="N8" s="75">
        <f t="shared" si="7"/>
        <v>58110.12</v>
      </c>
      <c r="O8" s="74">
        <f t="shared" si="8"/>
        <v>1540924.02</v>
      </c>
      <c r="P8" s="74">
        <f t="shared" si="9"/>
        <v>770462.01</v>
      </c>
      <c r="Q8" s="74">
        <f t="shared" si="10"/>
        <v>2311386.0300000003</v>
      </c>
      <c r="R8" s="72">
        <v>0</v>
      </c>
      <c r="S8" s="75">
        <v>4.5</v>
      </c>
      <c r="T8" s="72">
        <f t="shared" si="11"/>
        <v>0</v>
      </c>
      <c r="U8" s="72">
        <v>0</v>
      </c>
      <c r="V8" s="72">
        <v>0</v>
      </c>
      <c r="W8" s="72">
        <f t="shared" si="12"/>
        <v>0</v>
      </c>
      <c r="X8" s="74">
        <f t="shared" si="13"/>
        <v>0</v>
      </c>
    </row>
    <row r="9" spans="1:24" x14ac:dyDescent="0.25">
      <c r="A9" s="68" t="s">
        <v>17</v>
      </c>
      <c r="B9" s="68">
        <f t="shared" si="1"/>
        <v>249264</v>
      </c>
      <c r="C9" s="105">
        <v>6.35</v>
      </c>
      <c r="D9" s="75">
        <f t="shared" si="0"/>
        <v>1582826.4</v>
      </c>
      <c r="E9" s="72">
        <v>48510</v>
      </c>
      <c r="F9" s="72">
        <v>1.27</v>
      </c>
      <c r="G9" s="72">
        <f t="shared" si="2"/>
        <v>61607.700000000004</v>
      </c>
      <c r="H9" s="75">
        <f t="shared" si="3"/>
        <v>1644434.0999999999</v>
      </c>
      <c r="I9" s="74">
        <f t="shared" si="4"/>
        <v>822217.04999999993</v>
      </c>
      <c r="J9" s="74">
        <f t="shared" si="5"/>
        <v>2466651.15</v>
      </c>
      <c r="K9" s="72">
        <v>0</v>
      </c>
      <c r="L9" s="74">
        <f t="shared" si="6"/>
        <v>0</v>
      </c>
      <c r="M9" s="74">
        <v>0</v>
      </c>
      <c r="N9" s="75">
        <f t="shared" si="7"/>
        <v>0</v>
      </c>
      <c r="O9" s="74">
        <f t="shared" si="8"/>
        <v>0</v>
      </c>
      <c r="P9" s="74">
        <f t="shared" si="9"/>
        <v>0</v>
      </c>
      <c r="Q9" s="74">
        <f t="shared" si="10"/>
        <v>0</v>
      </c>
      <c r="R9" s="72">
        <v>249264</v>
      </c>
      <c r="S9" s="75">
        <v>4.5</v>
      </c>
      <c r="T9" s="72">
        <f t="shared" si="11"/>
        <v>1121688</v>
      </c>
      <c r="U9" s="72">
        <v>35357</v>
      </c>
      <c r="V9" s="72">
        <v>24926</v>
      </c>
      <c r="W9" s="72">
        <f t="shared" si="12"/>
        <v>1181971</v>
      </c>
      <c r="X9" s="74">
        <f t="shared" si="13"/>
        <v>1284680.1499999999</v>
      </c>
    </row>
    <row r="10" spans="1:24" x14ac:dyDescent="0.25">
      <c r="A10" s="68" t="s">
        <v>18</v>
      </c>
      <c r="B10" s="68">
        <f t="shared" si="1"/>
        <v>252900</v>
      </c>
      <c r="C10" s="105">
        <v>6.35</v>
      </c>
      <c r="D10" s="75">
        <f t="shared" si="0"/>
        <v>1605915</v>
      </c>
      <c r="E10" s="72">
        <v>50940</v>
      </c>
      <c r="F10" s="72">
        <v>1.27</v>
      </c>
      <c r="G10" s="72">
        <f t="shared" si="2"/>
        <v>64693.8</v>
      </c>
      <c r="H10" s="75">
        <f t="shared" si="3"/>
        <v>1670608.8</v>
      </c>
      <c r="I10" s="74">
        <f t="shared" si="4"/>
        <v>835304.4</v>
      </c>
      <c r="J10" s="74">
        <f t="shared" si="5"/>
        <v>2505913.2000000002</v>
      </c>
      <c r="K10" s="72">
        <v>0</v>
      </c>
      <c r="L10" s="74">
        <f t="shared" si="6"/>
        <v>0</v>
      </c>
      <c r="M10" s="74">
        <v>0</v>
      </c>
      <c r="N10" s="75">
        <f t="shared" si="7"/>
        <v>0</v>
      </c>
      <c r="O10" s="74">
        <f t="shared" si="8"/>
        <v>0</v>
      </c>
      <c r="P10" s="74">
        <f t="shared" si="9"/>
        <v>0</v>
      </c>
      <c r="Q10" s="74">
        <f t="shared" si="10"/>
        <v>0</v>
      </c>
      <c r="R10" s="72">
        <v>252900</v>
      </c>
      <c r="S10" s="75">
        <v>4.5</v>
      </c>
      <c r="T10" s="72">
        <f t="shared" si="11"/>
        <v>1138050</v>
      </c>
      <c r="U10" s="72">
        <v>52109</v>
      </c>
      <c r="V10" s="72">
        <v>25290</v>
      </c>
      <c r="W10" s="72">
        <f t="shared" si="12"/>
        <v>1215449</v>
      </c>
      <c r="X10" s="74">
        <f t="shared" si="13"/>
        <v>1290464.2000000002</v>
      </c>
    </row>
    <row r="11" spans="1:24" x14ac:dyDescent="0.25">
      <c r="A11" s="68" t="s">
        <v>19</v>
      </c>
      <c r="B11" s="68">
        <f t="shared" si="1"/>
        <v>289080</v>
      </c>
      <c r="C11" s="105">
        <v>6.35</v>
      </c>
      <c r="D11" s="75">
        <f t="shared" si="0"/>
        <v>1835658</v>
      </c>
      <c r="E11" s="72">
        <v>62640</v>
      </c>
      <c r="F11" s="72">
        <v>1.27</v>
      </c>
      <c r="G11" s="72">
        <f t="shared" si="2"/>
        <v>79552.800000000003</v>
      </c>
      <c r="H11" s="75">
        <f t="shared" si="3"/>
        <v>1915210.8</v>
      </c>
      <c r="I11" s="74">
        <f t="shared" si="4"/>
        <v>957605.4</v>
      </c>
      <c r="J11" s="74">
        <f t="shared" si="5"/>
        <v>2872816.2</v>
      </c>
      <c r="K11" s="72">
        <v>0</v>
      </c>
      <c r="L11" s="74">
        <f t="shared" si="6"/>
        <v>0</v>
      </c>
      <c r="M11" s="74">
        <v>0</v>
      </c>
      <c r="N11" s="75">
        <f t="shared" si="7"/>
        <v>0</v>
      </c>
      <c r="O11" s="74">
        <f t="shared" si="8"/>
        <v>0</v>
      </c>
      <c r="P11" s="74">
        <f t="shared" si="9"/>
        <v>0</v>
      </c>
      <c r="Q11" s="74">
        <f t="shared" si="10"/>
        <v>0</v>
      </c>
      <c r="R11" s="72">
        <v>289080</v>
      </c>
      <c r="S11" s="75">
        <v>4.5</v>
      </c>
      <c r="T11" s="72">
        <f t="shared" si="11"/>
        <v>1300860</v>
      </c>
      <c r="U11" s="72">
        <v>42881</v>
      </c>
      <c r="V11" s="72">
        <v>28908</v>
      </c>
      <c r="W11" s="72">
        <f t="shared" si="12"/>
        <v>1372649</v>
      </c>
      <c r="X11" s="74">
        <f t="shared" si="13"/>
        <v>1500167.2000000002</v>
      </c>
    </row>
    <row r="12" spans="1:24" x14ac:dyDescent="0.25">
      <c r="A12" s="68" t="s">
        <v>20</v>
      </c>
      <c r="B12" s="68">
        <f t="shared" si="1"/>
        <v>260460</v>
      </c>
      <c r="C12" s="105">
        <v>6.35</v>
      </c>
      <c r="D12" s="75">
        <f t="shared" si="0"/>
        <v>1653921</v>
      </c>
      <c r="E12" s="72">
        <v>54720</v>
      </c>
      <c r="F12" s="72">
        <v>1.27</v>
      </c>
      <c r="G12" s="72">
        <f t="shared" si="2"/>
        <v>69494.399999999994</v>
      </c>
      <c r="H12" s="75">
        <f t="shared" si="3"/>
        <v>1723415.4</v>
      </c>
      <c r="I12" s="74">
        <f t="shared" si="4"/>
        <v>861707.7</v>
      </c>
      <c r="J12" s="74">
        <f t="shared" si="5"/>
        <v>2585123.0999999996</v>
      </c>
      <c r="K12" s="72">
        <v>0</v>
      </c>
      <c r="L12" s="74">
        <f t="shared" si="6"/>
        <v>0</v>
      </c>
      <c r="M12" s="74">
        <v>0</v>
      </c>
      <c r="N12" s="75">
        <f t="shared" si="7"/>
        <v>0</v>
      </c>
      <c r="O12" s="74">
        <f t="shared" si="8"/>
        <v>0</v>
      </c>
      <c r="P12" s="74">
        <f t="shared" si="9"/>
        <v>0</v>
      </c>
      <c r="Q12" s="74">
        <f t="shared" si="10"/>
        <v>0</v>
      </c>
      <c r="R12" s="72">
        <v>260460</v>
      </c>
      <c r="S12" s="75">
        <v>4.5</v>
      </c>
      <c r="T12" s="72">
        <f t="shared" si="11"/>
        <v>1172070</v>
      </c>
      <c r="U12" s="72">
        <v>25627</v>
      </c>
      <c r="V12" s="72">
        <v>26046</v>
      </c>
      <c r="W12" s="72">
        <f t="shared" si="12"/>
        <v>1223743</v>
      </c>
      <c r="X12" s="74">
        <f t="shared" si="13"/>
        <v>1361380.0999999996</v>
      </c>
    </row>
    <row r="13" spans="1:24" x14ac:dyDescent="0.25">
      <c r="A13" s="68" t="s">
        <v>21</v>
      </c>
      <c r="B13" s="68">
        <f t="shared" si="1"/>
        <v>229680</v>
      </c>
      <c r="C13" s="105">
        <v>6.35</v>
      </c>
      <c r="D13" s="75">
        <f t="shared" si="0"/>
        <v>1458468</v>
      </c>
      <c r="E13" s="72">
        <v>54540</v>
      </c>
      <c r="F13" s="72">
        <v>1.27</v>
      </c>
      <c r="G13" s="72">
        <f t="shared" si="2"/>
        <v>69265.8</v>
      </c>
      <c r="H13" s="75">
        <f t="shared" si="3"/>
        <v>1527733.8</v>
      </c>
      <c r="I13" s="74">
        <f t="shared" si="4"/>
        <v>763866.9</v>
      </c>
      <c r="J13" s="74">
        <f t="shared" si="5"/>
        <v>2291600.7000000002</v>
      </c>
      <c r="K13" s="72">
        <v>0</v>
      </c>
      <c r="L13" s="74">
        <f t="shared" si="6"/>
        <v>0</v>
      </c>
      <c r="M13" s="74">
        <v>0</v>
      </c>
      <c r="N13" s="75">
        <f t="shared" si="7"/>
        <v>0</v>
      </c>
      <c r="O13" s="74">
        <f t="shared" si="8"/>
        <v>0</v>
      </c>
      <c r="P13" s="74">
        <f t="shared" si="9"/>
        <v>0</v>
      </c>
      <c r="Q13" s="74">
        <f t="shared" si="10"/>
        <v>0</v>
      </c>
      <c r="R13" s="72">
        <v>229680</v>
      </c>
      <c r="S13" s="75">
        <v>4.5</v>
      </c>
      <c r="T13" s="72">
        <f t="shared" si="11"/>
        <v>1033560</v>
      </c>
      <c r="U13" s="72">
        <v>13860</v>
      </c>
      <c r="V13" s="72">
        <v>22968</v>
      </c>
      <c r="W13" s="72">
        <f t="shared" si="12"/>
        <v>1070388</v>
      </c>
      <c r="X13" s="74">
        <f t="shared" si="13"/>
        <v>1221212.7000000002</v>
      </c>
    </row>
    <row r="14" spans="1:24" x14ac:dyDescent="0.25">
      <c r="A14" s="68" t="s">
        <v>22</v>
      </c>
      <c r="B14" s="68">
        <f t="shared" si="1"/>
        <v>255996</v>
      </c>
      <c r="C14" s="105">
        <v>6.35</v>
      </c>
      <c r="D14" s="75">
        <f t="shared" si="0"/>
        <v>1625574.5999999999</v>
      </c>
      <c r="E14" s="72">
        <f>19260+29937+2913</f>
        <v>52110</v>
      </c>
      <c r="F14" s="72">
        <v>1.27</v>
      </c>
      <c r="G14" s="72">
        <f t="shared" si="2"/>
        <v>66179.7</v>
      </c>
      <c r="H14" s="75">
        <f t="shared" si="3"/>
        <v>1691754.2999999998</v>
      </c>
      <c r="I14" s="74">
        <f t="shared" si="4"/>
        <v>845877.14999999991</v>
      </c>
      <c r="J14" s="74">
        <f t="shared" si="5"/>
        <v>2537631.4499999997</v>
      </c>
      <c r="K14" s="72">
        <v>149438</v>
      </c>
      <c r="L14" s="74">
        <f t="shared" si="6"/>
        <v>948931.29999999993</v>
      </c>
      <c r="M14" s="74">
        <v>2913</v>
      </c>
      <c r="N14" s="75">
        <f t="shared" si="7"/>
        <v>3699.51</v>
      </c>
      <c r="O14" s="74">
        <f t="shared" si="8"/>
        <v>952630.80999999994</v>
      </c>
      <c r="P14" s="74">
        <f t="shared" si="9"/>
        <v>476315.40499999997</v>
      </c>
      <c r="Q14" s="74">
        <f t="shared" si="10"/>
        <v>1428946.2149999999</v>
      </c>
      <c r="R14" s="72">
        <v>106558</v>
      </c>
      <c r="S14" s="75">
        <v>4.5</v>
      </c>
      <c r="T14" s="72">
        <f t="shared" si="11"/>
        <v>479511</v>
      </c>
      <c r="U14" s="72">
        <v>0</v>
      </c>
      <c r="V14" s="72">
        <v>10656</v>
      </c>
      <c r="W14" s="72">
        <f t="shared" si="12"/>
        <v>490167</v>
      </c>
      <c r="X14" s="74">
        <f t="shared" si="13"/>
        <v>618518.23499999987</v>
      </c>
    </row>
    <row r="15" spans="1:24" x14ac:dyDescent="0.25">
      <c r="A15" s="68" t="s">
        <v>23</v>
      </c>
      <c r="B15" s="68">
        <f t="shared" si="1"/>
        <v>253584</v>
      </c>
      <c r="C15" s="105">
        <v>6.35</v>
      </c>
      <c r="D15" s="75">
        <f t="shared" si="0"/>
        <v>1610258.4</v>
      </c>
      <c r="E15" s="72">
        <f>18288+5375+27529</f>
        <v>51192</v>
      </c>
      <c r="F15" s="72">
        <v>1.27</v>
      </c>
      <c r="G15" s="72">
        <f t="shared" si="2"/>
        <v>65013.840000000004</v>
      </c>
      <c r="H15" s="75">
        <f t="shared" si="3"/>
        <v>1675272.24</v>
      </c>
      <c r="I15" s="74">
        <f t="shared" si="4"/>
        <v>837636.12</v>
      </c>
      <c r="J15" s="74">
        <f t="shared" si="5"/>
        <v>2512908.36</v>
      </c>
      <c r="K15" s="72">
        <v>158933</v>
      </c>
      <c r="L15" s="74">
        <f t="shared" si="6"/>
        <v>1009224.5499999999</v>
      </c>
      <c r="M15" s="74">
        <v>27529</v>
      </c>
      <c r="N15" s="75">
        <f t="shared" si="7"/>
        <v>34961.83</v>
      </c>
      <c r="O15" s="74">
        <f t="shared" si="8"/>
        <v>1044186.3799999999</v>
      </c>
      <c r="P15" s="74">
        <f t="shared" si="9"/>
        <v>522093.18999999994</v>
      </c>
      <c r="Q15" s="74">
        <f t="shared" si="10"/>
        <v>1566279.5699999998</v>
      </c>
      <c r="R15" s="72">
        <v>94651</v>
      </c>
      <c r="S15" s="75">
        <v>4.5</v>
      </c>
      <c r="T15" s="72">
        <f t="shared" si="11"/>
        <v>425929.5</v>
      </c>
      <c r="U15" s="72">
        <v>10114</v>
      </c>
      <c r="V15" s="72">
        <v>9465</v>
      </c>
      <c r="W15" s="72">
        <f t="shared" si="12"/>
        <v>445508.5</v>
      </c>
      <c r="X15" s="74">
        <f t="shared" si="13"/>
        <v>501120.29000000004</v>
      </c>
    </row>
    <row r="16" spans="1:24" x14ac:dyDescent="0.25">
      <c r="A16" s="68" t="s">
        <v>24</v>
      </c>
      <c r="B16" s="68">
        <f t="shared" si="1"/>
        <v>296586</v>
      </c>
      <c r="C16" s="105">
        <v>6.35</v>
      </c>
      <c r="D16" s="75">
        <f t="shared" si="0"/>
        <v>1883321.0999999999</v>
      </c>
      <c r="E16" s="72">
        <v>62082</v>
      </c>
      <c r="F16" s="72">
        <v>1.27</v>
      </c>
      <c r="G16" s="72">
        <f t="shared" si="2"/>
        <v>78844.14</v>
      </c>
      <c r="H16" s="75">
        <f t="shared" si="3"/>
        <v>1962165.2399999998</v>
      </c>
      <c r="I16" s="74">
        <f t="shared" si="4"/>
        <v>981082.61999999988</v>
      </c>
      <c r="J16" s="74">
        <f t="shared" si="5"/>
        <v>2943247.8599999994</v>
      </c>
      <c r="K16" s="72">
        <v>296586</v>
      </c>
      <c r="L16" s="74">
        <f t="shared" si="6"/>
        <v>1883321.0999999999</v>
      </c>
      <c r="M16" s="74">
        <v>62082</v>
      </c>
      <c r="N16" s="75">
        <f t="shared" si="7"/>
        <v>78844.14</v>
      </c>
      <c r="O16" s="74">
        <f t="shared" si="8"/>
        <v>1962165.2399999998</v>
      </c>
      <c r="P16" s="74">
        <f t="shared" si="9"/>
        <v>981082.61999999988</v>
      </c>
      <c r="Q16" s="74">
        <f t="shared" si="10"/>
        <v>2943247.8599999994</v>
      </c>
      <c r="R16" s="72">
        <v>0</v>
      </c>
      <c r="S16" s="75">
        <v>4.5</v>
      </c>
      <c r="T16" s="72">
        <f t="shared" si="11"/>
        <v>0</v>
      </c>
      <c r="U16" s="72">
        <v>0</v>
      </c>
      <c r="V16" s="72">
        <v>0</v>
      </c>
      <c r="W16" s="72">
        <f t="shared" si="12"/>
        <v>0</v>
      </c>
      <c r="X16" s="74">
        <f t="shared" si="13"/>
        <v>0</v>
      </c>
    </row>
    <row r="17" spans="1:24" x14ac:dyDescent="0.25">
      <c r="A17" s="68" t="s">
        <v>25</v>
      </c>
      <c r="B17" s="68">
        <f t="shared" si="1"/>
        <v>251820</v>
      </c>
      <c r="C17" s="105">
        <v>6.35</v>
      </c>
      <c r="D17" s="75">
        <f t="shared" si="0"/>
        <v>1599057</v>
      </c>
      <c r="E17" s="72">
        <v>52560</v>
      </c>
      <c r="F17" s="72">
        <v>1.27</v>
      </c>
      <c r="G17" s="72">
        <f t="shared" si="2"/>
        <v>66751.199999999997</v>
      </c>
      <c r="H17" s="75">
        <f t="shared" si="3"/>
        <v>1665808.2</v>
      </c>
      <c r="I17" s="74">
        <f t="shared" si="4"/>
        <v>832904.1</v>
      </c>
      <c r="J17" s="74">
        <f t="shared" si="5"/>
        <v>2498712.2999999998</v>
      </c>
      <c r="K17" s="72">
        <v>251820</v>
      </c>
      <c r="L17" s="74">
        <f t="shared" si="6"/>
        <v>1599057</v>
      </c>
      <c r="M17" s="74">
        <v>52560</v>
      </c>
      <c r="N17" s="75">
        <f t="shared" si="7"/>
        <v>66751.199999999997</v>
      </c>
      <c r="O17" s="74">
        <f t="shared" si="8"/>
        <v>1665808.2</v>
      </c>
      <c r="P17" s="74">
        <f t="shared" si="9"/>
        <v>832904.1</v>
      </c>
      <c r="Q17" s="74">
        <f t="shared" si="10"/>
        <v>2498712.2999999998</v>
      </c>
      <c r="R17" s="72">
        <v>0</v>
      </c>
      <c r="S17" s="75">
        <v>4.5</v>
      </c>
      <c r="T17" s="72">
        <f t="shared" si="11"/>
        <v>0</v>
      </c>
      <c r="U17" s="72">
        <v>0</v>
      </c>
      <c r="V17" s="72">
        <v>0</v>
      </c>
      <c r="W17" s="72">
        <f t="shared" si="12"/>
        <v>0</v>
      </c>
      <c r="X17" s="74">
        <f t="shared" si="13"/>
        <v>0</v>
      </c>
    </row>
    <row r="18" spans="1:24" x14ac:dyDescent="0.25">
      <c r="A18" s="71" t="s">
        <v>28</v>
      </c>
      <c r="B18" s="71">
        <f>SUM(B6:B17)</f>
        <v>3036132</v>
      </c>
      <c r="C18" s="83"/>
      <c r="D18" s="76"/>
      <c r="E18" s="76"/>
      <c r="F18" s="76"/>
      <c r="G18" s="76"/>
      <c r="H18" s="76"/>
      <c r="I18" s="80"/>
      <c r="J18" s="80">
        <f>SUM(J6:J17)</f>
        <v>30118484.34</v>
      </c>
      <c r="K18" s="80">
        <f>SUM(K6:K17)</f>
        <v>1553539</v>
      </c>
      <c r="L18" s="80"/>
      <c r="M18" s="80"/>
      <c r="N18" s="80"/>
      <c r="O18" s="80"/>
      <c r="P18" s="80"/>
      <c r="Q18" s="80">
        <f>SUM(Q6:Q17)</f>
        <v>15341065.965</v>
      </c>
      <c r="R18" s="76">
        <f>SUM(R6:R17)</f>
        <v>1482593</v>
      </c>
      <c r="S18" s="75"/>
      <c r="T18" s="80">
        <f>SUM(T6:T17)</f>
        <v>6671668.5</v>
      </c>
      <c r="U18" s="80"/>
      <c r="V18" s="80"/>
      <c r="W18" s="76"/>
      <c r="X18" s="80">
        <f>SUM(X6:X17)</f>
        <v>7777542.8750000009</v>
      </c>
    </row>
    <row r="20" spans="1:24" x14ac:dyDescent="0.25">
      <c r="A20" s="5" t="s">
        <v>108</v>
      </c>
      <c r="B20" s="5" t="s">
        <v>112</v>
      </c>
    </row>
  </sheetData>
  <mergeCells count="28">
    <mergeCell ref="T4:T5"/>
    <mergeCell ref="W4:W5"/>
    <mergeCell ref="C4:C5"/>
    <mergeCell ref="D4:D5"/>
    <mergeCell ref="E4:E5"/>
    <mergeCell ref="F4:F5"/>
    <mergeCell ref="G4:G5"/>
    <mergeCell ref="I4:I5"/>
    <mergeCell ref="S4:S5"/>
    <mergeCell ref="H4:H5"/>
    <mergeCell ref="J4:J5"/>
    <mergeCell ref="O4:O5"/>
    <mergeCell ref="A2:X2"/>
    <mergeCell ref="A3:A5"/>
    <mergeCell ref="B3:J3"/>
    <mergeCell ref="K3:Q3"/>
    <mergeCell ref="R3:W3"/>
    <mergeCell ref="X3:X5"/>
    <mergeCell ref="P4:P5"/>
    <mergeCell ref="K4:K5"/>
    <mergeCell ref="L4:L5"/>
    <mergeCell ref="M4:M5"/>
    <mergeCell ref="R4:R5"/>
    <mergeCell ref="V4:V5"/>
    <mergeCell ref="B4:B5"/>
    <mergeCell ref="N4:N5"/>
    <mergeCell ref="Q4:Q5"/>
    <mergeCell ref="U4:U5"/>
  </mergeCells>
  <pageMargins left="0" right="0" top="0.75" bottom="0.75" header="0.3" footer="0.3"/>
  <pageSetup scale="44" fitToHeight="0" orientation="landscape" r:id="rId1"/>
  <headerFooter>
    <oddFooter>&amp;L&amp;1#&amp;"Calibri"&amp;8&amp;K000000Sensitivity: LNT Construction Internal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Comparison of power cost</vt:lpstr>
      <vt:lpstr>Comparison of power cost (2)</vt:lpstr>
      <vt:lpstr>'Comparison of power cost'!Print_Area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ravindran76</dc:creator>
  <cp:lastModifiedBy>Debayan Karmohapatra</cp:lastModifiedBy>
  <cp:lastPrinted>2015-03-05T04:00:51Z</cp:lastPrinted>
  <dcterms:created xsi:type="dcterms:W3CDTF">2009-04-06T04:43:06Z</dcterms:created>
  <dcterms:modified xsi:type="dcterms:W3CDTF">2021-11-03T11:49:01Z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c52bb50-aef2-4dc8-bb7f-e0da22648362_Enabled">
    <vt:lpwstr>True</vt:lpwstr>
  </property>
  <property fmtid="{D5CDD505-2E9C-101B-9397-08002B2CF9AE}" pid="3" name="MSIP_Label_ac52bb50-aef2-4dc8-bb7f-e0da22648362_SiteId">
    <vt:lpwstr>264b9899-fe1b-430b-9509-2154878d5774</vt:lpwstr>
  </property>
  <property fmtid="{D5CDD505-2E9C-101B-9397-08002B2CF9AE}" pid="4" name="MSIP_Label_ac52bb50-aef2-4dc8-bb7f-e0da22648362_Owner">
    <vt:lpwstr>ravindran76@lntecc.com</vt:lpwstr>
  </property>
  <property fmtid="{D5CDD505-2E9C-101B-9397-08002B2CF9AE}" pid="5" name="MSIP_Label_ac52bb50-aef2-4dc8-bb7f-e0da22648362_SetDate">
    <vt:lpwstr>2019-11-13T04:12:03.4988927Z</vt:lpwstr>
  </property>
  <property fmtid="{D5CDD505-2E9C-101B-9397-08002B2CF9AE}" pid="6" name="MSIP_Label_ac52bb50-aef2-4dc8-bb7f-e0da22648362_Name">
    <vt:lpwstr>LTC Internal Use</vt:lpwstr>
  </property>
  <property fmtid="{D5CDD505-2E9C-101B-9397-08002B2CF9AE}" pid="7" name="MSIP_Label_ac52bb50-aef2-4dc8-bb7f-e0da22648362_Application">
    <vt:lpwstr>Microsoft Azure Information Protection</vt:lpwstr>
  </property>
  <property fmtid="{D5CDD505-2E9C-101B-9397-08002B2CF9AE}" pid="8" name="MSIP_Label_ac52bb50-aef2-4dc8-bb7f-e0da22648362_Extended_MSFT_Method">
    <vt:lpwstr>Automatic</vt:lpwstr>
  </property>
  <property fmtid="{D5CDD505-2E9C-101B-9397-08002B2CF9AE}" pid="9" name="Sensitivity">
    <vt:lpwstr>LTC Internal Use</vt:lpwstr>
  </property>
</Properties>
</file>