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ções" sheetId="1" r:id="rId4"/>
    <sheet state="visible" name="Identificação" sheetId="2" r:id="rId5"/>
    <sheet state="visible" name="Notas_Frequência" sheetId="3" r:id="rId6"/>
    <sheet state="visible" name="Parâmetros" sheetId="4" r:id="rId7"/>
    <sheet state="visible" name="BacklogPlanejado" sheetId="5" r:id="rId8"/>
    <sheet state="visible" name="BacklogRealizado" sheetId="6" r:id="rId9"/>
    <sheet state="visible" name="SprintPlanning" sheetId="7" r:id="rId10"/>
  </sheets>
  <definedNames>
    <definedName name="Agrupamento">'Identificação'!$B$11</definedName>
    <definedName name="DiaSemana">'Identificação'!$B$26</definedName>
    <definedName localSheetId="4" name="PBLExpectedHours">BacklogPlanejado!$E$3:$E$28</definedName>
    <definedName name="alunos">'Notas_Frequência'!$A$17:$A$26</definedName>
    <definedName name="Critério">'Parâmetros'!$D$3:$E$8</definedName>
    <definedName name="Orientadores">'Parâmetros'!$G$3:$G$16</definedName>
    <definedName localSheetId="5" name="PBLAssignedNames">BacklogRealizado!$F$3:$F$20</definedName>
    <definedName localSheetId="6" name="PBLAssignedNames">SprintPlanning!$F$3:$F$31</definedName>
    <definedName name="sprint">'Identificação'!$B$3</definedName>
    <definedName name="turno">'Identificação'!$B$10</definedName>
    <definedName name="ano">'Identificação'!$B$4</definedName>
    <definedName name="Semestre">'Identificação'!$B$8</definedName>
    <definedName name="id_parametros">'Identificação'!$B$31</definedName>
    <definedName name="turma">'Identificação'!$B$9</definedName>
    <definedName localSheetId="4" name="PBLAssignedNames">BacklogPlanejado!$F$3:$F$28</definedName>
    <definedName name="Orientador">'Identificação'!$B$25</definedName>
    <definedName name="curso">'Identificação'!$B$6</definedName>
    <definedName name="disciplina">'Identificação'!$B$7</definedName>
    <definedName name="Nota_Exec">'Parâmetros'!$D$3:$D$8</definedName>
    <definedName localSheetId="5" name="PBLExpectedHours">BacklogRealizado!$E$3:$E$20</definedName>
    <definedName name="hoje">'Identificação'!$B$2</definedName>
    <definedName name="Grupo">'Identificação'!$B$12</definedName>
    <definedName localSheetId="5" name="PBLStatus">BacklogRealizado!$G$3:$G$20</definedName>
    <definedName localSheetId="6" name="PBLExpectedHours">SprintPlanning!$E$3:$E$31</definedName>
    <definedName localSheetId="6" name="PBLStatus">SprintPlanning!$G$3:$G$31</definedName>
    <definedName name="formando">'Identificação'!$B$24</definedName>
    <definedName name="semestre_ano">'Identificação'!$B$5</definedName>
  </definedNames>
  <calcPr/>
  <extLst>
    <ext uri="GoogleSheetsCustomDataVersion1">
      <go:sheetsCustomData xmlns:go="http://customooxmlschemas.google.com/" r:id="rId11" roundtripDataSignature="AMtx7mjtXpTwIaHACOwe0UZgwyxtOxbJT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4">
      <text>
        <t xml:space="preserve">======
ID#AAAAQa3FQBY
    (2021-10-28 22:49:04)
Número de alunos atual</t>
      </text>
    </comment>
  </commentList>
  <extLst>
    <ext uri="GoogleSheetsCustomDataVersion1">
      <go:sheetsCustomData xmlns:go="http://customooxmlschemas.google.com/" r:id="rId1" roundtripDataSignature="AMtx7mizepIoPg/HLals9Yf8p4E7Lj65MA=="/>
    </ext>
  </extLst>
</comments>
</file>

<file path=xl/sharedStrings.xml><?xml version="1.0" encoding="utf-8"?>
<sst xmlns="http://schemas.openxmlformats.org/spreadsheetml/2006/main" count="485" uniqueCount="267">
  <si>
    <t>Informação</t>
  </si>
  <si>
    <t>Valor</t>
  </si>
  <si>
    <t>Observações</t>
  </si>
  <si>
    <t>Data Avaliação:</t>
  </si>
  <si>
    <t>Data atual</t>
  </si>
  <si>
    <t>Sprint Atual:</t>
  </si>
  <si>
    <t>Número da Sprint atual</t>
  </si>
  <si>
    <t>Ano letivo:</t>
  </si>
  <si>
    <t>Ano letivo corrente</t>
  </si>
  <si>
    <t>Semestre letivo:</t>
  </si>
  <si>
    <t>Semestre letivo corrente</t>
  </si>
  <si>
    <t>Curso:</t>
  </si>
  <si>
    <t>ADS</t>
  </si>
  <si>
    <t>Código do Curso Principal</t>
  </si>
  <si>
    <t>Disciplina:</t>
  </si>
  <si>
    <t>Código da Disciplina</t>
  </si>
  <si>
    <t>Semestre Turma:</t>
  </si>
  <si>
    <t>Semestre da turma</t>
  </si>
  <si>
    <t>Turma:</t>
  </si>
  <si>
    <t>A</t>
  </si>
  <si>
    <t>Turma principal do grupo</t>
  </si>
  <si>
    <t>Turno:</t>
  </si>
  <si>
    <t>N</t>
  </si>
  <si>
    <r>
      <rPr>
        <rFont val="Calibri"/>
        <color rgb="FF000000"/>
        <sz val="10.0"/>
      </rPr>
      <t>Turno do curso (</t>
    </r>
    <r>
      <rPr>
        <rFont val="Calibri"/>
        <b/>
        <color rgb="FF000000"/>
        <sz val="10.0"/>
        <u/>
      </rPr>
      <t>N</t>
    </r>
    <r>
      <rPr>
        <rFont val="Calibri"/>
        <color rgb="FF000000"/>
        <sz val="10.0"/>
      </rPr>
      <t xml:space="preserve">oturno, </t>
    </r>
    <r>
      <rPr>
        <rFont val="Calibri"/>
        <b/>
        <color rgb="FF000000"/>
        <sz val="10.0"/>
        <u/>
      </rPr>
      <t>V</t>
    </r>
    <r>
      <rPr>
        <rFont val="Calibri"/>
        <color rgb="FF000000"/>
        <sz val="10.0"/>
      </rPr>
      <t xml:space="preserve">espertino, </t>
    </r>
    <r>
      <rPr>
        <rFont val="Calibri"/>
        <b/>
        <color rgb="FF000000"/>
        <sz val="10.0"/>
        <u/>
      </rPr>
      <t>M</t>
    </r>
    <r>
      <rPr>
        <rFont val="Calibri"/>
        <color rgb="FF000000"/>
        <sz val="10.0"/>
      </rPr>
      <t xml:space="preserve">atutino, </t>
    </r>
    <r>
      <rPr>
        <rFont val="Calibri"/>
        <b/>
        <color rgb="FF000000"/>
        <sz val="10.0"/>
        <u/>
      </rPr>
      <t>E</t>
    </r>
    <r>
      <rPr>
        <rFont val="Calibri"/>
        <color rgb="FF000000"/>
        <sz val="10.0"/>
      </rPr>
      <t>AD)</t>
    </r>
  </si>
  <si>
    <t>Semana de encontro:</t>
  </si>
  <si>
    <t>Semana que o grupo deve vir ao encontro (Agrupamento)</t>
  </si>
  <si>
    <t>Grupo:</t>
  </si>
  <si>
    <t>Dev Health Group</t>
  </si>
  <si>
    <t>Nome único identificador do grupo</t>
  </si>
  <si>
    <t>Grupo Antigo:</t>
  </si>
  <si>
    <t>Nome antigo (com link para a planilha de gestão de projeto antiga)</t>
  </si>
  <si>
    <t>Link para Planilha de Gestão Antiga:</t>
  </si>
  <si>
    <t>link para a pasta onde ficava a planilha antiga (semestre anterior) de gestão do projeto (gerado pelo script)</t>
  </si>
  <si>
    <t>Cliente:</t>
  </si>
  <si>
    <t>Psicóloga Carolina Ramos Bertolino</t>
  </si>
  <si>
    <t>(*)</t>
  </si>
  <si>
    <t>Título:</t>
  </si>
  <si>
    <t>Sistema de Gerenciamento para Consultórios Particulares</t>
  </si>
  <si>
    <t>(*) Título que deve sumarizar o trabalho, e será utilizado no documento ou artigo</t>
  </si>
  <si>
    <t>Descrição do projeto:</t>
  </si>
  <si>
    <t>(*) Explicação resumida sobre o Trabalho ou projeto</t>
  </si>
  <si>
    <t>Observações:</t>
  </si>
  <si>
    <t>(*) Quaisquer observações ou sugestões</t>
  </si>
  <si>
    <t>Hyperlink do site:</t>
  </si>
  <si>
    <t>URL para o site do sistema em desenvolvimento do projeto, caso haja, de preferência no GitHub</t>
  </si>
  <si>
    <t>Nome deste arquivo:</t>
  </si>
  <si>
    <t>No google drive</t>
  </si>
  <si>
    <t>Link para Pasta de Projeto:</t>
  </si>
  <si>
    <t>(link para a pasta onde grupo pode gravar arquivos e artefatos de projetos, tais como requisitos e bases; gerado pelo script)</t>
  </si>
  <si>
    <t>Link para o Documento:</t>
  </si>
  <si>
    <t>(link para o artigo, para grupo gerar as versões; gerado pelo script)</t>
  </si>
  <si>
    <t>ID:</t>
  </si>
  <si>
    <t>Número único identificador do grupo</t>
  </si>
  <si>
    <t>Formando:</t>
  </si>
  <si>
    <t>Indica de é grupo de alunos formandos (OPE2 ou TCC2)</t>
  </si>
  <si>
    <t>Orientador:</t>
  </si>
  <si>
    <t>Nome do orientador do grupo</t>
  </si>
  <si>
    <t>Dia Semana:</t>
  </si>
  <si>
    <t>Dia da semana dos encontros</t>
  </si>
  <si>
    <t>Curs_Sem_Turn_Turm</t>
  </si>
  <si>
    <t>Curso Semetre Turma e Turno</t>
  </si>
  <si>
    <t>Data Criação:</t>
  </si>
  <si>
    <t>Data de criação desta planilha</t>
  </si>
  <si>
    <t>Informações que vieram pelo formulário de cadastro mas que poderão ser alteradas a cada sprint</t>
  </si>
  <si>
    <t>Parâmetros (ID)</t>
  </si>
  <si>
    <t>1ZMOWpI8xJMqgVipgzxIWx25OXyMc5YNV5Mq3LkixiDs</t>
  </si>
  <si>
    <t>(Google Sheets com padrões para este semestre - não alterar)</t>
  </si>
  <si>
    <t>AC</t>
  </si>
  <si>
    <t>Explicações sobre cada linha</t>
  </si>
  <si>
    <t>Peso</t>
  </si>
  <si>
    <t>AC1</t>
  </si>
  <si>
    <t>AC2</t>
  </si>
  <si>
    <t>AC3</t>
  </si>
  <si>
    <t>AC4</t>
  </si>
  <si>
    <t>AC5</t>
  </si>
  <si>
    <t>MAC</t>
  </si>
  <si>
    <t>PROVA</t>
  </si>
  <si>
    <t>Média Final</t>
  </si>
  <si>
    <t>Encontro</t>
  </si>
  <si>
    <t>Encontro com o grupo</t>
  </si>
  <si>
    <t>1º</t>
  </si>
  <si>
    <t>2º</t>
  </si>
  <si>
    <t>3º</t>
  </si>
  <si>
    <t>4º</t>
  </si>
  <si>
    <t>Plantão</t>
  </si>
  <si>
    <t>Sprint Avaliada</t>
  </si>
  <si>
    <t>Sprint a ser avaliada no encontro</t>
  </si>
  <si>
    <t>-</t>
  </si>
  <si>
    <t>Data Prevista</t>
  </si>
  <si>
    <t>Data planejada do encontro: pode ser alterada pelo orientador</t>
  </si>
  <si>
    <t>Prof. Orientador</t>
  </si>
  <si>
    <t>Professor que fez a avaliação</t>
  </si>
  <si>
    <t>NOTAS</t>
  </si>
  <si>
    <t>Notas das ACs (caluladas automaticamente) e da Prova (caso de vídeo apenas)</t>
  </si>
  <si>
    <t>RANK</t>
  </si>
  <si>
    <t>Sprint Review</t>
  </si>
  <si>
    <t>Sprint Review deve ocorrer a cada encontro</t>
  </si>
  <si>
    <t>Avaliação do Documento</t>
  </si>
  <si>
    <t>Confirmar em quais ACs o documento será avaliado</t>
  </si>
  <si>
    <t>Artefatos de Software</t>
  </si>
  <si>
    <t>Confirmar em quais ACs os artefatos de engenharia de sofware serão avaliados</t>
  </si>
  <si>
    <t>Avaliação de Pôster</t>
  </si>
  <si>
    <t>A criação do Pôster (Banner) do Simpacta só poderá ser avaliada na última AC, dos alunos formandos</t>
  </si>
  <si>
    <t>Vídeo</t>
  </si>
  <si>
    <t>O vídeo somente será avaliado para os alunos não formandos, e somente na prova</t>
  </si>
  <si>
    <t>AC Disciplina Paralela</t>
  </si>
  <si>
    <t>notas das ACs das disciplinas paralelas (OPE1 de ADS e SI)</t>
  </si>
  <si>
    <t>Observações Gerais</t>
  </si>
  <si>
    <t>Pontos relevantes e outras observações gerais do encontro</t>
  </si>
  <si>
    <t>Frequência</t>
  </si>
  <si>
    <t>usuario</t>
  </si>
  <si>
    <t>Nome</t>
  </si>
  <si>
    <t>RA</t>
  </si>
  <si>
    <t>Observações sobre aluno</t>
  </si>
  <si>
    <t>email</t>
  </si>
  <si>
    <t>fabio.vieira</t>
  </si>
  <si>
    <t>Fabio Monteiro Vieira</t>
  </si>
  <si>
    <t>victoria.mendes</t>
  </si>
  <si>
    <t>Victoria Alcantara Mendes</t>
  </si>
  <si>
    <t>edevilson.silva</t>
  </si>
  <si>
    <t>Edevilson Mendes da Silva</t>
  </si>
  <si>
    <t>paulo.leone</t>
  </si>
  <si>
    <t>Paulo Henrique Farinelli Leone</t>
  </si>
  <si>
    <t>jessica.ribeiro</t>
  </si>
  <si>
    <t>Jéssica Ribeiro Sousa</t>
  </si>
  <si>
    <t>NOTA da PRESENÇA</t>
  </si>
  <si>
    <t>*</t>
  </si>
  <si>
    <t>Lançamentos</t>
  </si>
  <si>
    <t>.</t>
  </si>
  <si>
    <t>Presença</t>
  </si>
  <si>
    <t>Abono</t>
  </si>
  <si>
    <t>Faltas</t>
  </si>
  <si>
    <t>?</t>
  </si>
  <si>
    <t>Fora da equipe</t>
  </si>
  <si>
    <t>Capacidade da equipe</t>
  </si>
  <si>
    <t>Tamanho atual da equipe</t>
  </si>
  <si>
    <t>Legenda:</t>
  </si>
  <si>
    <t>nome_grupo</t>
  </si>
  <si>
    <t>Escrever o nome do grupo antigo (caso aluno não fazia ainda parte do grupo atual) ou futuro (caso deixou de fazer parte deste grupo). Pode ser grupo de outro turno</t>
  </si>
  <si>
    <t>Abono ou Ausência Justificada (médica, religiosa, jurídica, militar)</t>
  </si>
  <si>
    <t>F</t>
  </si>
  <si>
    <t>Falta (ausência não justificada do aluno)</t>
  </si>
  <si>
    <t>Aluno NÃO tinha grupo, NÃO era matriculado ou NÃO está mais na faculdade (trancou, desistiu, saiu, transferiu para outra faculdade)</t>
  </si>
  <si>
    <t>DOCX</t>
  </si>
  <si>
    <t>PDF</t>
  </si>
  <si>
    <t>Critérios</t>
  </si>
  <si>
    <t>Explicação</t>
  </si>
  <si>
    <t>DOC</t>
  </si>
  <si>
    <t>Entrega do artigo</t>
  </si>
  <si>
    <t>1ª</t>
  </si>
  <si>
    <t>2ª</t>
  </si>
  <si>
    <t>3ª</t>
  </si>
  <si>
    <t>4ª</t>
  </si>
  <si>
    <t>5ª</t>
  </si>
  <si>
    <t>Data Avaliação</t>
  </si>
  <si>
    <t>Data da avaliação pelo prof. Orientador</t>
  </si>
  <si>
    <t>Pontos negativos</t>
  </si>
  <si>
    <t>Observações negativas</t>
  </si>
  <si>
    <t>Pontos positivos</t>
  </si>
  <si>
    <t>Observações positivas</t>
  </si>
  <si>
    <t>Completude</t>
  </si>
  <si>
    <t>Conteúdo esperado (Referências bibliográficas &amp; de acordo com cronograma)</t>
  </si>
  <si>
    <t>Qualidade</t>
  </si>
  <si>
    <t>Conteúdo adequado, Argumentação teórica e técnica; Escrita correta e adequada (sem erros gramaticais ou de ortografia)</t>
  </si>
  <si>
    <t>Forma</t>
  </si>
  <si>
    <t>Formatação adequada (modelo do artigo, tabelas e figuras possuem legenda e são referênciadas; espaço entre linhas, distribuição dos parágrafos, formato das referências)</t>
  </si>
  <si>
    <t>Complexidade</t>
  </si>
  <si>
    <t>Escopo (Amplitude e Complexidade); Grupo (Tamanho e Diversidade Skills); Inovação (Relevância, Sociedade e Unicidade)</t>
  </si>
  <si>
    <t>Nota Completude</t>
  </si>
  <si>
    <t>Nota Qualidade</t>
  </si>
  <si>
    <t>Nota Forma</t>
  </si>
  <si>
    <t>Nota Complexidade</t>
  </si>
  <si>
    <t>NOTA</t>
  </si>
  <si>
    <t>Data de início da sprint</t>
  </si>
  <si>
    <t>Nº Sprint</t>
  </si>
  <si>
    <t>Número da sprint concluída</t>
  </si>
  <si>
    <t>Professor que fez o sprint review</t>
  </si>
  <si>
    <t>Planejamento</t>
  </si>
  <si>
    <t>Tarefas bem distribuídas em todos alunos; específicas; relevantes; priorizadas; pontução perante capacidade.
Para a última Sprint do último semestre (7), considerar planejamento para conclusão da disciplina</t>
  </si>
  <si>
    <t>Qualidade técnica</t>
  </si>
  <si>
    <t>Qualidade dos artefatos de projeto desenvolvidos e entregues</t>
  </si>
  <si>
    <t>Realização das estórias</t>
  </si>
  <si>
    <t>[calculado automaticamente com base nas estórias planejadas e seus pontos completados]
Não considerada na Sprint 0 (Back Log)</t>
  </si>
  <si>
    <t>Nota Planejamento</t>
  </si>
  <si>
    <t>Nota Qualidade técnica</t>
  </si>
  <si>
    <t># Alunos</t>
  </si>
  <si>
    <t>Alunos Grupo</t>
  </si>
  <si>
    <t>Tamanho Sprint (d)</t>
  </si>
  <si>
    <t>Tamanho Sprint (dias)</t>
  </si>
  <si>
    <t>Tamanho Sprint (s)</t>
  </si>
  <si>
    <t>Tamanho Sprint (semanas)</t>
  </si>
  <si>
    <t>Capacidade mín</t>
  </si>
  <si>
    <t>Capacidade mínima da equipe (pontos)</t>
  </si>
  <si>
    <t>Capacidade máx</t>
  </si>
  <si>
    <t>Capacidade máxima da equipe (pontos)</t>
  </si>
  <si>
    <t>Planejado (ptos)</t>
  </si>
  <si>
    <t>Pontos planejados</t>
  </si>
  <si>
    <t>Realizado (ptos)</t>
  </si>
  <si>
    <t>Pontos realizados</t>
  </si>
  <si>
    <t>Alterações</t>
  </si>
  <si>
    <t>Alterações de escopo</t>
  </si>
  <si>
    <t>Histórias sem pontos</t>
  </si>
  <si>
    <t>Histórias planejadas sem pontos</t>
  </si>
  <si>
    <t>Pontos com alunos</t>
  </si>
  <si>
    <t>Pontos associados</t>
  </si>
  <si>
    <t>Data da avaliação dos artefatos</t>
  </si>
  <si>
    <t>Artefatos esperados</t>
  </si>
  <si>
    <t>Coerência</t>
  </si>
  <si>
    <t>Coerência com Projeto</t>
  </si>
  <si>
    <t>Nota Coerência</t>
  </si>
  <si>
    <t>Entrega</t>
  </si>
  <si>
    <t>Entrega do PPT com o conteúdo do Pôster para o Simpacta</t>
  </si>
  <si>
    <t>Conteúdo esperado (tópicos definidos no pôster)</t>
  </si>
  <si>
    <t>Conteúdo adequado, Projeto Entregue com qualidade, Escrita correta (sem erros gramaticais ou de ortografia)</t>
  </si>
  <si>
    <t>Formatação adequada (modelo do pôster, tabelas e figuras com legenda formatação; espaçamento; user experience; formato das referências)</t>
  </si>
  <si>
    <t>Data da avaliação do vídeo</t>
  </si>
  <si>
    <t>Qualidade da produção do vídeo</t>
  </si>
  <si>
    <t>Objetividade e assertividade</t>
  </si>
  <si>
    <t>Inovação e relevância</t>
  </si>
  <si>
    <t>Viabilidade da solução</t>
  </si>
  <si>
    <t>Nota Objetividade e assertividade</t>
  </si>
  <si>
    <t>Nota Inovação e relevância</t>
  </si>
  <si>
    <t>Nota Viabilidade da solução</t>
  </si>
  <si>
    <t>(copiar estórias realizadas da aba SprintPlanning, colunas A a F)</t>
  </si>
  <si>
    <t>Sprint</t>
  </si>
  <si>
    <t>ID</t>
  </si>
  <si>
    <t>Estória</t>
  </si>
  <si>
    <t>Prioridade</t>
  </si>
  <si>
    <t>Pontos</t>
  </si>
  <si>
    <t>Responsável</t>
  </si>
  <si>
    <t>TOTAL</t>
  </si>
  <si>
    <t>(copiar estórias realizadas da aba SprintPlanning, colunas A a I)</t>
  </si>
  <si>
    <t>Status</t>
  </si>
  <si>
    <t>Encerramento</t>
  </si>
  <si>
    <t>Escopo Mantido</t>
  </si>
  <si>
    <t>Pontos finalizados</t>
  </si>
  <si>
    <t>Pontos finalizados (%)</t>
  </si>
  <si>
    <t>Inicio front-end web</t>
  </si>
  <si>
    <t>Média</t>
  </si>
  <si>
    <t>Concluída</t>
  </si>
  <si>
    <t>Criação do banco de dados</t>
  </si>
  <si>
    <t>Alta</t>
  </si>
  <si>
    <t>Desenvolvimento do CRUD da tabela paciente</t>
  </si>
  <si>
    <t>Atualização das tabelas no banco de dados</t>
  </si>
  <si>
    <t>Atualização do front-end web</t>
  </si>
  <si>
    <t>Atualização do CRUD da tabela paciente</t>
  </si>
  <si>
    <t>Início da documentação</t>
  </si>
  <si>
    <t>Início do desenvolvimento do aplicativo mobile</t>
  </si>
  <si>
    <t>Correções back-end web</t>
  </si>
  <si>
    <t>Início back-end mobile</t>
  </si>
  <si>
    <t>Atualização e correção da documentação</t>
  </si>
  <si>
    <t>Desenvolvimento do CRUD da tabela consultas</t>
  </si>
  <si>
    <t>Ajustes back-end mobile</t>
  </si>
  <si>
    <t>Ajustes do agendamento web</t>
  </si>
  <si>
    <t>Ajustes do banco de dados</t>
  </si>
  <si>
    <t>Desenvolvimento do CRUD da tabela pagamentos</t>
  </si>
  <si>
    <t>Desenvolvimento API web</t>
  </si>
  <si>
    <t>Ajustes front-end mobile</t>
  </si>
  <si>
    <t>Correções da documentação</t>
  </si>
  <si>
    <t>Desenvolvimento front-end web</t>
  </si>
  <si>
    <t>Integração API web com mobile</t>
  </si>
  <si>
    <t>Ajustes API web</t>
  </si>
  <si>
    <t>Ajustes e correções back-end mobile</t>
  </si>
  <si>
    <t>Ajustes e correções front-end mobile</t>
  </si>
  <si>
    <t>Finalização da documentação</t>
  </si>
  <si>
    <t>Finalização back-end web</t>
  </si>
  <si>
    <t>Finalização back-end 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</si>
</sst>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dd\ dd/mm/yyyy"/>
    <numFmt numFmtId="165" formatCode="General&quot;º&quot;"/>
    <numFmt numFmtId="166" formatCode="dd/MM/yyyy HH:mm:ss"/>
    <numFmt numFmtId="167" formatCode="dd/mmm"/>
    <numFmt numFmtId="168" formatCode="d/mmm"/>
    <numFmt numFmtId="169" formatCode="000"/>
    <numFmt numFmtId="170" formatCode="dd/mm/yyyy"/>
    <numFmt numFmtId="171" formatCode="d/m/yyyy"/>
  </numFmts>
  <fonts count="24">
    <font>
      <sz val="11.0"/>
      <color rgb="FF000000"/>
      <name val="Calibri"/>
    </font>
    <font>
      <b/>
      <sz val="10.0"/>
      <color rgb="FF000000"/>
      <name val="Calibri"/>
    </font>
    <font>
      <sz val="10.0"/>
      <color theme="1"/>
      <name val="Calibri"/>
    </font>
    <font>
      <sz val="10.0"/>
      <color rgb="FF000000"/>
      <name val="Calibri"/>
    </font>
    <font>
      <b/>
      <sz val="10.0"/>
      <color theme="1"/>
      <name val="Calibri"/>
    </font>
    <font>
      <color theme="1"/>
      <name val="Calibri"/>
    </font>
    <font>
      <b/>
      <sz val="11.0"/>
      <color rgb="FF3F3F3F"/>
      <name val="Calibri"/>
    </font>
    <font>
      <u/>
      <sz val="10.0"/>
      <color rgb="FF000000"/>
      <name val="Calibri"/>
    </font>
    <font>
      <sz val="8.0"/>
      <color rgb="FF000000"/>
      <name val="Calibri"/>
    </font>
    <font>
      <u/>
      <sz val="8.0"/>
      <color rgb="FF000000"/>
      <name val="Calibri"/>
    </font>
    <font>
      <u/>
      <sz val="8.0"/>
      <color rgb="FF000000"/>
      <name val="Calibri"/>
    </font>
    <font/>
    <font>
      <sz val="10.0"/>
      <color rgb="FF000000"/>
      <name val="Arial"/>
    </font>
    <font>
      <sz val="6.0"/>
      <color rgb="FF000000"/>
      <name val="Calibri"/>
    </font>
    <font>
      <b/>
      <sz val="11.0"/>
      <color theme="1"/>
      <name val="Calibri"/>
    </font>
    <font>
      <b/>
      <sz val="10.0"/>
      <color rgb="FF757070"/>
      <name val="Calibri"/>
    </font>
    <font>
      <sz val="10.0"/>
      <color rgb="FF757070"/>
      <name val="Calibri"/>
    </font>
    <font>
      <b/>
      <u/>
      <sz val="10.0"/>
      <color rgb="FF0000FF"/>
      <name val="Calibri"/>
    </font>
    <font>
      <b/>
      <sz val="10.0"/>
      <color rgb="FF0000FF"/>
      <name val="Calibri"/>
    </font>
    <font>
      <u/>
      <sz val="10.0"/>
      <color rgb="FF0563C1"/>
      <name val="Calibri"/>
    </font>
    <font>
      <b/>
      <i/>
      <sz val="10.0"/>
      <color rgb="FF000000"/>
      <name val="Calibri"/>
    </font>
    <font>
      <b/>
      <sz val="10.0"/>
      <color rgb="FF3F3F3F"/>
      <name val="Calibri"/>
    </font>
    <font>
      <b/>
      <sz val="10.0"/>
      <color theme="1"/>
      <name val="Arial"/>
    </font>
    <font>
      <sz val="10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A5A5A5"/>
        <bgColor rgb="FFA5A5A5"/>
      </patternFill>
    </fill>
    <fill>
      <patternFill patternType="solid">
        <fgColor rgb="FFCFE2F3"/>
        <bgColor rgb="FFCFE2F3"/>
      </patternFill>
    </fill>
    <fill>
      <patternFill patternType="solid">
        <fgColor rgb="FFC5E0B3"/>
        <bgColor rgb="FFC5E0B3"/>
      </patternFill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</fills>
  <borders count="49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/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/>
      <right/>
      <top/>
    </border>
    <border>
      <left/>
      <right/>
      <top/>
      <bottom/>
    </border>
    <border>
      <left style="double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thin">
        <color rgb="FF3F3F3F"/>
      </left>
      <right style="thin">
        <color rgb="FF3F3F3F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A5A5A5"/>
      </left>
      <top style="thin">
        <color rgb="FFA5A5A5"/>
      </top>
    </border>
  </borders>
  <cellStyleXfs count="1">
    <xf borderId="0" fillId="0" fontId="0" numFmtId="0" applyAlignment="1" applyFont="1"/>
  </cellStyleXfs>
  <cellXfs count="2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3" fillId="2" fontId="3" numFmtId="0" xfId="0" applyAlignment="1" applyBorder="1" applyFill="1" applyFont="1">
      <alignment vertical="bottom"/>
    </xf>
    <xf borderId="4" fillId="3" fontId="3" numFmtId="0" xfId="0" applyAlignment="1" applyBorder="1" applyFill="1" applyFont="1">
      <alignment shrinkToFit="0" vertical="bottom" wrapText="0"/>
    </xf>
    <xf borderId="4" fillId="4" fontId="3" numFmtId="0" xfId="0" applyAlignment="1" applyBorder="1" applyFill="1" applyFont="1">
      <alignment shrinkToFit="0" vertical="bottom" wrapText="0"/>
    </xf>
    <xf borderId="3" fillId="0" fontId="3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vertical="bottom"/>
    </xf>
    <xf borderId="0" fillId="0" fontId="5" numFmtId="0" xfId="0" applyFont="1"/>
    <xf borderId="5" fillId="3" fontId="6" numFmtId="0" xfId="0" applyAlignment="1" applyBorder="1" applyFont="1">
      <alignment horizontal="center"/>
    </xf>
    <xf borderId="6" fillId="0" fontId="1" numFmtId="0" xfId="0" applyAlignment="1" applyBorder="1" applyFont="1">
      <alignment vertical="center"/>
    </xf>
    <xf borderId="6" fillId="2" fontId="3" numFmtId="164" xfId="0" applyAlignment="1" applyBorder="1" applyFont="1" applyNumberFormat="1">
      <alignment horizontal="center" vertical="center"/>
    </xf>
    <xf borderId="6" fillId="0" fontId="3" numFmtId="0" xfId="0" applyAlignment="1" applyBorder="1" applyFont="1">
      <alignment vertical="center"/>
    </xf>
    <xf borderId="6" fillId="2" fontId="3" numFmtId="0" xfId="0" applyAlignment="1" applyBorder="1" applyFont="1">
      <alignment horizontal="center" vertical="center"/>
    </xf>
    <xf borderId="6" fillId="4" fontId="3" numFmtId="0" xfId="0" applyAlignment="1" applyBorder="1" applyFont="1">
      <alignment horizontal="center" vertical="center"/>
    </xf>
    <xf borderId="6" fillId="2" fontId="3" numFmtId="165" xfId="0" applyAlignment="1" applyBorder="1" applyFont="1" applyNumberFormat="1">
      <alignment horizontal="center" vertical="center"/>
    </xf>
    <xf borderId="6" fillId="4" fontId="3" numFmtId="0" xfId="0" applyAlignment="1" applyBorder="1" applyFont="1">
      <alignment vertical="center"/>
    </xf>
    <xf borderId="6" fillId="0" fontId="1" numFmtId="0" xfId="0" applyAlignment="1" applyBorder="1" applyFont="1">
      <alignment shrinkToFit="0" vertical="center" wrapText="1"/>
    </xf>
    <xf borderId="6" fillId="4" fontId="7" numFmtId="0" xfId="0" applyAlignment="1" applyBorder="1" applyFont="1">
      <alignment shrinkToFit="0" vertical="center" wrapText="1"/>
    </xf>
    <xf borderId="6" fillId="0" fontId="3" numFmtId="0" xfId="0" applyAlignment="1" applyBorder="1" applyFont="1">
      <alignment shrinkToFit="0" vertical="center" wrapText="1"/>
    </xf>
    <xf borderId="6" fillId="4" fontId="8" numFmtId="0" xfId="0" applyAlignment="1" applyBorder="1" applyFont="1">
      <alignment shrinkToFit="0" vertical="center" wrapText="1"/>
    </xf>
    <xf borderId="6" fillId="2" fontId="3" numFmtId="0" xfId="0" applyAlignment="1" applyBorder="1" applyFont="1">
      <alignment vertical="center"/>
    </xf>
    <xf borderId="6" fillId="4" fontId="9" numFmtId="0" xfId="0" applyAlignment="1" applyBorder="1" applyFont="1">
      <alignment horizontal="left" shrinkToFit="0" vertical="center" wrapText="1"/>
    </xf>
    <xf borderId="6" fillId="4" fontId="10" numFmtId="0" xfId="0" applyAlignment="1" applyBorder="1" applyFont="1">
      <alignment horizontal="left" vertical="center"/>
    </xf>
    <xf borderId="7" fillId="0" fontId="1" numFmtId="0" xfId="0" applyAlignment="1" applyBorder="1" applyFont="1">
      <alignment vertical="center"/>
    </xf>
    <xf borderId="7" fillId="4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2" fontId="3" numFmtId="0" xfId="0" applyAlignment="1" applyBorder="1" applyFont="1">
      <alignment shrinkToFit="0" vertical="center" wrapText="1"/>
    </xf>
    <xf borderId="8" fillId="0" fontId="3" numFmtId="0" xfId="0" applyAlignment="1" applyBorder="1" applyFont="1">
      <alignment shrinkToFit="0" vertical="center" wrapText="1"/>
    </xf>
    <xf borderId="8" fillId="2" fontId="3" numFmtId="166" xfId="0" applyAlignment="1" applyBorder="1" applyFont="1" applyNumberFormat="1">
      <alignment shrinkToFit="0" vertical="center" wrapText="1"/>
    </xf>
    <xf borderId="9" fillId="0" fontId="1" numFmtId="0" xfId="0" applyAlignment="1" applyBorder="1" applyFont="1">
      <alignment vertical="center"/>
    </xf>
    <xf borderId="10" fillId="0" fontId="3" numFmtId="0" xfId="0" applyAlignment="1" applyBorder="1" applyFont="1">
      <alignment shrinkToFit="0" vertical="center" wrapText="1"/>
    </xf>
    <xf borderId="3" fillId="0" fontId="11" numFmtId="0" xfId="0" applyBorder="1" applyFont="1"/>
    <xf borderId="0" fillId="0" fontId="12" numFmtId="0" xfId="0" applyFont="1"/>
    <xf borderId="8" fillId="2" fontId="13" numFmtId="166" xfId="0" applyAlignment="1" applyBorder="1" applyFont="1" applyNumberFormat="1">
      <alignment shrinkToFit="0" vertical="center" wrapText="0"/>
    </xf>
    <xf borderId="6" fillId="2" fontId="1" numFmtId="0" xfId="0" applyAlignment="1" applyBorder="1" applyFont="1">
      <alignment vertical="center"/>
    </xf>
    <xf borderId="6" fillId="5" fontId="1" numFmtId="0" xfId="0" applyAlignment="1" applyBorder="1" applyFill="1" applyFont="1">
      <alignment vertical="center"/>
    </xf>
    <xf borderId="6" fillId="2" fontId="1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vertical="center"/>
    </xf>
    <xf borderId="6" fillId="0" fontId="8" numFmtId="0" xfId="0" applyAlignment="1" applyBorder="1" applyFont="1">
      <alignment vertical="center"/>
    </xf>
    <xf borderId="12" fillId="2" fontId="1" numFmtId="16" xfId="0" applyAlignment="1" applyBorder="1" applyFont="1" applyNumberFormat="1">
      <alignment horizontal="center" vertical="center"/>
    </xf>
    <xf borderId="13" fillId="2" fontId="1" numFmtId="16" xfId="0" applyAlignment="1" applyBorder="1" applyFont="1" applyNumberFormat="1">
      <alignment horizontal="center" vertical="center"/>
    </xf>
    <xf borderId="6" fillId="0" fontId="3" numFmtId="0" xfId="0" applyAlignment="1" applyBorder="1" applyFont="1">
      <alignment horizontal="left" vertical="center"/>
    </xf>
    <xf borderId="14" fillId="2" fontId="1" numFmtId="16" xfId="0" applyAlignment="1" applyBorder="1" applyFont="1" applyNumberFormat="1">
      <alignment horizontal="left" vertical="center"/>
    </xf>
    <xf borderId="0" fillId="0" fontId="8" numFmtId="0" xfId="0" applyAlignment="1" applyFont="1">
      <alignment vertical="center"/>
    </xf>
    <xf borderId="15" fillId="2" fontId="14" numFmtId="4" xfId="0" applyAlignment="1" applyBorder="1" applyFont="1" applyNumberFormat="1">
      <alignment horizontal="center" vertical="center"/>
    </xf>
    <xf borderId="16" fillId="2" fontId="1" numFmtId="0" xfId="0" applyAlignment="1" applyBorder="1" applyFont="1">
      <alignment horizontal="center" vertical="center"/>
    </xf>
    <xf borderId="0" fillId="2" fontId="15" numFmtId="0" xfId="0" applyAlignment="1" applyFont="1">
      <alignment horizontal="left" vertical="center"/>
    </xf>
    <xf borderId="17" fillId="2" fontId="15" numFmtId="0" xfId="0" applyAlignment="1" applyBorder="1" applyFont="1">
      <alignment horizontal="left" vertical="center"/>
    </xf>
    <xf borderId="18" fillId="2" fontId="16" numFmtId="0" xfId="0" applyAlignment="1" applyBorder="1" applyFont="1">
      <alignment horizontal="center" vertical="center"/>
    </xf>
    <xf borderId="19" fillId="2" fontId="15" numFmtId="9" xfId="0" applyAlignment="1" applyBorder="1" applyFont="1" applyNumberFormat="1">
      <alignment horizontal="center" vertical="center"/>
    </xf>
    <xf borderId="20" fillId="0" fontId="17" numFmtId="0" xfId="0" applyAlignment="1" applyBorder="1" applyFont="1">
      <alignment vertical="center"/>
    </xf>
    <xf borderId="21" fillId="0" fontId="3" numFmtId="0" xfId="0" applyAlignment="1" applyBorder="1" applyFont="1">
      <alignment vertical="center"/>
    </xf>
    <xf borderId="22" fillId="6" fontId="3" numFmtId="0" xfId="0" applyAlignment="1" applyBorder="1" applyFill="1" applyFont="1">
      <alignment vertical="center"/>
    </xf>
    <xf borderId="23" fillId="6" fontId="3" numFmtId="0" xfId="0" applyAlignment="1" applyBorder="1" applyFont="1">
      <alignment vertical="center"/>
    </xf>
    <xf borderId="6" fillId="0" fontId="3" numFmtId="0" xfId="0" applyAlignment="1" applyBorder="1" applyFont="1">
      <alignment horizontal="center" vertical="center"/>
    </xf>
    <xf borderId="22" fillId="5" fontId="3" numFmtId="0" xfId="0" applyAlignment="1" applyBorder="1" applyFont="1">
      <alignment vertical="center"/>
    </xf>
    <xf borderId="23" fillId="5" fontId="3" numFmtId="0" xfId="0" applyAlignment="1" applyBorder="1" applyFont="1">
      <alignment vertical="center"/>
    </xf>
    <xf borderId="6" fillId="5" fontId="3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6" fillId="0" fontId="8" numFmtId="0" xfId="0" applyAlignment="1" applyBorder="1" applyFont="1">
      <alignment shrinkToFit="0" vertical="center" wrapText="0"/>
    </xf>
    <xf borderId="2" fillId="5" fontId="8" numFmtId="0" xfId="0" applyAlignment="1" applyBorder="1" applyFont="1">
      <alignment horizontal="center" shrinkToFit="0" vertical="center" wrapText="1"/>
    </xf>
    <xf borderId="24" fillId="5" fontId="8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shrinkToFit="0" vertical="center" wrapText="1"/>
    </xf>
    <xf borderId="6" fillId="0" fontId="8" numFmtId="0" xfId="0" applyAlignment="1" applyBorder="1" applyFont="1">
      <alignment shrinkToFit="0" vertical="center" wrapText="1"/>
    </xf>
    <xf borderId="20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shrinkToFit="0" vertical="center" wrapText="1"/>
    </xf>
    <xf borderId="9" fillId="0" fontId="8" numFmtId="0" xfId="0" applyAlignment="1" applyBorder="1" applyFont="1">
      <alignment horizontal="center" shrinkToFit="0" vertical="center" wrapText="1"/>
    </xf>
    <xf borderId="1" fillId="0" fontId="18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26" fillId="4" fontId="1" numFmtId="0" xfId="0" applyAlignment="1" applyBorder="1" applyFont="1">
      <alignment vertical="center"/>
    </xf>
    <xf borderId="26" fillId="2" fontId="1" numFmtId="16" xfId="0" applyAlignment="1" applyBorder="1" applyFont="1" applyNumberFormat="1">
      <alignment horizontal="center" vertical="center"/>
    </xf>
    <xf borderId="27" fillId="0" fontId="1" numFmtId="0" xfId="0" applyAlignment="1" applyBorder="1" applyFont="1">
      <alignment vertical="center"/>
    </xf>
    <xf borderId="28" fillId="0" fontId="11" numFmtId="0" xfId="0" applyBorder="1" applyFont="1"/>
    <xf borderId="29" fillId="0" fontId="11" numFmtId="0" xfId="0" applyBorder="1" applyFont="1"/>
    <xf borderId="12" fillId="2" fontId="1" numFmtId="0" xfId="0" applyAlignment="1" applyBorder="1" applyFont="1">
      <alignment vertical="center"/>
    </xf>
    <xf borderId="9" fillId="0" fontId="3" numFmtId="0" xfId="0" applyAlignment="1" applyBorder="1" applyFont="1">
      <alignment shrinkToFit="0" vertical="center" wrapText="0"/>
    </xf>
    <xf borderId="9" fillId="0" fontId="3" numFmtId="0" xfId="0" applyAlignment="1" applyBorder="1" applyFont="1">
      <alignment horizontal="center" vertical="center"/>
    </xf>
    <xf borderId="10" fillId="6" fontId="3" numFmtId="0" xfId="0" applyAlignment="1" applyBorder="1" applyFont="1">
      <alignment vertical="center"/>
    </xf>
    <xf borderId="1" fillId="0" fontId="11" numFmtId="0" xfId="0" applyBorder="1" applyFont="1"/>
    <xf borderId="23" fillId="6" fontId="19" numFmtId="0" xfId="0" applyAlignment="1" applyBorder="1" applyFont="1">
      <alignment vertical="center"/>
    </xf>
    <xf borderId="6" fillId="0" fontId="3" numFmtId="0" xfId="0" applyAlignment="1" applyBorder="1" applyFont="1">
      <alignment shrinkToFit="0" vertical="center" wrapText="0"/>
    </xf>
    <xf borderId="30" fillId="6" fontId="3" numFmtId="0" xfId="0" applyAlignment="1" applyBorder="1" applyFont="1">
      <alignment vertical="center"/>
    </xf>
    <xf borderId="31" fillId="0" fontId="11" numFmtId="0" xfId="0" applyBorder="1" applyFont="1"/>
    <xf borderId="22" fillId="0" fontId="11" numFmtId="0" xfId="0" applyBorder="1" applyFont="1"/>
    <xf borderId="6" fillId="6" fontId="3" numFmtId="0" xfId="0" applyAlignment="1" applyBorder="1" applyFont="1">
      <alignment vertical="center"/>
    </xf>
    <xf borderId="9" fillId="6" fontId="3" numFmtId="0" xfId="0" applyAlignment="1" applyBorder="1" applyFont="1">
      <alignment vertical="center"/>
    </xf>
    <xf borderId="32" fillId="6" fontId="3" numFmtId="0" xfId="0" applyAlignment="1" applyBorder="1" applyFont="1">
      <alignment vertical="center"/>
    </xf>
    <xf borderId="9" fillId="5" fontId="1" numFmtId="0" xfId="0" applyAlignment="1" applyBorder="1" applyFont="1">
      <alignment horizontal="center" vertical="center"/>
    </xf>
    <xf borderId="33" fillId="6" fontId="1" numFmtId="0" xfId="0" applyAlignment="1" applyBorder="1" applyFont="1">
      <alignment vertical="center"/>
    </xf>
    <xf borderId="33" fillId="6" fontId="1" numFmtId="0" xfId="0" applyAlignment="1" applyBorder="1" applyFont="1">
      <alignment horizontal="center" vertical="center"/>
    </xf>
    <xf borderId="34" fillId="0" fontId="1" numFmtId="0" xfId="0" applyAlignment="1" applyBorder="1" applyFont="1">
      <alignment horizontal="center" vertical="center"/>
    </xf>
    <xf borderId="34" fillId="6" fontId="3" numFmtId="0" xfId="0" applyAlignment="1" applyBorder="1" applyFont="1">
      <alignment vertical="center"/>
    </xf>
    <xf borderId="34" fillId="6" fontId="1" numFmtId="0" xfId="0" applyAlignment="1" applyBorder="1" applyFont="1">
      <alignment vertical="center"/>
    </xf>
    <xf borderId="34" fillId="2" fontId="3" numFmtId="0" xfId="0" applyAlignment="1" applyBorder="1" applyFont="1">
      <alignment horizontal="center" vertical="center"/>
    </xf>
    <xf borderId="35" fillId="2" fontId="3" numFmtId="0" xfId="0" applyAlignment="1" applyBorder="1" applyFont="1">
      <alignment horizontal="center" vertical="center"/>
    </xf>
    <xf borderId="36" fillId="0" fontId="1" numFmtId="0" xfId="0" applyAlignment="1" applyBorder="1" applyFont="1">
      <alignment horizontal="center" vertical="center"/>
    </xf>
    <xf borderId="36" fillId="6" fontId="3" numFmtId="0" xfId="0" applyAlignment="1" applyBorder="1" applyFont="1">
      <alignment vertical="center"/>
    </xf>
    <xf borderId="36" fillId="6" fontId="1" numFmtId="0" xfId="0" applyAlignment="1" applyBorder="1" applyFont="1">
      <alignment vertical="center"/>
    </xf>
    <xf borderId="36" fillId="2" fontId="3" numFmtId="0" xfId="0" applyAlignment="1" applyBorder="1" applyFont="1">
      <alignment horizontal="center" vertical="center"/>
    </xf>
    <xf borderId="37" fillId="2" fontId="3" numFmtId="0" xfId="0" applyAlignment="1" applyBorder="1" applyFont="1">
      <alignment horizontal="center" vertical="center"/>
    </xf>
    <xf borderId="38" fillId="0" fontId="1" numFmtId="0" xfId="0" applyAlignment="1" applyBorder="1" applyFont="1">
      <alignment horizontal="center" vertical="center"/>
    </xf>
    <xf borderId="38" fillId="6" fontId="3" numFmtId="0" xfId="0" applyAlignment="1" applyBorder="1" applyFont="1">
      <alignment vertical="center"/>
    </xf>
    <xf borderId="38" fillId="0" fontId="3" numFmtId="0" xfId="0" applyAlignment="1" applyBorder="1" applyFont="1">
      <alignment horizontal="center" vertical="center"/>
    </xf>
    <xf borderId="38" fillId="2" fontId="3" numFmtId="0" xfId="0" applyAlignment="1" applyBorder="1" applyFont="1">
      <alignment horizontal="center" vertical="center"/>
    </xf>
    <xf borderId="39" fillId="0" fontId="1" numFmtId="0" xfId="0" applyAlignment="1" applyBorder="1" applyFont="1">
      <alignment horizontal="center" vertical="center"/>
    </xf>
    <xf borderId="39" fillId="6" fontId="3" numFmtId="0" xfId="0" applyAlignment="1" applyBorder="1" applyFont="1">
      <alignment vertical="center"/>
    </xf>
    <xf borderId="39" fillId="0" fontId="3" numFmtId="0" xfId="0" applyAlignment="1" applyBorder="1" applyFont="1">
      <alignment horizontal="center" vertical="center"/>
    </xf>
    <xf borderId="39" fillId="2" fontId="3" numFmtId="0" xfId="0" applyAlignment="1" applyBorder="1" applyFont="1">
      <alignment horizontal="center" vertical="center"/>
    </xf>
    <xf borderId="40" fillId="2" fontId="3" numFmtId="0" xfId="0" applyAlignment="1" applyBorder="1" applyFont="1">
      <alignment horizontal="center" vertical="center"/>
    </xf>
    <xf borderId="37" fillId="2" fontId="1" numFmtId="0" xfId="0" applyAlignment="1" applyBorder="1" applyFont="1">
      <alignment horizontal="center" vertical="center"/>
    </xf>
    <xf borderId="36" fillId="6" fontId="1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3" numFmtId="4" xfId="0" applyAlignment="1" applyFont="1" applyNumberFormat="1">
      <alignment vertical="center"/>
    </xf>
    <xf borderId="6" fillId="0" fontId="20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0" fillId="0" fontId="18" numFmtId="0" xfId="0" applyAlignment="1" applyFont="1">
      <alignment vertical="center"/>
    </xf>
    <xf borderId="41" fillId="2" fontId="21" numFmtId="0" xfId="0" applyAlignment="1" applyBorder="1" applyFont="1">
      <alignment horizontal="center" vertical="center"/>
    </xf>
    <xf borderId="6" fillId="3" fontId="1" numFmtId="16" xfId="0" applyAlignment="1" applyBorder="1" applyFont="1" applyNumberFormat="1">
      <alignment horizontal="center" vertical="center"/>
    </xf>
    <xf borderId="6" fillId="0" fontId="8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vertical="center"/>
    </xf>
    <xf borderId="26" fillId="0" fontId="3" numFmtId="0" xfId="0" applyAlignment="1" applyBorder="1" applyFont="1">
      <alignment vertical="center"/>
    </xf>
    <xf borderId="26" fillId="0" fontId="3" numFmtId="0" xfId="0" applyAlignment="1" applyBorder="1" applyFont="1">
      <alignment horizontal="center" vertical="center"/>
    </xf>
    <xf borderId="26" fillId="0" fontId="8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vertical="center"/>
    </xf>
    <xf borderId="6" fillId="7" fontId="3" numFmtId="0" xfId="0" applyAlignment="1" applyBorder="1" applyFill="1" applyFont="1">
      <alignment vertical="center"/>
    </xf>
    <xf borderId="6" fillId="7" fontId="3" numFmtId="0" xfId="0" applyAlignment="1" applyBorder="1" applyFont="1">
      <alignment horizontal="center" vertical="center"/>
    </xf>
    <xf borderId="7" fillId="7" fontId="3" numFmtId="0" xfId="0" applyAlignment="1" applyBorder="1" applyFont="1">
      <alignment vertical="center"/>
    </xf>
    <xf borderId="7" fillId="7" fontId="3" numFmtId="0" xfId="0" applyAlignment="1" applyBorder="1" applyFont="1">
      <alignment horizontal="center" vertical="center"/>
    </xf>
    <xf borderId="15" fillId="0" fontId="1" numFmtId="0" xfId="0" applyAlignment="1" applyBorder="1" applyFont="1">
      <alignment vertical="center"/>
    </xf>
    <xf borderId="15" fillId="0" fontId="3" numFmtId="0" xfId="0" applyAlignment="1" applyBorder="1" applyFont="1">
      <alignment vertical="center"/>
    </xf>
    <xf borderId="15" fillId="0" fontId="1" numFmtId="0" xfId="0" applyAlignment="1" applyBorder="1" applyFont="1">
      <alignment horizontal="center" vertical="center"/>
    </xf>
    <xf borderId="15" fillId="2" fontId="1" numFmtId="0" xfId="0" applyAlignment="1" applyBorder="1" applyFont="1">
      <alignment horizontal="center" vertical="center"/>
    </xf>
    <xf borderId="5" fillId="2" fontId="21" numFmtId="0" xfId="0" applyAlignment="1" applyBorder="1" applyFont="1">
      <alignment horizontal="center" vertical="center"/>
    </xf>
    <xf borderId="0" fillId="0" fontId="2" numFmtId="16" xfId="0" applyAlignment="1" applyFont="1" applyNumberFormat="1">
      <alignment horizontal="center" vertical="center"/>
    </xf>
    <xf borderId="6" fillId="3" fontId="3" numFmtId="0" xfId="0" applyAlignment="1" applyBorder="1" applyFont="1">
      <alignment horizontal="center" vertical="center"/>
    </xf>
    <xf borderId="6" fillId="5" fontId="3" numFmtId="0" xfId="0" applyAlignment="1" applyBorder="1" applyFont="1">
      <alignment horizontal="center" vertical="center"/>
    </xf>
    <xf borderId="6" fillId="8" fontId="3" numFmtId="0" xfId="0" applyAlignment="1" applyBorder="1" applyFill="1" applyFont="1">
      <alignment vertical="center"/>
    </xf>
    <xf borderId="0" fillId="0" fontId="3" numFmtId="0" xfId="0" applyAlignment="1" applyFont="1">
      <alignment horizontal="center" vertical="center"/>
    </xf>
    <xf borderId="9" fillId="2" fontId="1" numFmtId="0" xfId="0" applyAlignment="1" applyBorder="1" applyFont="1">
      <alignment horizontal="center" vertical="center"/>
    </xf>
    <xf borderId="42" fillId="2" fontId="21" numFmtId="0" xfId="0" applyAlignment="1" applyBorder="1" applyFont="1">
      <alignment horizontal="center" vertical="center"/>
    </xf>
    <xf borderId="43" fillId="0" fontId="1" numFmtId="0" xfId="0" applyAlignment="1" applyBorder="1" applyFont="1">
      <alignment vertical="center"/>
    </xf>
    <xf borderId="43" fillId="0" fontId="3" numFmtId="0" xfId="0" applyAlignment="1" applyBorder="1" applyFont="1">
      <alignment vertical="center"/>
    </xf>
    <xf borderId="43" fillId="0" fontId="1" numFmtId="0" xfId="0" applyAlignment="1" applyBorder="1" applyFont="1">
      <alignment horizontal="center" vertical="center"/>
    </xf>
    <xf borderId="43" fillId="2" fontId="1" numFmtId="0" xfId="0" applyAlignment="1" applyBorder="1" applyFont="1">
      <alignment horizontal="center" vertical="center"/>
    </xf>
    <xf borderId="44" fillId="0" fontId="3" numFmtId="0" xfId="0" applyAlignment="1" applyBorder="1" applyFont="1">
      <alignment vertical="center"/>
    </xf>
    <xf borderId="0" fillId="9" fontId="21" numFmtId="0" xfId="0" applyAlignment="1" applyFill="1" applyFont="1">
      <alignment vertical="center"/>
    </xf>
    <xf borderId="0" fillId="0" fontId="21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1" numFmtId="0" xfId="0" applyAlignment="1" applyFont="1">
      <alignment horizontal="left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1"/>
    </xf>
    <xf borderId="45" fillId="0" fontId="4" numFmtId="0" xfId="0" applyAlignment="1" applyBorder="1" applyFont="1">
      <alignment horizontal="center" vertical="center"/>
    </xf>
    <xf borderId="44" fillId="0" fontId="11" numFmtId="0" xfId="0" applyBorder="1" applyFont="1"/>
    <xf borderId="46" fillId="0" fontId="11" numFmtId="0" xfId="0" applyBorder="1" applyFont="1"/>
    <xf borderId="5" fillId="3" fontId="21" numFmtId="0" xfId="0" applyAlignment="1" applyBorder="1" applyFont="1">
      <alignment vertical="center"/>
    </xf>
    <xf borderId="41" fillId="3" fontId="21" numFmtId="0" xfId="0" applyAlignment="1" applyBorder="1" applyFont="1">
      <alignment vertical="center"/>
    </xf>
    <xf borderId="6" fillId="7" fontId="4" numFmtId="0" xfId="0" applyAlignment="1" applyBorder="1" applyFont="1">
      <alignment vertical="center"/>
    </xf>
    <xf borderId="6" fillId="7" fontId="1" numFmtId="0" xfId="0" applyAlignment="1" applyBorder="1" applyFont="1">
      <alignment horizontal="center" shrinkToFit="0" vertical="center" wrapText="0"/>
    </xf>
    <xf borderId="6" fillId="7" fontId="1" numFmtId="0" xfId="0" applyAlignment="1" applyBorder="1" applyFont="1">
      <alignment horizontal="center" shrinkToFit="0" vertical="center" wrapText="1"/>
    </xf>
    <xf borderId="6" fillId="5" fontId="1" numFmtId="0" xfId="0" applyAlignment="1" applyBorder="1" applyFont="1">
      <alignment horizontal="center" shrinkToFit="0" vertical="center" wrapText="0"/>
    </xf>
    <xf borderId="20" fillId="5" fontId="1" numFmtId="0" xfId="0" applyAlignment="1" applyBorder="1" applyFont="1">
      <alignment horizontal="center" shrinkToFit="0" vertical="center" wrapText="0"/>
    </xf>
    <xf borderId="47" fillId="2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6" fillId="0" fontId="3" numFmtId="165" xfId="0" applyAlignment="1" applyBorder="1" applyFont="1" applyNumberFormat="1">
      <alignment vertical="center"/>
    </xf>
    <xf borderId="0" fillId="7" fontId="3" numFmtId="0" xfId="0" applyAlignment="1" applyFont="1">
      <alignment horizontal="center" shrinkToFit="0" vertical="center" wrapText="1"/>
    </xf>
    <xf borderId="6" fillId="0" fontId="3" numFmtId="0" xfId="0" applyAlignment="1" applyBorder="1" applyFont="1">
      <alignment horizontal="right" shrinkToFit="0" vertical="center" wrapText="0"/>
    </xf>
    <xf borderId="6" fillId="0" fontId="3" numFmtId="0" xfId="0" applyAlignment="1" applyBorder="1" applyFont="1">
      <alignment horizontal="center" shrinkToFit="0" vertical="center" wrapText="0"/>
    </xf>
    <xf borderId="20" fillId="0" fontId="3" numFmtId="0" xfId="0" applyAlignment="1" applyBorder="1" applyFont="1">
      <alignment horizontal="center" shrinkToFit="0" vertical="center" wrapText="0"/>
    </xf>
    <xf borderId="21" fillId="0" fontId="11" numFmtId="0" xfId="0" applyBorder="1" applyFont="1"/>
    <xf borderId="6" fillId="0" fontId="3" numFmtId="167" xfId="0" applyAlignment="1" applyBorder="1" applyFont="1" applyNumberFormat="1">
      <alignment horizontal="right" shrinkToFit="0" vertical="center" wrapText="0"/>
    </xf>
    <xf borderId="6" fillId="10" fontId="3" numFmtId="167" xfId="0" applyAlignment="1" applyBorder="1" applyFill="1" applyFont="1" applyNumberFormat="1">
      <alignment horizontal="right" shrinkToFit="0" vertical="center" wrapText="0"/>
    </xf>
    <xf borderId="0" fillId="0" fontId="3" numFmtId="0" xfId="0" applyAlignment="1" applyFont="1">
      <alignment horizontal="center" shrinkToFit="0" vertical="center" wrapText="0"/>
    </xf>
    <xf borderId="6" fillId="7" fontId="3" numFmtId="0" xfId="0" applyAlignment="1" applyBorder="1" applyFont="1">
      <alignment horizontal="center" shrinkToFit="0" vertical="center" wrapText="0"/>
    </xf>
    <xf borderId="45" fillId="0" fontId="3" numFmtId="0" xfId="0" applyAlignment="1" applyBorder="1" applyFont="1">
      <alignment shrinkToFit="0" vertical="center" wrapText="1"/>
    </xf>
    <xf borderId="47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6" fillId="7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left" shrinkToFit="0" vertical="center" wrapText="0"/>
    </xf>
    <xf borderId="7" fillId="0" fontId="3" numFmtId="0" xfId="0" applyAlignment="1" applyBorder="1" applyFont="1">
      <alignment shrinkToFit="0" vertical="center" wrapText="0"/>
    </xf>
    <xf borderId="6" fillId="0" fontId="3" numFmtId="168" xfId="0" applyAlignment="1" applyBorder="1" applyFont="1" applyNumberFormat="1">
      <alignment horizontal="right" shrinkToFit="0" vertical="center" wrapText="0"/>
    </xf>
    <xf borderId="10" fillId="0" fontId="11" numFmtId="0" xfId="0" applyBorder="1" applyFont="1"/>
    <xf borderId="24" fillId="0" fontId="11" numFmtId="0" xfId="0" applyBorder="1" applyFont="1"/>
    <xf borderId="20" fillId="0" fontId="3" numFmtId="0" xfId="0" applyAlignment="1" applyBorder="1" applyFont="1">
      <alignment shrinkToFit="0" vertical="center" wrapText="1"/>
    </xf>
    <xf borderId="9" fillId="0" fontId="11" numFmtId="0" xfId="0" applyBorder="1" applyFont="1"/>
    <xf borderId="6" fillId="0" fontId="1" numFmtId="167" xfId="0" applyAlignment="1" applyBorder="1" applyFont="1" applyNumberFormat="1">
      <alignment horizontal="right" shrinkToFit="0" vertical="center" wrapText="0"/>
    </xf>
    <xf borderId="6" fillId="0" fontId="4" numFmtId="0" xfId="0" applyAlignment="1" applyBorder="1" applyFont="1">
      <alignment vertical="center"/>
    </xf>
    <xf borderId="47" fillId="0" fontId="11" numFmtId="0" xfId="0" applyBorder="1" applyFont="1"/>
    <xf borderId="6" fillId="0" fontId="1" numFmtId="168" xfId="0" applyAlignment="1" applyBorder="1" applyFont="1" applyNumberFormat="1">
      <alignment horizontal="right" shrinkToFit="0" vertical="center" wrapText="0"/>
    </xf>
    <xf borderId="6" fillId="11" fontId="3" numFmtId="0" xfId="0" applyAlignment="1" applyBorder="1" applyFill="1" applyFont="1">
      <alignment shrinkToFit="0" vertical="center" wrapText="0"/>
    </xf>
    <xf borderId="7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6" fillId="4" fontId="3" numFmtId="167" xfId="0" applyAlignment="1" applyBorder="1" applyFont="1" applyNumberFormat="1">
      <alignment horizontal="right" shrinkToFit="0" vertical="center" wrapText="0"/>
    </xf>
    <xf borderId="6" fillId="4" fontId="3" numFmtId="168" xfId="0" applyAlignment="1" applyBorder="1" applyFont="1" applyNumberFormat="1">
      <alignment horizontal="right" shrinkToFit="0" vertical="center" wrapText="0"/>
    </xf>
    <xf borderId="6" fillId="0" fontId="1" numFmtId="0" xfId="0" applyAlignment="1" applyBorder="1" applyFont="1">
      <alignment horizontal="left" shrinkToFit="0" vertical="center" wrapText="0"/>
    </xf>
    <xf borderId="6" fillId="0" fontId="3" numFmtId="167" xfId="0" applyAlignment="1" applyBorder="1" applyFont="1" applyNumberFormat="1">
      <alignment shrinkToFit="0" vertical="center" wrapText="0"/>
    </xf>
    <xf borderId="6" fillId="12" fontId="3" numFmtId="167" xfId="0" applyAlignment="1" applyBorder="1" applyFill="1" applyFont="1" applyNumberFormat="1">
      <alignment horizontal="right" shrinkToFit="0" vertical="center" wrapText="0"/>
    </xf>
    <xf borderId="6" fillId="0" fontId="3" numFmtId="165" xfId="0" applyAlignment="1" applyBorder="1" applyFont="1" applyNumberFormat="1">
      <alignment horizontal="center" shrinkToFit="0" vertical="center" wrapText="0"/>
    </xf>
    <xf borderId="0" fillId="0" fontId="3" numFmtId="0" xfId="0" applyAlignment="1" applyFont="1">
      <alignment shrinkToFit="0" vertical="center" wrapText="0"/>
    </xf>
    <xf borderId="0" fillId="0" fontId="1" numFmtId="0" xfId="0" applyAlignment="1" applyFont="1">
      <alignment shrinkToFit="0" vertical="center" wrapText="0"/>
    </xf>
    <xf borderId="0" fillId="0" fontId="3" numFmtId="168" xfId="0" applyAlignment="1" applyFont="1" applyNumberFormat="1">
      <alignment shrinkToFit="0" vertical="center" wrapText="0"/>
    </xf>
    <xf borderId="45" fillId="0" fontId="3" numFmtId="0" xfId="0" applyAlignment="1" applyBorder="1" applyFont="1">
      <alignment horizontal="right" shrinkToFit="0" vertical="center" wrapText="0"/>
    </xf>
    <xf borderId="44" fillId="0" fontId="3" numFmtId="0" xfId="0" applyAlignment="1" applyBorder="1" applyFont="1">
      <alignment shrinkToFit="0" vertical="center" wrapText="0"/>
    </xf>
    <xf borderId="47" fillId="0" fontId="3" numFmtId="0" xfId="0" applyAlignment="1" applyBorder="1" applyFont="1">
      <alignment shrinkToFit="0" vertical="center" wrapText="0"/>
    </xf>
    <xf borderId="47" fillId="0" fontId="3" numFmtId="0" xfId="0" applyAlignment="1" applyBorder="1" applyFont="1">
      <alignment horizontal="right" shrinkToFit="0" vertical="center" wrapText="0"/>
    </xf>
    <xf borderId="10" fillId="0" fontId="3" numFmtId="0" xfId="0" applyAlignment="1" applyBorder="1" applyFont="1">
      <alignment horizontal="right" shrinkToFit="0" vertical="center" wrapText="0"/>
    </xf>
    <xf borderId="1" fillId="0" fontId="3" numFmtId="0" xfId="0" applyAlignment="1" applyBorder="1" applyFont="1">
      <alignment shrinkToFit="0" vertical="center" wrapText="0"/>
    </xf>
    <xf borderId="46" fillId="0" fontId="3" numFmtId="0" xfId="0" applyAlignment="1" applyBorder="1" applyFont="1">
      <alignment shrinkToFit="0" vertical="center" wrapText="0"/>
    </xf>
    <xf borderId="2" fillId="0" fontId="3" numFmtId="0" xfId="0" applyAlignment="1" applyBorder="1" applyFont="1">
      <alignment shrinkToFit="0" vertical="center" wrapText="0"/>
    </xf>
    <xf borderId="2" fillId="0" fontId="11" numFmtId="0" xfId="0" applyBorder="1" applyFont="1"/>
    <xf borderId="3" fillId="0" fontId="3" numFmtId="0" xfId="0" applyAlignment="1" applyBorder="1" applyFont="1">
      <alignment shrinkToFit="0" vertical="center" wrapText="0"/>
    </xf>
    <xf borderId="48" fillId="0" fontId="22" numFmtId="0" xfId="0" applyAlignment="1" applyBorder="1" applyFont="1">
      <alignment horizontal="center" vertical="center"/>
    </xf>
    <xf borderId="48" fillId="0" fontId="23" numFmtId="169" xfId="0" applyAlignment="1" applyBorder="1" applyFont="1" applyNumberFormat="1">
      <alignment horizontal="center" vertical="center"/>
    </xf>
    <xf borderId="0" fillId="5" fontId="12" numFmtId="0" xfId="0" applyAlignment="1" applyFont="1">
      <alignment vertical="center"/>
    </xf>
    <xf borderId="6" fillId="13" fontId="22" numFmtId="0" xfId="0" applyBorder="1" applyFill="1" applyFont="1"/>
    <xf borderId="0" fillId="6" fontId="23" numFmtId="0" xfId="0" applyAlignment="1" applyFont="1">
      <alignment vertical="center"/>
    </xf>
    <xf borderId="5" fillId="3" fontId="6" numFmtId="0" xfId="0" applyAlignment="1" applyBorder="1" applyFont="1">
      <alignment horizontal="center" vertical="center"/>
    </xf>
    <xf borderId="6" fillId="0" fontId="23" numFmtId="0" xfId="0" applyAlignment="1" applyBorder="1" applyFont="1">
      <alignment horizontal="center" vertical="center"/>
    </xf>
    <xf borderId="6" fillId="0" fontId="23" numFmtId="169" xfId="0" applyAlignment="1" applyBorder="1" applyFont="1" applyNumberFormat="1">
      <alignment horizontal="center" vertical="center"/>
    </xf>
    <xf borderId="6" fillId="0" fontId="23" numFmtId="0" xfId="0" applyAlignment="1" applyBorder="1" applyFont="1">
      <alignment vertical="center"/>
    </xf>
    <xf borderId="0" fillId="0" fontId="23" numFmtId="0" xfId="0" applyAlignment="1" applyFont="1">
      <alignment vertical="center"/>
    </xf>
    <xf borderId="6" fillId="0" fontId="23" numFmtId="0" xfId="0" applyAlignment="1" applyBorder="1" applyFont="1">
      <alignment vertical="center"/>
    </xf>
    <xf borderId="6" fillId="0" fontId="23" numFmtId="0" xfId="0" applyAlignment="1" applyBorder="1" applyFont="1">
      <alignment horizontal="center" vertical="center"/>
    </xf>
    <xf borderId="15" fillId="0" fontId="22" numFmtId="0" xfId="0" applyAlignment="1" applyBorder="1" applyFont="1">
      <alignment horizontal="center" vertical="center"/>
    </xf>
    <xf borderId="6" fillId="0" fontId="12" numFmtId="0" xfId="0" applyAlignment="1" applyBorder="1" applyFont="1">
      <alignment horizontal="center" vertical="center"/>
    </xf>
    <xf borderId="6" fillId="0" fontId="12" numFmtId="0" xfId="0" applyAlignment="1" applyBorder="1" applyFont="1">
      <alignment vertical="center"/>
    </xf>
    <xf borderId="0" fillId="0" fontId="12" numFmtId="0" xfId="0" applyAlignment="1" applyFont="1">
      <alignment vertical="center"/>
    </xf>
    <xf borderId="6" fillId="0" fontId="23" numFmtId="0" xfId="0" applyBorder="1" applyFont="1"/>
    <xf borderId="0" fillId="0" fontId="23" numFmtId="0" xfId="0" applyFont="1"/>
    <xf borderId="6" fillId="2" fontId="23" numFmtId="0" xfId="0" applyAlignment="1" applyBorder="1" applyFont="1">
      <alignment vertical="center"/>
    </xf>
    <xf borderId="6" fillId="14" fontId="23" numFmtId="0" xfId="0" applyAlignment="1" applyBorder="1" applyFill="1" applyFont="1">
      <alignment vertical="center"/>
    </xf>
    <xf borderId="0" fillId="0" fontId="23" numFmtId="0" xfId="0" applyAlignment="1" applyFont="1">
      <alignment vertical="center"/>
    </xf>
    <xf borderId="6" fillId="0" fontId="23" numFmtId="9" xfId="0" applyAlignment="1" applyBorder="1" applyFont="1" applyNumberFormat="1">
      <alignment horizontal="center" vertical="center"/>
    </xf>
    <xf borderId="6" fillId="0" fontId="23" numFmtId="14" xfId="0" applyAlignment="1" applyBorder="1" applyFont="1" applyNumberFormat="1">
      <alignment vertical="center"/>
    </xf>
    <xf borderId="15" fillId="0" fontId="22" numFmtId="9" xfId="0" applyAlignment="1" applyBorder="1" applyFont="1" applyNumberFormat="1">
      <alignment horizontal="center" vertical="center"/>
    </xf>
    <xf borderId="6" fillId="0" fontId="23" numFmtId="0" xfId="0" applyAlignment="1" applyBorder="1" applyFont="1">
      <alignment readingOrder="0" vertical="center"/>
    </xf>
    <xf borderId="6" fillId="0" fontId="23" numFmtId="0" xfId="0" applyAlignment="1" applyBorder="1" applyFont="1">
      <alignment horizontal="center" readingOrder="0" vertical="center"/>
    </xf>
    <xf borderId="6" fillId="0" fontId="23" numFmtId="170" xfId="0" applyAlignment="1" applyBorder="1" applyFont="1" applyNumberFormat="1">
      <alignment vertical="center"/>
    </xf>
    <xf borderId="6" fillId="0" fontId="23" numFmtId="171" xfId="0" applyAlignment="1" applyBorder="1" applyFont="1" applyNumberFormat="1">
      <alignment readingOrder="0" vertical="center"/>
    </xf>
    <xf borderId="0" fillId="0" fontId="5" numFmtId="0" xfId="0" applyAlignment="1" applyFont="1">
      <alignment readingOrder="0"/>
    </xf>
    <xf borderId="6" fillId="0" fontId="23" numFmtId="169" xfId="0" applyAlignment="1" applyBorder="1" applyFont="1" applyNumberFormat="1">
      <alignment horizontal="center" readingOrder="0" vertical="center"/>
    </xf>
    <xf borderId="6" fillId="0" fontId="23" numFmtId="170" xfId="0" applyAlignment="1" applyBorder="1" applyFont="1" applyNumberFormat="1">
      <alignment readingOrder="0" vertical="center"/>
    </xf>
  </cellXfs>
  <cellStyles count="1">
    <cellStyle xfId="0" name="Normal" builtinId="0"/>
  </cellStyles>
  <dxfs count="11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  <color rgb="FFFF0000"/>
      </font>
      <fill>
        <patternFill patternType="none"/>
      </fill>
      <border/>
    </dxf>
    <dxf>
      <font>
        <color rgb="FF7F7F7F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A5A5A5"/>
          <bgColor rgb="FFA5A5A5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  <tableStyles count="3">
    <tableStyle count="4" pivot="0" name="BacklogPlanejado-style">
      <tableStyleElement dxfId="7" type="headerRow"/>
      <tableStyleElement dxfId="8" type="firstRowStripe"/>
      <tableStyleElement dxfId="8" type="secondRowStripe"/>
      <tableStyleElement dxfId="8" type="totalRow"/>
    </tableStyle>
    <tableStyle count="4" pivot="0" name="BacklogRealizado-style">
      <tableStyleElement dxfId="7" type="headerRow"/>
      <tableStyleElement dxfId="8" type="firstRowStripe"/>
      <tableStyleElement dxfId="8" type="secondRowStripe"/>
      <tableStyleElement dxfId="8" type="totalRow"/>
    </tableStyle>
    <tableStyle count="4" pivot="0" name="SprintPlanning-style">
      <tableStyleElement dxfId="7" type="headerRow"/>
      <tableStyleElement dxfId="8" type="firstRowStripe"/>
      <tableStyleElement dxfId="8" type="secondRowStripe"/>
      <tableStyleElement dxfId="8" type="totalRow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G100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BacklogPlanejad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totalsRowCount="1" ref="A2:J100" displayName="Table_2" id="2">
  <tableColumns count="10">
    <tableColumn name="Sprint" id="1"/>
    <tableColumn name="ID" id="2"/>
    <tableColumn name="Estória" id="3"/>
    <tableColumn name="Prioridade" id="4"/>
    <tableColumn name="Pontos" id="5"/>
    <tableColumn name="Responsável" id="6"/>
    <tableColumn name="Status" id="7"/>
    <tableColumn name="Encerramento" id="8"/>
    <tableColumn name="Observações" id="9"/>
    <tableColumn totalsRowFunction="custom" name="Escopo Mantido" id="10"/>
  </tableColumns>
  <tableStyleInfo name="BacklogRealizado-style" showColumnStripes="0" showFirstColumn="1" showLastColumn="1" showRowStripes="1"/>
</table>
</file>

<file path=xl/tables/table3.xml><?xml version="1.0" encoding="utf-8"?>
<table xmlns="http://schemas.openxmlformats.org/spreadsheetml/2006/main" ref="A2:I100" displayName="Table_3" id="3">
  <tableColumns count="9">
    <tableColumn name="Sprint" id="1"/>
    <tableColumn name="ID" id="2"/>
    <tableColumn name="Estória" id="3"/>
    <tableColumn name="Prioridade" id="4"/>
    <tableColumn name="Pontos" id="5"/>
    <tableColumn name="Responsável" id="6"/>
    <tableColumn name="Status" id="7"/>
    <tableColumn name="Encerramento" id="8"/>
    <tableColumn name="Observações" id="9"/>
  </tableColumns>
  <tableStyleInfo name="SprintPlannin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3.57"/>
    <col customWidth="1" min="3" max="3" width="24.0"/>
    <col customWidth="1" min="4" max="24" width="8.71"/>
  </cols>
  <sheetData>
    <row r="1" ht="15.75" customHeight="1">
      <c r="A1" s="1" t="str">
        <f>IFERROR(__xludf.DUMMYFUNCTION("IMPORTRANGE(id_parametros,""Instruções!A:E"")"),"Legenda:")</f>
        <v>Legenda: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4"/>
      <c r="B2" s="5" t="str">
        <f>IFERROR(__xludf.DUMMYFUNCTION("""COMPUTED_VALUE"""),"calculado ou fixo")</f>
        <v>calculado ou fixo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15.75" customHeight="1">
      <c r="A3" s="4"/>
      <c r="B3" s="6" t="str">
        <f>IFERROR(__xludf.DUMMYFUNCTION("""COMPUTED_VALUE"""),"valor padrão, que pode ser modificado pelo orientador")</f>
        <v>valor padrão, que pode ser modificado pelo orientador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15.75" customHeight="1">
      <c r="A4" s="4"/>
      <c r="B4" s="7" t="str">
        <f>IFERROR(__xludf.DUMMYFUNCTION("""COMPUTED_VALUE"""),"gerado automaticamente")</f>
        <v>gerado automaticamente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15.75" customHeight="1">
      <c r="A5" s="4"/>
      <c r="B5" s="8" t="str">
        <f>IFERROR(__xludf.DUMMYFUNCTION("""COMPUTED_VALUE"""),"entrada manual pelo aluno ou orientador")</f>
        <v>entrada manual pelo aluno ou orientador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15.75" customHeight="1">
      <c r="A6" s="1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ht="15.75" customHeight="1">
      <c r="A7" s="1" t="str">
        <f>IFERROR(__xludf.DUMMYFUNCTION("""COMPUTED_VALUE"""),"Alunos:")</f>
        <v>Alunos: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ht="15.75" customHeight="1">
      <c r="A8" s="3"/>
      <c r="B8" s="9" t="str">
        <f>IFERROR(__xludf.DUMMYFUNCTION("""COMPUTED_VALUE"""),"Preencher apenas a aba SprintPlanning: escrever estórias da sprint atual (a ser iniciada ou em andamento) e futuras.")</f>
        <v>Preencher apenas a aba SprintPlanning: escrever estórias da sprint atual (a ser iniciada ou em andamento) e futuras.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ht="15.75" customHeight="1">
      <c r="A9" s="3"/>
      <c r="B9" s="9" t="str">
        <f>IFERROR(__xludf.DUMMYFUNCTION("""COMPUTED_VALUE"""),"Pontos equivalem a horas de trabalho: 1 pto ≈ 1h.")</f>
        <v>Pontos equivalem a horas de trabalho: 1 pto ≈ 1h.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15.75" customHeight="1">
      <c r="A10" s="3"/>
      <c r="B10" s="9" t="str">
        <f>IFERROR(__xludf.DUMMYFUNCTION("""COMPUTED_VALUE"""),"Atentar-se para a capacidade da equipe (Pontos por aluno por sprint).")</f>
        <v>Atentar-se para a capacidade da equipe (Pontos por aluno por sprint).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5.75" customHeight="1">
      <c r="A11" s="3"/>
      <c r="B11" s="9" t="str">
        <f>IFERROR(__xludf.DUMMYFUNCTION("""COMPUTED_VALUE"""),"Planejamento da próxima sprint: preencher colunas Sprint, ID, Estória, Prioridade, Pontos, Responsável (avaliação de planejamento).")</f>
        <v>Planejamento da próxima sprint: preencher colunas Sprint, ID, Estória, Prioridade, Pontos, Responsável (avaliação de planejamento).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5.75" customHeight="1">
      <c r="A12" s="3"/>
      <c r="B12" s="9" t="str">
        <f>IFERROR(__xludf.DUMMYFUNCTION("""COMPUTED_VALUE"""),"Execução da sprint atual: preencher colunas Status e Conclusão (entre as 3 semanas de encontros).")</f>
        <v>Execução da sprint atual: preencher colunas Status e Conclusão (entre as 3 semanas de encontros).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5.75" customHeight="1">
      <c r="A13" s="3"/>
      <c r="B13" s="9" t="str">
        <f>IFERROR(__xludf.DUMMYFUNCTION("""COMPUTED_VALUE"""),"Encerramento da sprint atual: atualizar colunas Status e Conclusão (avaliação de execução).")</f>
        <v>Encerramento da sprint atual: atualizar colunas Status e Conclusão (avaliação de execução).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5.75" customHeight="1">
      <c r="A14" s="3"/>
      <c r="B14" s="9" t="str">
        <f>IFERROR(__xludf.DUMMYFUNCTION("""COMPUTED_VALUE"""),"Encerramento da última sprint (3) para alunos de 3º e 7º semestres: planejar Sprint para início do 4º ou 8º semestre (será a Sprint 4 no próximo semestre).")</f>
        <v>Encerramento da última sprint (3) para alunos de 3º e 7º semestres: planejar Sprint para início do 4º ou 8º semestre (será a Sprint 4 no próximo semestre).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5.75" customHeight="1">
      <c r="A16" s="10" t="str">
        <f>IFERROR(__xludf.DUMMYFUNCTION("""COMPUTED_VALUE"""),"Comum:")</f>
        <v>Comum:</v>
      </c>
      <c r="B16" s="3"/>
      <c r="C16" s="11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5.75" customHeight="1">
      <c r="A17" s="1"/>
      <c r="B17" s="3" t="str">
        <f>IFERROR(__xludf.DUMMYFUNCTION("""COMPUTED_VALUE"""),"NÃO incluir linhas acima de onde já existem linhas.")</f>
        <v>NÃO incluir linhas acima de onde já existem linhas.</v>
      </c>
      <c r="C17" s="9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5.75" customHeight="1">
      <c r="A18" s="1"/>
      <c r="B18" s="3" t="str">
        <f>IFERROR(__xludf.DUMMYFUNCTION("""COMPUTED_VALUE"""),"NÃO incluir colunas à esquerda de onde já existem colunas.")</f>
        <v>NÃO incluir colunas à esquerda de onde já existem colunas.</v>
      </c>
      <c r="C18" s="12"/>
      <c r="D18" s="9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5.75" customHeight="1">
      <c r="A19" s="1"/>
      <c r="B19" s="11"/>
      <c r="C19" s="11"/>
      <c r="D19" s="9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5.75" customHeight="1">
      <c r="A20" s="13" t="str">
        <f>IFERROR(__xludf.DUMMYFUNCTION("""COMPUTED_VALUE"""),"Orientadores:")</f>
        <v>Orientadores:</v>
      </c>
      <c r="B20" s="14"/>
      <c r="C20" s="3"/>
      <c r="D20" s="9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5.75" customHeight="1">
      <c r="A21" s="3"/>
      <c r="B21" s="3" t="str">
        <f>IFERROR(__xludf.DUMMYFUNCTION("""COMPUTED_VALUE"""),"Identificação")</f>
        <v>Identificação</v>
      </c>
      <c r="C21" s="11" t="str">
        <f>IFERROR(__xludf.DUMMYFUNCTION("""COMPUTED_VALUE"""),"Confirmar Semana de encontro e revisar título e demais atributos do projeto (descrição, cliente, hiperlink, orientador)")</f>
        <v>Confirmar Semana de encontro e revisar título e demais atributos do projeto (descrição, cliente, hiperlink, orientador)</v>
      </c>
      <c r="D21" s="9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5.75" customHeight="1">
      <c r="A22" s="3"/>
      <c r="B22" s="3" t="str">
        <f>IFERROR(__xludf.DUMMYFUNCTION("""COMPUTED_VALUE"""),"Notas_Frequência")</f>
        <v>Notas_Frequência</v>
      </c>
      <c r="C22" s="11" t="str">
        <f>IFERROR(__xludf.DUMMYFUNCTION("""COMPUTED_VALUE"""),"Frequência")</f>
        <v>Frequência</v>
      </c>
      <c r="D22" s="9" t="str">
        <f>IFERROR(__xludf.DUMMYFUNCTION("""COMPUTED_VALUE"""),"Confirmar presença dos alunos e eventuais trocas de grupos")</f>
        <v>Confirmar presença dos alunos e eventuais trocas de grupos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5.75" customHeight="1">
      <c r="A23" s="3"/>
      <c r="B23" s="11"/>
      <c r="C23" s="11" t="str">
        <f>IFERROR(__xludf.DUMMYFUNCTION("""COMPUTED_VALUE"""),"Avaliação do Documento")</f>
        <v>Avaliação do Documento</v>
      </c>
      <c r="D23" s="9" t="str">
        <f>IFERROR(__xludf.DUMMYFUNCTION("""COMPUTED_VALUE"""),"Incluir notas de avaliação dos artigos (não atualizar nos encontros)")</f>
        <v>Incluir notas de avaliação dos artigos (não atualizar nos encontros)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5.75" customHeight="1">
      <c r="A24" s="3"/>
      <c r="B24" s="3"/>
      <c r="C24" s="9" t="str">
        <f>IFERROR(__xludf.DUMMYFUNCTION("""COMPUTED_VALUE"""),"Sprint Review")</f>
        <v>Sprint Review</v>
      </c>
      <c r="D24" s="11" t="str">
        <f>IFERROR(__xludf.DUMMYFUNCTION("""COMPUTED_VALUE"""),"Avaliação do encontro: execução da última Sprint e planejamento da próxima Sprint, com avaliação do andamento do projeto (qualidade)")</f>
        <v>Avaliação do encontro: execução da última Sprint e planejamento da próxima Sprint, com avaliação do andamento do projeto (qualidade)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5.75" customHeight="1">
      <c r="A25" s="3"/>
      <c r="B25" s="3"/>
      <c r="C25" s="9" t="str">
        <f>IFERROR(__xludf.DUMMYFUNCTION("""COMPUTED_VALUE"""),"Artefatos de Software")</f>
        <v>Artefatos de Software</v>
      </c>
      <c r="D25" s="11" t="str">
        <f>IFERROR(__xludf.DUMMYFUNCTION("""COMPUTED_VALUE"""),"Avaliação dos artefatos de engenharia de software apresentados pelo grupo")</f>
        <v>Avaliação dos artefatos de engenharia de software apresentados pelo grupo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5.75" customHeight="1">
      <c r="A26" s="3"/>
      <c r="B26" s="3"/>
      <c r="C26" s="3" t="str">
        <f>IFERROR(__xludf.DUMMYFUNCTION("""COMPUTED_VALUE"""),"Avaliação de Pôster")</f>
        <v>Avaliação de Pôster</v>
      </c>
      <c r="D26" s="3" t="str">
        <f>IFERROR(__xludf.DUMMYFUNCTION("""COMPUTED_VALUE"""),"Avaliação do pôster (banner) antes do Simpacta (alunos formandos)")</f>
        <v>Avaliação do pôster (banner) antes do Simpacta (alunos formandos)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5.75" customHeight="1">
      <c r="A27" s="3"/>
      <c r="B27" s="3"/>
      <c r="C27" s="3" t="str">
        <f>IFERROR(__xludf.DUMMYFUNCTION("""COMPUTED_VALUE"""),"Vídeo")</f>
        <v>Vídeo</v>
      </c>
      <c r="D27" s="3" t="str">
        <f>IFERROR(__xludf.DUMMYFUNCTION("""COMPUTED_VALUE"""),"Avaliação do vídeo (prova para alunos não formandos)")</f>
        <v>Avaliação do vídeo (prova para alunos não formandos)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5.75" customHeight="1">
      <c r="A28" s="3"/>
      <c r="B28" s="3" t="str">
        <f>IFERROR(__xludf.DUMMYFUNCTION("""COMPUTED_VALUE"""),"BackLogPlanejado")</f>
        <v>BackLogPlanejado</v>
      </c>
      <c r="C28" s="3" t="str">
        <f>IFERROR(__xludf.DUMMYFUNCTION("""COMPUTED_VALUE"""),"Copiar histórias novas (Sprint futura) da SprintPlanning (até coluna ""Responsável"" apenas)")</f>
        <v>Copiar histórias novas (Sprint futura) da SprintPlanning (até coluna "Responsável" apenas)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5.75" customHeight="1">
      <c r="A29" s="3"/>
      <c r="B29" s="3" t="str">
        <f>IFERROR(__xludf.DUMMYFUNCTION("""COMPUTED_VALUE"""),"BacklogRealizado")</f>
        <v>BacklogRealizado</v>
      </c>
      <c r="C29" s="3" t="str">
        <f>IFERROR(__xludf.DUMMYFUNCTION("""COMPUTED_VALUE"""),"Copiar histórias executadas (Sprint anterior) da SprintPlanning (até coluna ""Encerramento"")")</f>
        <v>Copiar histórias executadas (Sprint anterior) da SprintPlanning (até coluna "Encerramento")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5.75" customHeight="1">
      <c r="A30" s="3"/>
      <c r="B30" s="3" t="str">
        <f>IFERROR(__xludf.DUMMYFUNCTION("""COMPUTED_VALUE"""),"Parâmetros")</f>
        <v>Parâmetros</v>
      </c>
      <c r="C30" s="3" t="str">
        <f>IFERROR(__xludf.DUMMYFUNCTION("""COMPUTED_VALUE"""),"Se precisar alterar, deve-se ir na planilha de origem de parâmetros")</f>
        <v>Se precisar alterar, deve-se ir na planilha de origem de parâmetros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5.75" customHeight="1">
      <c r="A231" s="14"/>
      <c r="B231" s="14"/>
      <c r="C231" s="14"/>
      <c r="D231" s="14"/>
      <c r="E231" s="14"/>
    </row>
    <row r="232" ht="15.75" customHeight="1">
      <c r="A232" s="14"/>
      <c r="B232" s="14"/>
      <c r="C232" s="14"/>
      <c r="D232" s="14"/>
      <c r="E232" s="14"/>
    </row>
    <row r="233" ht="15.75" customHeight="1">
      <c r="A233" s="14"/>
      <c r="B233" s="14"/>
      <c r="C233" s="14"/>
      <c r="D233" s="14"/>
      <c r="E233" s="14"/>
    </row>
    <row r="234" ht="15.75" customHeight="1">
      <c r="A234" s="14"/>
      <c r="B234" s="14"/>
      <c r="C234" s="14"/>
      <c r="D234" s="14"/>
      <c r="E234" s="14"/>
    </row>
    <row r="235" ht="15.75" customHeight="1">
      <c r="A235" s="14"/>
      <c r="B235" s="14"/>
      <c r="C235" s="14"/>
      <c r="D235" s="14"/>
      <c r="E235" s="14"/>
    </row>
    <row r="236" ht="15.75" customHeight="1">
      <c r="A236" s="14"/>
      <c r="B236" s="14"/>
      <c r="C236" s="14"/>
      <c r="D236" s="14"/>
      <c r="E236" s="14"/>
    </row>
    <row r="237" ht="15.75" customHeight="1">
      <c r="A237" s="14"/>
      <c r="B237" s="14"/>
      <c r="C237" s="14"/>
      <c r="D237" s="14"/>
      <c r="E237" s="14"/>
    </row>
    <row r="238" ht="15.75" customHeight="1">
      <c r="A238" s="14"/>
      <c r="B238" s="14"/>
      <c r="C238" s="14"/>
      <c r="D238" s="14"/>
      <c r="E238" s="14"/>
    </row>
    <row r="239" ht="15.75" customHeight="1">
      <c r="A239" s="14"/>
      <c r="B239" s="14"/>
      <c r="C239" s="14"/>
      <c r="D239" s="14"/>
      <c r="E239" s="14"/>
    </row>
    <row r="240" ht="15.75" customHeight="1">
      <c r="A240" s="14"/>
      <c r="B240" s="14"/>
      <c r="C240" s="14"/>
      <c r="D240" s="14"/>
      <c r="E240" s="14"/>
    </row>
    <row r="241" ht="15.75" customHeight="1">
      <c r="A241" s="14"/>
      <c r="B241" s="14"/>
      <c r="C241" s="14"/>
      <c r="D241" s="14"/>
      <c r="E241" s="14"/>
    </row>
    <row r="242" ht="15.75" customHeight="1">
      <c r="A242" s="14"/>
      <c r="B242" s="14"/>
      <c r="C242" s="14"/>
      <c r="D242" s="14"/>
      <c r="E242" s="14"/>
    </row>
    <row r="243" ht="15.75" customHeight="1">
      <c r="A243" s="14"/>
      <c r="B243" s="14"/>
      <c r="C243" s="14"/>
      <c r="D243" s="14"/>
      <c r="E243" s="14"/>
    </row>
    <row r="244" ht="15.75" customHeight="1">
      <c r="A244" s="14"/>
      <c r="B244" s="14"/>
      <c r="C244" s="14"/>
      <c r="D244" s="14"/>
      <c r="E244" s="14"/>
    </row>
    <row r="245" ht="15.75" customHeight="1">
      <c r="A245" s="14"/>
      <c r="B245" s="14"/>
      <c r="C245" s="14"/>
      <c r="D245" s="14"/>
      <c r="E245" s="14"/>
    </row>
    <row r="246" ht="15.75" customHeight="1">
      <c r="A246" s="14"/>
      <c r="B246" s="14"/>
      <c r="C246" s="14"/>
      <c r="D246" s="14"/>
      <c r="E246" s="14"/>
    </row>
    <row r="247" ht="15.75" customHeight="1">
      <c r="A247" s="14"/>
      <c r="B247" s="14"/>
      <c r="C247" s="14"/>
      <c r="D247" s="14"/>
      <c r="E247" s="14"/>
    </row>
    <row r="248" ht="15.75" customHeight="1">
      <c r="A248" s="14"/>
      <c r="B248" s="14"/>
      <c r="C248" s="14"/>
      <c r="D248" s="14"/>
      <c r="E248" s="14"/>
    </row>
    <row r="249" ht="15.75" customHeight="1">
      <c r="A249" s="14"/>
      <c r="B249" s="14"/>
      <c r="C249" s="14"/>
      <c r="D249" s="14"/>
      <c r="E249" s="14"/>
    </row>
    <row r="250" ht="15.75" customHeight="1">
      <c r="A250" s="14"/>
      <c r="B250" s="14"/>
      <c r="C250" s="14"/>
      <c r="D250" s="14"/>
      <c r="E250" s="14"/>
    </row>
    <row r="251" ht="15.75" customHeight="1">
      <c r="A251" s="14"/>
      <c r="B251" s="14"/>
      <c r="C251" s="14"/>
      <c r="D251" s="14"/>
      <c r="E251" s="14"/>
    </row>
    <row r="252" ht="15.75" customHeight="1">
      <c r="A252" s="14"/>
      <c r="B252" s="14"/>
      <c r="C252" s="14"/>
      <c r="D252" s="14"/>
      <c r="E252" s="14"/>
    </row>
    <row r="253" ht="15.75" customHeight="1">
      <c r="A253" s="14"/>
      <c r="B253" s="14"/>
      <c r="C253" s="14"/>
      <c r="D253" s="14"/>
      <c r="E253" s="14"/>
    </row>
    <row r="254" ht="15.75" customHeight="1">
      <c r="A254" s="14"/>
      <c r="B254" s="14"/>
      <c r="C254" s="14"/>
      <c r="D254" s="14"/>
      <c r="E254" s="14"/>
    </row>
    <row r="255" ht="15.75" customHeight="1">
      <c r="A255" s="14"/>
      <c r="B255" s="14"/>
      <c r="C255" s="14"/>
      <c r="D255" s="14"/>
      <c r="E255" s="14"/>
    </row>
    <row r="256" ht="15.75" customHeight="1">
      <c r="A256" s="14"/>
      <c r="B256" s="14"/>
      <c r="C256" s="14"/>
      <c r="D256" s="14"/>
      <c r="E256" s="14"/>
    </row>
    <row r="257" ht="15.75" customHeight="1">
      <c r="A257" s="14"/>
      <c r="B257" s="14"/>
      <c r="C257" s="14"/>
      <c r="D257" s="14"/>
      <c r="E257" s="14"/>
    </row>
    <row r="258" ht="15.75" customHeight="1">
      <c r="A258" s="14"/>
      <c r="B258" s="14"/>
      <c r="C258" s="14"/>
      <c r="D258" s="14"/>
      <c r="E258" s="14"/>
    </row>
    <row r="259" ht="15.75" customHeight="1">
      <c r="A259" s="14"/>
      <c r="B259" s="14"/>
      <c r="C259" s="14"/>
      <c r="D259" s="14"/>
      <c r="E259" s="14"/>
    </row>
    <row r="260" ht="15.75" customHeight="1">
      <c r="A260" s="14"/>
      <c r="B260" s="14"/>
      <c r="C260" s="14"/>
      <c r="D260" s="14"/>
      <c r="E260" s="14"/>
    </row>
    <row r="261" ht="15.75" customHeight="1">
      <c r="A261" s="14"/>
      <c r="B261" s="14"/>
      <c r="C261" s="14"/>
      <c r="D261" s="14"/>
      <c r="E261" s="14"/>
    </row>
    <row r="262" ht="15.75" customHeight="1">
      <c r="A262" s="14"/>
      <c r="B262" s="14"/>
      <c r="C262" s="14"/>
      <c r="D262" s="14"/>
      <c r="E262" s="14"/>
    </row>
    <row r="263" ht="15.75" customHeight="1">
      <c r="A263" s="14"/>
      <c r="B263" s="14"/>
      <c r="C263" s="14"/>
      <c r="D263" s="14"/>
      <c r="E263" s="14"/>
    </row>
    <row r="264" ht="15.75" customHeight="1">
      <c r="A264" s="14"/>
      <c r="B264" s="14"/>
      <c r="C264" s="14"/>
      <c r="D264" s="14"/>
      <c r="E264" s="14"/>
    </row>
    <row r="265" ht="15.75" customHeight="1">
      <c r="A265" s="14"/>
      <c r="B265" s="14"/>
      <c r="C265" s="14"/>
      <c r="D265" s="14"/>
      <c r="E265" s="14"/>
    </row>
    <row r="266" ht="15.75" customHeight="1">
      <c r="A266" s="14"/>
      <c r="B266" s="14"/>
      <c r="C266" s="14"/>
      <c r="D266" s="14"/>
      <c r="E266" s="14"/>
    </row>
    <row r="267" ht="15.75" customHeight="1">
      <c r="A267" s="14"/>
      <c r="B267" s="14"/>
      <c r="C267" s="14"/>
      <c r="D267" s="14"/>
      <c r="E267" s="14"/>
    </row>
    <row r="268" ht="15.75" customHeight="1">
      <c r="A268" s="14"/>
      <c r="B268" s="14"/>
      <c r="C268" s="14"/>
      <c r="D268" s="14"/>
      <c r="E268" s="14"/>
    </row>
    <row r="269" ht="15.75" customHeight="1">
      <c r="A269" s="14"/>
      <c r="B269" s="14"/>
      <c r="C269" s="14"/>
      <c r="D269" s="14"/>
      <c r="E269" s="14"/>
    </row>
    <row r="270" ht="15.75" customHeight="1">
      <c r="A270" s="14"/>
      <c r="B270" s="14"/>
      <c r="C270" s="14"/>
      <c r="D270" s="14"/>
      <c r="E270" s="14"/>
    </row>
    <row r="271" ht="15.75" customHeight="1">
      <c r="A271" s="14"/>
      <c r="B271" s="14"/>
      <c r="C271" s="14"/>
      <c r="D271" s="14"/>
      <c r="E271" s="14"/>
    </row>
    <row r="272" ht="15.75" customHeight="1">
      <c r="A272" s="14"/>
      <c r="B272" s="14"/>
      <c r="C272" s="14"/>
      <c r="D272" s="14"/>
      <c r="E272" s="14"/>
    </row>
    <row r="273" ht="15.75" customHeight="1">
      <c r="A273" s="14"/>
      <c r="B273" s="14"/>
      <c r="C273" s="14"/>
      <c r="D273" s="14"/>
      <c r="E273" s="14"/>
    </row>
    <row r="274" ht="15.75" customHeight="1">
      <c r="A274" s="14"/>
      <c r="B274" s="14"/>
      <c r="C274" s="14"/>
      <c r="D274" s="14"/>
      <c r="E274" s="14"/>
    </row>
    <row r="275" ht="15.75" customHeight="1">
      <c r="A275" s="14"/>
      <c r="B275" s="14"/>
      <c r="C275" s="14"/>
      <c r="D275" s="14"/>
      <c r="E275" s="14"/>
    </row>
    <row r="276" ht="15.75" customHeight="1">
      <c r="A276" s="14"/>
      <c r="B276" s="14"/>
      <c r="C276" s="14"/>
      <c r="D276" s="14"/>
      <c r="E276" s="14"/>
    </row>
    <row r="277" ht="15.75" customHeight="1">
      <c r="A277" s="14"/>
      <c r="B277" s="14"/>
      <c r="C277" s="14"/>
      <c r="D277" s="14"/>
      <c r="E277" s="14"/>
    </row>
    <row r="278" ht="15.75" customHeight="1">
      <c r="A278" s="14"/>
      <c r="B278" s="14"/>
      <c r="C278" s="14"/>
      <c r="D278" s="14"/>
      <c r="E278" s="14"/>
    </row>
    <row r="279" ht="15.75" customHeight="1">
      <c r="A279" s="14"/>
      <c r="B279" s="14"/>
      <c r="C279" s="14"/>
      <c r="D279" s="14"/>
      <c r="E279" s="14"/>
    </row>
    <row r="280" ht="15.75" customHeight="1">
      <c r="A280" s="14"/>
      <c r="B280" s="14"/>
      <c r="C280" s="14"/>
      <c r="D280" s="14"/>
      <c r="E280" s="14"/>
    </row>
    <row r="281" ht="15.75" customHeight="1">
      <c r="A281" s="14"/>
      <c r="B281" s="14"/>
      <c r="C281" s="14"/>
      <c r="D281" s="14"/>
      <c r="E281" s="14"/>
    </row>
    <row r="282" ht="15.75" customHeight="1">
      <c r="A282" s="14"/>
      <c r="B282" s="14"/>
      <c r="C282" s="14"/>
      <c r="D282" s="14"/>
      <c r="E282" s="14"/>
    </row>
    <row r="283" ht="15.75" customHeight="1">
      <c r="A283" s="14"/>
      <c r="B283" s="14"/>
      <c r="C283" s="14"/>
      <c r="D283" s="14"/>
      <c r="E283" s="14"/>
    </row>
    <row r="284" ht="15.75" customHeight="1">
      <c r="A284" s="14"/>
      <c r="B284" s="14"/>
      <c r="C284" s="14"/>
      <c r="D284" s="14"/>
      <c r="E284" s="14"/>
    </row>
    <row r="285" ht="15.75" customHeight="1">
      <c r="A285" s="14"/>
      <c r="B285" s="14"/>
      <c r="C285" s="14"/>
      <c r="D285" s="14"/>
      <c r="E285" s="14"/>
    </row>
    <row r="286" ht="15.75" customHeight="1">
      <c r="A286" s="14"/>
      <c r="B286" s="14"/>
      <c r="C286" s="14"/>
      <c r="D286" s="14"/>
      <c r="E286" s="14"/>
    </row>
    <row r="287" ht="15.75" customHeight="1">
      <c r="A287" s="14"/>
      <c r="B287" s="14"/>
      <c r="C287" s="14"/>
      <c r="D287" s="14"/>
      <c r="E287" s="14"/>
    </row>
    <row r="288" ht="15.75" customHeight="1">
      <c r="A288" s="14"/>
      <c r="B288" s="14"/>
      <c r="C288" s="14"/>
      <c r="D288" s="14"/>
      <c r="E288" s="14"/>
    </row>
    <row r="289" ht="15.75" customHeight="1">
      <c r="A289" s="14"/>
      <c r="B289" s="14"/>
      <c r="C289" s="14"/>
      <c r="D289" s="14"/>
      <c r="E289" s="14"/>
    </row>
    <row r="290" ht="15.75" customHeight="1">
      <c r="A290" s="14"/>
      <c r="B290" s="14"/>
      <c r="C290" s="14"/>
      <c r="D290" s="14"/>
      <c r="E290" s="14"/>
    </row>
    <row r="291" ht="15.75" customHeight="1">
      <c r="A291" s="14"/>
      <c r="B291" s="14"/>
      <c r="C291" s="14"/>
      <c r="D291" s="14"/>
      <c r="E291" s="14"/>
    </row>
    <row r="292" ht="15.75" customHeight="1">
      <c r="A292" s="14"/>
      <c r="B292" s="14"/>
      <c r="C292" s="14"/>
      <c r="D292" s="14"/>
      <c r="E292" s="14"/>
    </row>
    <row r="293" ht="15.75" customHeight="1">
      <c r="A293" s="14"/>
      <c r="B293" s="14"/>
      <c r="C293" s="14"/>
      <c r="D293" s="14"/>
      <c r="E293" s="14"/>
    </row>
    <row r="294" ht="15.75" customHeight="1">
      <c r="A294" s="14"/>
      <c r="B294" s="14"/>
      <c r="C294" s="14"/>
      <c r="D294" s="14"/>
      <c r="E294" s="14"/>
    </row>
    <row r="295" ht="15.75" customHeight="1">
      <c r="A295" s="14"/>
      <c r="B295" s="14"/>
      <c r="C295" s="14"/>
      <c r="D295" s="14"/>
      <c r="E295" s="14"/>
    </row>
    <row r="296" ht="15.75" customHeight="1">
      <c r="A296" s="14"/>
      <c r="B296" s="14"/>
      <c r="C296" s="14"/>
      <c r="D296" s="14"/>
      <c r="E296" s="14"/>
    </row>
    <row r="297" ht="15.75" customHeight="1">
      <c r="A297" s="14"/>
      <c r="B297" s="14"/>
      <c r="C297" s="14"/>
      <c r="D297" s="14"/>
      <c r="E297" s="14"/>
    </row>
    <row r="298" ht="15.75" customHeight="1">
      <c r="A298" s="14"/>
      <c r="B298" s="14"/>
      <c r="C298" s="14"/>
      <c r="D298" s="14"/>
      <c r="E298" s="14"/>
    </row>
    <row r="299" ht="15.75" customHeight="1">
      <c r="A299" s="14"/>
      <c r="B299" s="14"/>
      <c r="C299" s="14"/>
      <c r="D299" s="14"/>
      <c r="E299" s="14"/>
    </row>
    <row r="300" ht="15.75" customHeight="1">
      <c r="A300" s="14"/>
      <c r="B300" s="14"/>
      <c r="C300" s="14"/>
      <c r="D300" s="14"/>
      <c r="E300" s="14"/>
    </row>
    <row r="301" ht="15.75" customHeight="1">
      <c r="A301" s="14"/>
      <c r="B301" s="14"/>
      <c r="C301" s="14"/>
      <c r="D301" s="14"/>
      <c r="E301" s="14"/>
    </row>
    <row r="302" ht="15.75" customHeight="1">
      <c r="A302" s="14"/>
      <c r="B302" s="14"/>
      <c r="C302" s="14"/>
      <c r="D302" s="14"/>
      <c r="E302" s="14"/>
    </row>
    <row r="303" ht="15.75" customHeight="1">
      <c r="A303" s="14"/>
      <c r="B303" s="14"/>
      <c r="C303" s="14"/>
      <c r="D303" s="14"/>
      <c r="E303" s="14"/>
    </row>
    <row r="304" ht="15.75" customHeight="1">
      <c r="A304" s="14"/>
      <c r="B304" s="14"/>
      <c r="C304" s="14"/>
      <c r="D304" s="14"/>
      <c r="E304" s="14"/>
    </row>
    <row r="305" ht="15.75" customHeight="1">
      <c r="A305" s="14"/>
      <c r="B305" s="14"/>
      <c r="C305" s="14"/>
      <c r="D305" s="14"/>
      <c r="E305" s="14"/>
    </row>
    <row r="306" ht="15.75" customHeight="1">
      <c r="A306" s="14"/>
      <c r="B306" s="14"/>
      <c r="C306" s="14"/>
      <c r="D306" s="14"/>
      <c r="E306" s="14"/>
    </row>
    <row r="307" ht="15.75" customHeight="1">
      <c r="A307" s="14"/>
      <c r="B307" s="14"/>
      <c r="C307" s="14"/>
      <c r="D307" s="14"/>
      <c r="E307" s="14"/>
    </row>
    <row r="308" ht="15.75" customHeight="1">
      <c r="A308" s="14"/>
      <c r="B308" s="14"/>
      <c r="C308" s="14"/>
      <c r="D308" s="14"/>
      <c r="E308" s="14"/>
    </row>
    <row r="309" ht="15.75" customHeight="1">
      <c r="A309" s="14"/>
      <c r="B309" s="14"/>
      <c r="C309" s="14"/>
      <c r="D309" s="14"/>
      <c r="E309" s="14"/>
    </row>
    <row r="310" ht="15.75" customHeight="1">
      <c r="A310" s="14"/>
      <c r="B310" s="14"/>
      <c r="C310" s="14"/>
      <c r="D310" s="14"/>
      <c r="E310" s="14"/>
    </row>
    <row r="311" ht="15.75" customHeight="1">
      <c r="A311" s="14"/>
      <c r="B311" s="14"/>
      <c r="C311" s="14"/>
      <c r="D311" s="14"/>
      <c r="E311" s="14"/>
    </row>
    <row r="312" ht="15.75" customHeight="1">
      <c r="A312" s="14"/>
      <c r="B312" s="14"/>
      <c r="C312" s="14"/>
      <c r="D312" s="14"/>
      <c r="E312" s="14"/>
    </row>
    <row r="313" ht="15.75" customHeight="1">
      <c r="A313" s="14"/>
      <c r="B313" s="14"/>
      <c r="C313" s="14"/>
      <c r="D313" s="14"/>
      <c r="E313" s="14"/>
    </row>
    <row r="314" ht="15.75" customHeight="1">
      <c r="A314" s="14"/>
      <c r="B314" s="14"/>
      <c r="C314" s="14"/>
      <c r="D314" s="14"/>
      <c r="E314" s="14"/>
    </row>
    <row r="315" ht="15.75" customHeight="1">
      <c r="A315" s="14"/>
      <c r="B315" s="14"/>
      <c r="C315" s="14"/>
      <c r="D315" s="14"/>
      <c r="E315" s="14"/>
    </row>
    <row r="316" ht="15.75" customHeight="1">
      <c r="A316" s="14"/>
      <c r="B316" s="14"/>
      <c r="C316" s="14"/>
      <c r="D316" s="14"/>
      <c r="E316" s="14"/>
    </row>
    <row r="317" ht="15.75" customHeight="1">
      <c r="A317" s="14"/>
      <c r="B317" s="14"/>
      <c r="C317" s="14"/>
      <c r="D317" s="14"/>
      <c r="E317" s="14"/>
    </row>
    <row r="318" ht="15.75" customHeight="1">
      <c r="A318" s="14"/>
      <c r="B318" s="14"/>
      <c r="C318" s="14"/>
      <c r="D318" s="14"/>
      <c r="E318" s="14"/>
    </row>
    <row r="319" ht="15.75" customHeight="1">
      <c r="A319" s="14"/>
      <c r="B319" s="14"/>
      <c r="C319" s="14"/>
      <c r="D319" s="14"/>
      <c r="E319" s="14"/>
    </row>
    <row r="320" ht="15.75" customHeight="1">
      <c r="A320" s="14"/>
      <c r="B320" s="14"/>
      <c r="C320" s="14"/>
      <c r="D320" s="14"/>
      <c r="E320" s="14"/>
    </row>
    <row r="321" ht="15.75" customHeight="1">
      <c r="A321" s="14"/>
      <c r="B321" s="14"/>
      <c r="C321" s="14"/>
      <c r="D321" s="14"/>
      <c r="E321" s="14"/>
    </row>
    <row r="322" ht="15.75" customHeight="1">
      <c r="A322" s="14"/>
      <c r="B322" s="14"/>
      <c r="C322" s="14"/>
      <c r="D322" s="14"/>
      <c r="E322" s="14"/>
    </row>
    <row r="323" ht="15.75" customHeight="1">
      <c r="A323" s="14"/>
      <c r="B323" s="14"/>
      <c r="C323" s="14"/>
      <c r="D323" s="14"/>
      <c r="E323" s="14"/>
    </row>
    <row r="324" ht="15.75" customHeight="1">
      <c r="A324" s="14"/>
      <c r="B324" s="14"/>
      <c r="C324" s="14"/>
      <c r="D324" s="14"/>
      <c r="E324" s="14"/>
    </row>
    <row r="325" ht="15.75" customHeight="1">
      <c r="A325" s="14"/>
      <c r="B325" s="14"/>
      <c r="C325" s="14"/>
      <c r="D325" s="14"/>
      <c r="E325" s="14"/>
    </row>
    <row r="326" ht="15.75" customHeight="1">
      <c r="A326" s="14"/>
      <c r="B326" s="14"/>
      <c r="C326" s="14"/>
      <c r="D326" s="14"/>
      <c r="E326" s="14"/>
    </row>
    <row r="327" ht="15.75" customHeight="1">
      <c r="A327" s="14"/>
      <c r="B327" s="14"/>
      <c r="C327" s="14"/>
      <c r="D327" s="14"/>
      <c r="E327" s="14"/>
    </row>
    <row r="328" ht="15.75" customHeight="1">
      <c r="A328" s="14"/>
      <c r="B328" s="14"/>
      <c r="C328" s="14"/>
      <c r="D328" s="14"/>
      <c r="E328" s="14"/>
    </row>
    <row r="329" ht="15.75" customHeight="1">
      <c r="A329" s="14"/>
      <c r="B329" s="14"/>
      <c r="C329" s="14"/>
      <c r="D329" s="14"/>
      <c r="E329" s="14"/>
    </row>
    <row r="330" ht="15.75" customHeight="1">
      <c r="A330" s="14"/>
      <c r="B330" s="14"/>
      <c r="C330" s="14"/>
      <c r="D330" s="14"/>
      <c r="E330" s="14"/>
    </row>
    <row r="331" ht="15.75" customHeight="1">
      <c r="A331" s="14"/>
      <c r="B331" s="14"/>
      <c r="C331" s="14"/>
      <c r="D331" s="14"/>
      <c r="E331" s="14"/>
    </row>
    <row r="332" ht="15.75" customHeight="1">
      <c r="A332" s="14"/>
      <c r="B332" s="14"/>
      <c r="C332" s="14"/>
      <c r="D332" s="14"/>
      <c r="E332" s="14"/>
    </row>
    <row r="333" ht="15.75" customHeight="1">
      <c r="A333" s="14"/>
      <c r="B333" s="14"/>
      <c r="C333" s="14"/>
      <c r="D333" s="14"/>
      <c r="E333" s="14"/>
    </row>
    <row r="334" ht="15.75" customHeight="1">
      <c r="A334" s="14"/>
      <c r="B334" s="14"/>
      <c r="C334" s="14"/>
      <c r="D334" s="14"/>
      <c r="E334" s="14"/>
    </row>
    <row r="335" ht="15.75" customHeight="1">
      <c r="A335" s="14"/>
      <c r="B335" s="14"/>
      <c r="C335" s="14"/>
      <c r="D335" s="14"/>
      <c r="E335" s="14"/>
    </row>
    <row r="336" ht="15.75" customHeight="1">
      <c r="A336" s="14"/>
      <c r="B336" s="14"/>
      <c r="C336" s="14"/>
      <c r="D336" s="14"/>
      <c r="E336" s="14"/>
    </row>
    <row r="337" ht="15.75" customHeight="1">
      <c r="A337" s="14"/>
      <c r="B337" s="14"/>
      <c r="C337" s="14"/>
      <c r="D337" s="14"/>
      <c r="E337" s="14"/>
    </row>
    <row r="338" ht="15.75" customHeight="1">
      <c r="A338" s="14"/>
      <c r="B338" s="14"/>
      <c r="C338" s="14"/>
      <c r="D338" s="14"/>
      <c r="E338" s="14"/>
    </row>
    <row r="339" ht="15.75" customHeight="1">
      <c r="A339" s="14"/>
      <c r="B339" s="14"/>
      <c r="C339" s="14"/>
      <c r="D339" s="14"/>
      <c r="E339" s="14"/>
    </row>
    <row r="340" ht="15.75" customHeight="1">
      <c r="A340" s="14"/>
      <c r="B340" s="14"/>
      <c r="C340" s="14"/>
      <c r="D340" s="14"/>
      <c r="E340" s="14"/>
    </row>
    <row r="341" ht="15.75" customHeight="1">
      <c r="A341" s="14"/>
      <c r="B341" s="14"/>
      <c r="C341" s="14"/>
      <c r="D341" s="14"/>
      <c r="E341" s="14"/>
    </row>
    <row r="342" ht="15.75" customHeight="1">
      <c r="A342" s="14"/>
      <c r="B342" s="14"/>
      <c r="C342" s="14"/>
      <c r="D342" s="14"/>
      <c r="E342" s="14"/>
    </row>
    <row r="343" ht="15.75" customHeight="1">
      <c r="A343" s="14"/>
      <c r="B343" s="14"/>
      <c r="C343" s="14"/>
      <c r="D343" s="14"/>
      <c r="E343" s="14"/>
    </row>
    <row r="344" ht="15.75" customHeight="1">
      <c r="A344" s="14"/>
      <c r="B344" s="14"/>
      <c r="C344" s="14"/>
      <c r="D344" s="14"/>
      <c r="E344" s="14"/>
    </row>
    <row r="345" ht="15.75" customHeight="1">
      <c r="A345" s="14"/>
      <c r="B345" s="14"/>
      <c r="C345" s="14"/>
      <c r="D345" s="14"/>
      <c r="E345" s="14"/>
    </row>
    <row r="346" ht="15.75" customHeight="1">
      <c r="A346" s="14"/>
      <c r="B346" s="14"/>
      <c r="C346" s="14"/>
      <c r="D346" s="14"/>
      <c r="E346" s="14"/>
    </row>
    <row r="347" ht="15.75" customHeight="1">
      <c r="A347" s="14"/>
      <c r="B347" s="14"/>
      <c r="C347" s="14"/>
      <c r="D347" s="14"/>
      <c r="E347" s="14"/>
    </row>
    <row r="348" ht="15.75" customHeight="1">
      <c r="A348" s="14"/>
      <c r="B348" s="14"/>
      <c r="C348" s="14"/>
      <c r="D348" s="14"/>
      <c r="E348" s="14"/>
    </row>
    <row r="349" ht="15.75" customHeight="1">
      <c r="A349" s="14"/>
      <c r="B349" s="14"/>
      <c r="C349" s="14"/>
      <c r="D349" s="14"/>
      <c r="E349" s="14"/>
    </row>
    <row r="350" ht="15.75" customHeight="1">
      <c r="A350" s="14"/>
      <c r="B350" s="14"/>
      <c r="C350" s="14"/>
      <c r="D350" s="14"/>
      <c r="E350" s="14"/>
    </row>
    <row r="351" ht="15.75" customHeight="1">
      <c r="A351" s="14"/>
      <c r="B351" s="14"/>
      <c r="C351" s="14"/>
      <c r="D351" s="14"/>
      <c r="E351" s="14"/>
    </row>
    <row r="352" ht="15.75" customHeight="1">
      <c r="A352" s="14"/>
      <c r="B352" s="14"/>
      <c r="C352" s="14"/>
      <c r="D352" s="14"/>
      <c r="E352" s="14"/>
    </row>
    <row r="353" ht="15.75" customHeight="1">
      <c r="A353" s="14"/>
      <c r="B353" s="14"/>
      <c r="C353" s="14"/>
      <c r="D353" s="14"/>
      <c r="E353" s="14"/>
    </row>
    <row r="354" ht="15.75" customHeight="1">
      <c r="A354" s="14"/>
      <c r="B354" s="14"/>
      <c r="C354" s="14"/>
      <c r="D354" s="14"/>
      <c r="E354" s="14"/>
    </row>
    <row r="355" ht="15.75" customHeight="1">
      <c r="A355" s="14"/>
      <c r="B355" s="14"/>
      <c r="C355" s="14"/>
      <c r="D355" s="14"/>
      <c r="E355" s="14"/>
    </row>
    <row r="356" ht="15.75" customHeight="1">
      <c r="A356" s="14"/>
      <c r="B356" s="14"/>
      <c r="C356" s="14"/>
      <c r="D356" s="14"/>
      <c r="E356" s="14"/>
    </row>
    <row r="357" ht="15.75" customHeight="1">
      <c r="A357" s="14"/>
      <c r="B357" s="14"/>
      <c r="C357" s="14"/>
      <c r="D357" s="14"/>
      <c r="E357" s="14"/>
    </row>
    <row r="358" ht="15.75" customHeight="1">
      <c r="A358" s="14"/>
      <c r="B358" s="14"/>
      <c r="C358" s="14"/>
      <c r="D358" s="14"/>
      <c r="E358" s="14"/>
    </row>
    <row r="359" ht="15.75" customHeight="1">
      <c r="A359" s="14"/>
      <c r="B359" s="14"/>
      <c r="C359" s="14"/>
      <c r="D359" s="14"/>
      <c r="E359" s="14"/>
    </row>
    <row r="360" ht="15.75" customHeight="1">
      <c r="A360" s="14"/>
      <c r="B360" s="14"/>
      <c r="C360" s="14"/>
      <c r="D360" s="14"/>
      <c r="E360" s="14"/>
    </row>
    <row r="361" ht="15.75" customHeight="1">
      <c r="A361" s="14"/>
      <c r="B361" s="14"/>
      <c r="C361" s="14"/>
      <c r="D361" s="14"/>
      <c r="E361" s="14"/>
    </row>
    <row r="362" ht="15.75" customHeight="1">
      <c r="A362" s="14"/>
      <c r="B362" s="14"/>
      <c r="C362" s="14"/>
      <c r="D362" s="14"/>
      <c r="E362" s="14"/>
    </row>
    <row r="363" ht="15.75" customHeight="1">
      <c r="A363" s="14"/>
      <c r="B363" s="14"/>
      <c r="C363" s="14"/>
      <c r="D363" s="14"/>
      <c r="E363" s="14"/>
    </row>
    <row r="364" ht="15.75" customHeight="1">
      <c r="A364" s="14"/>
      <c r="B364" s="14"/>
      <c r="C364" s="14"/>
      <c r="D364" s="14"/>
      <c r="E364" s="14"/>
    </row>
    <row r="365" ht="15.75" customHeight="1">
      <c r="A365" s="14"/>
      <c r="B365" s="14"/>
      <c r="C365" s="14"/>
      <c r="D365" s="14"/>
      <c r="E365" s="14"/>
    </row>
    <row r="366" ht="15.75" customHeight="1">
      <c r="A366" s="14"/>
      <c r="B366" s="14"/>
      <c r="C366" s="14"/>
      <c r="D366" s="14"/>
      <c r="E366" s="14"/>
    </row>
    <row r="367" ht="15.75" customHeight="1">
      <c r="A367" s="14"/>
      <c r="B367" s="14"/>
      <c r="C367" s="14"/>
      <c r="D367" s="14"/>
      <c r="E367" s="14"/>
    </row>
    <row r="368" ht="15.75" customHeight="1">
      <c r="A368" s="14"/>
      <c r="B368" s="14"/>
      <c r="C368" s="14"/>
      <c r="D368" s="14"/>
      <c r="E368" s="14"/>
    </row>
    <row r="369" ht="15.75" customHeight="1">
      <c r="A369" s="14"/>
      <c r="B369" s="14"/>
      <c r="C369" s="14"/>
      <c r="D369" s="14"/>
      <c r="E369" s="14"/>
    </row>
    <row r="370" ht="15.75" customHeight="1">
      <c r="A370" s="14"/>
      <c r="B370" s="14"/>
      <c r="C370" s="14"/>
      <c r="D370" s="14"/>
      <c r="E370" s="14"/>
    </row>
    <row r="371" ht="15.75" customHeight="1">
      <c r="A371" s="14"/>
      <c r="B371" s="14"/>
      <c r="C371" s="14"/>
      <c r="D371" s="14"/>
      <c r="E371" s="14"/>
    </row>
    <row r="372" ht="15.75" customHeight="1">
      <c r="A372" s="14"/>
      <c r="B372" s="14"/>
      <c r="C372" s="14"/>
      <c r="D372" s="14"/>
      <c r="E372" s="14"/>
    </row>
    <row r="373" ht="15.75" customHeight="1">
      <c r="A373" s="14"/>
      <c r="B373" s="14"/>
      <c r="C373" s="14"/>
      <c r="D373" s="14"/>
      <c r="E373" s="14"/>
    </row>
    <row r="374" ht="15.75" customHeight="1">
      <c r="A374" s="14"/>
      <c r="B374" s="14"/>
      <c r="C374" s="14"/>
      <c r="D374" s="14"/>
      <c r="E374" s="14"/>
    </row>
    <row r="375" ht="15.75" customHeight="1">
      <c r="A375" s="14"/>
      <c r="B375" s="14"/>
      <c r="C375" s="14"/>
      <c r="D375" s="14"/>
      <c r="E375" s="14"/>
    </row>
    <row r="376" ht="15.75" customHeight="1">
      <c r="A376" s="14"/>
      <c r="B376" s="14"/>
      <c r="C376" s="14"/>
      <c r="D376" s="14"/>
      <c r="E376" s="14"/>
    </row>
    <row r="377" ht="15.75" customHeight="1">
      <c r="A377" s="14"/>
      <c r="B377" s="14"/>
      <c r="C377" s="14"/>
      <c r="D377" s="14"/>
      <c r="E377" s="14"/>
    </row>
    <row r="378" ht="15.75" customHeight="1">
      <c r="A378" s="14"/>
      <c r="B378" s="14"/>
      <c r="C378" s="14"/>
      <c r="D378" s="14"/>
      <c r="E378" s="14"/>
    </row>
    <row r="379" ht="15.75" customHeight="1">
      <c r="A379" s="14"/>
      <c r="B379" s="14"/>
      <c r="C379" s="14"/>
      <c r="D379" s="14"/>
      <c r="E379" s="14"/>
    </row>
    <row r="380" ht="15.75" customHeight="1">
      <c r="A380" s="14"/>
      <c r="B380" s="14"/>
      <c r="C380" s="14"/>
      <c r="D380" s="14"/>
      <c r="E380" s="14"/>
    </row>
    <row r="381" ht="15.75" customHeight="1">
      <c r="A381" s="14"/>
      <c r="B381" s="14"/>
      <c r="C381" s="14"/>
      <c r="D381" s="14"/>
      <c r="E381" s="14"/>
    </row>
    <row r="382" ht="15.75" customHeight="1">
      <c r="A382" s="14"/>
      <c r="B382" s="14"/>
      <c r="C382" s="14"/>
      <c r="D382" s="14"/>
      <c r="E382" s="14"/>
    </row>
    <row r="383" ht="15.75" customHeight="1">
      <c r="A383" s="14"/>
      <c r="B383" s="14"/>
      <c r="C383" s="14"/>
      <c r="D383" s="14"/>
      <c r="E383" s="14"/>
    </row>
    <row r="384" ht="15.75" customHeight="1">
      <c r="A384" s="14"/>
      <c r="B384" s="14"/>
      <c r="C384" s="14"/>
      <c r="D384" s="14"/>
      <c r="E384" s="14"/>
    </row>
    <row r="385" ht="15.75" customHeight="1">
      <c r="A385" s="14"/>
      <c r="B385" s="14"/>
      <c r="C385" s="14"/>
      <c r="D385" s="14"/>
      <c r="E385" s="14"/>
    </row>
    <row r="386" ht="15.75" customHeight="1">
      <c r="A386" s="14"/>
      <c r="B386" s="14"/>
      <c r="C386" s="14"/>
      <c r="D386" s="14"/>
      <c r="E386" s="14"/>
    </row>
    <row r="387" ht="15.75" customHeight="1">
      <c r="A387" s="14"/>
      <c r="B387" s="14"/>
      <c r="C387" s="14"/>
      <c r="D387" s="14"/>
      <c r="E387" s="14"/>
    </row>
    <row r="388" ht="15.75" customHeight="1">
      <c r="A388" s="14"/>
      <c r="B388" s="14"/>
      <c r="C388" s="14"/>
      <c r="D388" s="14"/>
      <c r="E388" s="14"/>
    </row>
    <row r="389" ht="15.75" customHeight="1">
      <c r="A389" s="14"/>
      <c r="B389" s="14"/>
      <c r="C389" s="14"/>
      <c r="D389" s="14"/>
      <c r="E389" s="14"/>
    </row>
    <row r="390" ht="15.75" customHeight="1">
      <c r="A390" s="14"/>
      <c r="B390" s="14"/>
      <c r="C390" s="14"/>
      <c r="D390" s="14"/>
      <c r="E390" s="14"/>
    </row>
    <row r="391" ht="15.75" customHeight="1">
      <c r="A391" s="14"/>
      <c r="B391" s="14"/>
      <c r="C391" s="14"/>
      <c r="D391" s="14"/>
      <c r="E391" s="14"/>
    </row>
    <row r="392" ht="15.75" customHeight="1">
      <c r="A392" s="14"/>
      <c r="B392" s="14"/>
      <c r="C392" s="14"/>
      <c r="D392" s="14"/>
      <c r="E392" s="14"/>
    </row>
    <row r="393" ht="15.75" customHeight="1">
      <c r="A393" s="14"/>
      <c r="B393" s="14"/>
      <c r="C393" s="14"/>
      <c r="D393" s="14"/>
      <c r="E393" s="14"/>
    </row>
    <row r="394" ht="15.75" customHeight="1">
      <c r="A394" s="14"/>
      <c r="B394" s="14"/>
      <c r="C394" s="14"/>
      <c r="D394" s="14"/>
      <c r="E394" s="14"/>
    </row>
    <row r="395" ht="15.75" customHeight="1">
      <c r="A395" s="14"/>
      <c r="B395" s="14"/>
      <c r="C395" s="14"/>
      <c r="D395" s="14"/>
      <c r="E395" s="14"/>
    </row>
    <row r="396" ht="15.75" customHeight="1">
      <c r="A396" s="14"/>
      <c r="B396" s="14"/>
      <c r="C396" s="14"/>
      <c r="D396" s="14"/>
      <c r="E396" s="14"/>
    </row>
    <row r="397" ht="15.75" customHeight="1">
      <c r="A397" s="14"/>
      <c r="B397" s="14"/>
      <c r="C397" s="14"/>
      <c r="D397" s="14"/>
      <c r="E397" s="14"/>
    </row>
    <row r="398" ht="15.75" customHeight="1">
      <c r="A398" s="14"/>
      <c r="B398" s="14"/>
      <c r="C398" s="14"/>
      <c r="D398" s="14"/>
      <c r="E398" s="14"/>
    </row>
    <row r="399" ht="15.75" customHeight="1">
      <c r="A399" s="14"/>
      <c r="B399" s="14"/>
      <c r="C399" s="14"/>
      <c r="D399" s="14"/>
      <c r="E399" s="14"/>
    </row>
    <row r="400" ht="15.75" customHeight="1">
      <c r="A400" s="14"/>
      <c r="B400" s="14"/>
      <c r="C400" s="14"/>
      <c r="D400" s="14"/>
      <c r="E400" s="14"/>
    </row>
    <row r="401" ht="15.75" customHeight="1">
      <c r="A401" s="14"/>
      <c r="B401" s="14"/>
      <c r="C401" s="14"/>
      <c r="D401" s="14"/>
      <c r="E401" s="14"/>
    </row>
    <row r="402" ht="15.75" customHeight="1">
      <c r="A402" s="14"/>
      <c r="B402" s="14"/>
      <c r="C402" s="14"/>
      <c r="D402" s="14"/>
      <c r="E402" s="14"/>
    </row>
    <row r="403" ht="15.75" customHeight="1">
      <c r="A403" s="14"/>
      <c r="B403" s="14"/>
      <c r="C403" s="14"/>
      <c r="D403" s="14"/>
      <c r="E403" s="14"/>
    </row>
    <row r="404" ht="15.75" customHeight="1">
      <c r="A404" s="14"/>
      <c r="B404" s="14"/>
      <c r="C404" s="14"/>
      <c r="D404" s="14"/>
      <c r="E404" s="14"/>
    </row>
    <row r="405" ht="15.75" customHeight="1">
      <c r="A405" s="14"/>
      <c r="B405" s="14"/>
      <c r="C405" s="14"/>
      <c r="D405" s="14"/>
      <c r="E405" s="14"/>
    </row>
    <row r="406" ht="15.75" customHeight="1">
      <c r="A406" s="14"/>
      <c r="B406" s="14"/>
      <c r="C406" s="14"/>
      <c r="D406" s="14"/>
      <c r="E406" s="14"/>
    </row>
    <row r="407" ht="15.75" customHeight="1">
      <c r="A407" s="14"/>
      <c r="B407" s="14"/>
      <c r="C407" s="14"/>
      <c r="D407" s="14"/>
      <c r="E407" s="14"/>
    </row>
    <row r="408" ht="15.75" customHeight="1">
      <c r="A408" s="14"/>
      <c r="B408" s="14"/>
      <c r="C408" s="14"/>
      <c r="D408" s="14"/>
      <c r="E408" s="14"/>
    </row>
    <row r="409" ht="15.75" customHeight="1">
      <c r="A409" s="14"/>
      <c r="B409" s="14"/>
      <c r="C409" s="14"/>
      <c r="D409" s="14"/>
      <c r="E409" s="14"/>
    </row>
    <row r="410" ht="15.75" customHeight="1">
      <c r="A410" s="14"/>
      <c r="B410" s="14"/>
      <c r="C410" s="14"/>
      <c r="D410" s="14"/>
      <c r="E410" s="14"/>
    </row>
    <row r="411" ht="15.75" customHeight="1">
      <c r="A411" s="14"/>
      <c r="B411" s="14"/>
      <c r="C411" s="14"/>
      <c r="D411" s="14"/>
      <c r="E411" s="14"/>
    </row>
    <row r="412" ht="15.75" customHeight="1">
      <c r="A412" s="14"/>
      <c r="B412" s="14"/>
      <c r="C412" s="14"/>
      <c r="D412" s="14"/>
      <c r="E412" s="14"/>
    </row>
    <row r="413" ht="15.75" customHeight="1">
      <c r="A413" s="14"/>
      <c r="B413" s="14"/>
      <c r="C413" s="14"/>
      <c r="D413" s="14"/>
      <c r="E413" s="14"/>
    </row>
    <row r="414" ht="15.75" customHeight="1">
      <c r="A414" s="14"/>
      <c r="B414" s="14"/>
      <c r="C414" s="14"/>
      <c r="D414" s="14"/>
      <c r="E414" s="14"/>
    </row>
    <row r="415" ht="15.75" customHeight="1">
      <c r="A415" s="14"/>
      <c r="B415" s="14"/>
      <c r="C415" s="14"/>
      <c r="D415" s="14"/>
      <c r="E415" s="14"/>
    </row>
    <row r="416" ht="15.75" customHeight="1">
      <c r="A416" s="14"/>
      <c r="B416" s="14"/>
      <c r="C416" s="14"/>
      <c r="D416" s="14"/>
      <c r="E416" s="14"/>
    </row>
    <row r="417" ht="15.75" customHeight="1">
      <c r="A417" s="14"/>
      <c r="B417" s="14"/>
      <c r="C417" s="14"/>
      <c r="D417" s="14"/>
      <c r="E417" s="14"/>
    </row>
    <row r="418" ht="15.75" customHeight="1">
      <c r="A418" s="14"/>
      <c r="B418" s="14"/>
      <c r="C418" s="14"/>
      <c r="D418" s="14"/>
      <c r="E418" s="14"/>
    </row>
    <row r="419" ht="15.75" customHeight="1">
      <c r="A419" s="14"/>
      <c r="B419" s="14"/>
      <c r="C419" s="14"/>
      <c r="D419" s="14"/>
      <c r="E419" s="14"/>
    </row>
    <row r="420" ht="15.75" customHeight="1">
      <c r="A420" s="14"/>
      <c r="B420" s="14"/>
      <c r="C420" s="14"/>
      <c r="D420" s="14"/>
      <c r="E420" s="14"/>
    </row>
    <row r="421" ht="15.75" customHeight="1">
      <c r="A421" s="14"/>
      <c r="B421" s="14"/>
      <c r="C421" s="14"/>
      <c r="D421" s="14"/>
      <c r="E421" s="14"/>
    </row>
    <row r="422" ht="15.75" customHeight="1">
      <c r="A422" s="14"/>
      <c r="B422" s="14"/>
      <c r="C422" s="14"/>
      <c r="D422" s="14"/>
      <c r="E422" s="14"/>
    </row>
    <row r="423" ht="15.75" customHeight="1">
      <c r="A423" s="14"/>
      <c r="B423" s="14"/>
      <c r="C423" s="14"/>
      <c r="D423" s="14"/>
      <c r="E423" s="14"/>
    </row>
    <row r="424" ht="15.75" customHeight="1">
      <c r="A424" s="14"/>
      <c r="B424" s="14"/>
      <c r="C424" s="14"/>
      <c r="D424" s="14"/>
      <c r="E424" s="14"/>
    </row>
    <row r="425" ht="15.75" customHeight="1">
      <c r="A425" s="14"/>
      <c r="B425" s="14"/>
      <c r="C425" s="14"/>
      <c r="D425" s="14"/>
      <c r="E425" s="14"/>
    </row>
    <row r="426" ht="15.75" customHeight="1">
      <c r="A426" s="14"/>
      <c r="B426" s="14"/>
      <c r="C426" s="14"/>
      <c r="D426" s="14"/>
      <c r="E426" s="14"/>
    </row>
    <row r="427" ht="15.75" customHeight="1">
      <c r="A427" s="14"/>
      <c r="B427" s="14"/>
      <c r="C427" s="14"/>
      <c r="D427" s="14"/>
      <c r="E427" s="14"/>
    </row>
    <row r="428" ht="15.75" customHeight="1">
      <c r="A428" s="14"/>
      <c r="B428" s="14"/>
      <c r="C428" s="14"/>
      <c r="D428" s="14"/>
      <c r="E428" s="14"/>
    </row>
    <row r="429" ht="15.75" customHeight="1">
      <c r="A429" s="14"/>
      <c r="B429" s="14"/>
      <c r="C429" s="14"/>
      <c r="D429" s="14"/>
      <c r="E429" s="14"/>
    </row>
    <row r="430" ht="15.75" customHeight="1">
      <c r="A430" s="14"/>
      <c r="B430" s="14"/>
      <c r="C430" s="14"/>
      <c r="D430" s="14"/>
      <c r="E430" s="14"/>
    </row>
    <row r="431" ht="15.75" customHeight="1">
      <c r="A431" s="14"/>
      <c r="B431" s="14"/>
      <c r="C431" s="14"/>
      <c r="D431" s="14"/>
      <c r="E431" s="14"/>
    </row>
    <row r="432" ht="15.75" customHeight="1">
      <c r="A432" s="14"/>
      <c r="B432" s="14"/>
      <c r="C432" s="14"/>
      <c r="D432" s="14"/>
      <c r="E432" s="14"/>
    </row>
    <row r="433" ht="15.75" customHeight="1">
      <c r="A433" s="14"/>
      <c r="B433" s="14"/>
      <c r="C433" s="14"/>
      <c r="D433" s="14"/>
      <c r="E433" s="14"/>
    </row>
    <row r="434" ht="15.75" customHeight="1">
      <c r="A434" s="14"/>
      <c r="B434" s="14"/>
      <c r="C434" s="14"/>
      <c r="D434" s="14"/>
      <c r="E434" s="14"/>
    </row>
    <row r="435" ht="15.75" customHeight="1">
      <c r="A435" s="14"/>
      <c r="B435" s="14"/>
      <c r="C435" s="14"/>
      <c r="D435" s="14"/>
      <c r="E435" s="14"/>
    </row>
    <row r="436" ht="15.75" customHeight="1">
      <c r="A436" s="14"/>
      <c r="B436" s="14"/>
      <c r="C436" s="14"/>
      <c r="D436" s="14"/>
      <c r="E436" s="14"/>
    </row>
    <row r="437" ht="15.75" customHeight="1">
      <c r="A437" s="14"/>
      <c r="B437" s="14"/>
      <c r="C437" s="14"/>
      <c r="D437" s="14"/>
      <c r="E437" s="14"/>
    </row>
    <row r="438" ht="15.75" customHeight="1">
      <c r="A438" s="14"/>
      <c r="B438" s="14"/>
      <c r="C438" s="14"/>
      <c r="D438" s="14"/>
      <c r="E438" s="14"/>
    </row>
    <row r="439" ht="15.75" customHeight="1">
      <c r="A439" s="14"/>
      <c r="B439" s="14"/>
      <c r="C439" s="14"/>
      <c r="D439" s="14"/>
      <c r="E439" s="14"/>
    </row>
    <row r="440" ht="15.75" customHeight="1">
      <c r="A440" s="14"/>
      <c r="B440" s="14"/>
      <c r="C440" s="14"/>
      <c r="D440" s="14"/>
      <c r="E440" s="14"/>
    </row>
    <row r="441" ht="15.75" customHeight="1">
      <c r="A441" s="14"/>
      <c r="B441" s="14"/>
      <c r="C441" s="14"/>
      <c r="D441" s="14"/>
      <c r="E441" s="14"/>
    </row>
    <row r="442" ht="15.75" customHeight="1">
      <c r="A442" s="14"/>
      <c r="B442" s="14"/>
      <c r="C442" s="14"/>
      <c r="D442" s="14"/>
      <c r="E442" s="14"/>
    </row>
    <row r="443" ht="15.75" customHeight="1">
      <c r="A443" s="14"/>
      <c r="B443" s="14"/>
      <c r="C443" s="14"/>
      <c r="D443" s="14"/>
      <c r="E443" s="14"/>
    </row>
    <row r="444" ht="15.75" customHeight="1">
      <c r="A444" s="14"/>
      <c r="B444" s="14"/>
      <c r="C444" s="14"/>
      <c r="D444" s="14"/>
      <c r="E444" s="14"/>
    </row>
    <row r="445" ht="15.75" customHeight="1">
      <c r="A445" s="14"/>
      <c r="B445" s="14"/>
      <c r="C445" s="14"/>
      <c r="D445" s="14"/>
      <c r="E445" s="14"/>
    </row>
    <row r="446" ht="15.75" customHeight="1">
      <c r="A446" s="14"/>
      <c r="B446" s="14"/>
      <c r="C446" s="14"/>
      <c r="D446" s="14"/>
      <c r="E446" s="14"/>
    </row>
    <row r="447" ht="15.75" customHeight="1">
      <c r="A447" s="14"/>
      <c r="B447" s="14"/>
      <c r="C447" s="14"/>
      <c r="D447" s="14"/>
      <c r="E447" s="14"/>
    </row>
    <row r="448" ht="15.75" customHeight="1">
      <c r="A448" s="14"/>
      <c r="B448" s="14"/>
      <c r="C448" s="14"/>
      <c r="D448" s="14"/>
      <c r="E448" s="14"/>
    </row>
    <row r="449" ht="15.75" customHeight="1">
      <c r="A449" s="14"/>
      <c r="B449" s="14"/>
      <c r="C449" s="14"/>
      <c r="D449" s="14"/>
      <c r="E449" s="14"/>
    </row>
    <row r="450" ht="15.75" customHeight="1">
      <c r="A450" s="14"/>
      <c r="B450" s="14"/>
      <c r="C450" s="14"/>
      <c r="D450" s="14"/>
      <c r="E450" s="14"/>
    </row>
    <row r="451" ht="15.75" customHeight="1">
      <c r="A451" s="14"/>
      <c r="B451" s="14"/>
      <c r="C451" s="14"/>
      <c r="D451" s="14"/>
      <c r="E451" s="14"/>
    </row>
    <row r="452" ht="15.75" customHeight="1">
      <c r="A452" s="14"/>
      <c r="B452" s="14"/>
      <c r="C452" s="14"/>
      <c r="D452" s="14"/>
      <c r="E452" s="14"/>
    </row>
    <row r="453" ht="15.75" customHeight="1">
      <c r="A453" s="14"/>
      <c r="B453" s="14"/>
      <c r="C453" s="14"/>
      <c r="D453" s="14"/>
      <c r="E453" s="14"/>
    </row>
    <row r="454" ht="15.75" customHeight="1">
      <c r="A454" s="14"/>
      <c r="B454" s="14"/>
      <c r="C454" s="14"/>
      <c r="D454" s="14"/>
      <c r="E454" s="14"/>
    </row>
    <row r="455" ht="15.75" customHeight="1">
      <c r="A455" s="14"/>
      <c r="B455" s="14"/>
      <c r="C455" s="14"/>
      <c r="D455" s="14"/>
      <c r="E455" s="14"/>
    </row>
    <row r="456" ht="15.75" customHeight="1">
      <c r="A456" s="14"/>
      <c r="B456" s="14"/>
      <c r="C456" s="14"/>
      <c r="D456" s="14"/>
      <c r="E456" s="14"/>
    </row>
    <row r="457" ht="15.75" customHeight="1">
      <c r="A457" s="14"/>
      <c r="B457" s="14"/>
      <c r="C457" s="14"/>
      <c r="D457" s="14"/>
      <c r="E457" s="14"/>
    </row>
    <row r="458" ht="15.75" customHeight="1">
      <c r="A458" s="14"/>
      <c r="B458" s="14"/>
      <c r="C458" s="14"/>
      <c r="D458" s="14"/>
      <c r="E458" s="14"/>
    </row>
    <row r="459" ht="15.75" customHeight="1">
      <c r="A459" s="14"/>
      <c r="B459" s="14"/>
      <c r="C459" s="14"/>
      <c r="D459" s="14"/>
      <c r="E459" s="14"/>
    </row>
    <row r="460" ht="15.75" customHeight="1">
      <c r="A460" s="14"/>
      <c r="B460" s="14"/>
      <c r="C460" s="14"/>
      <c r="D460" s="14"/>
      <c r="E460" s="14"/>
    </row>
    <row r="461" ht="15.75" customHeight="1">
      <c r="A461" s="14"/>
      <c r="B461" s="14"/>
      <c r="C461" s="14"/>
      <c r="D461" s="14"/>
      <c r="E461" s="14"/>
    </row>
    <row r="462" ht="15.75" customHeight="1">
      <c r="A462" s="14"/>
      <c r="B462" s="14"/>
      <c r="C462" s="14"/>
      <c r="D462" s="14"/>
      <c r="E462" s="14"/>
    </row>
    <row r="463" ht="15.75" customHeight="1">
      <c r="A463" s="14"/>
      <c r="B463" s="14"/>
      <c r="C463" s="14"/>
      <c r="D463" s="14"/>
      <c r="E463" s="14"/>
    </row>
    <row r="464" ht="15.75" customHeight="1">
      <c r="A464" s="14"/>
      <c r="B464" s="14"/>
      <c r="C464" s="14"/>
      <c r="D464" s="14"/>
      <c r="E464" s="14"/>
    </row>
    <row r="465" ht="15.75" customHeight="1">
      <c r="A465" s="14"/>
      <c r="B465" s="14"/>
      <c r="C465" s="14"/>
      <c r="D465" s="14"/>
      <c r="E465" s="14"/>
    </row>
    <row r="466" ht="15.75" customHeight="1">
      <c r="A466" s="14"/>
      <c r="B466" s="14"/>
      <c r="C466" s="14"/>
      <c r="D466" s="14"/>
      <c r="E466" s="14"/>
    </row>
    <row r="467" ht="15.75" customHeight="1">
      <c r="A467" s="14"/>
      <c r="B467" s="14"/>
      <c r="C467" s="14"/>
      <c r="D467" s="14"/>
      <c r="E467" s="14"/>
    </row>
    <row r="468" ht="15.75" customHeight="1">
      <c r="A468" s="14"/>
      <c r="B468" s="14"/>
      <c r="C468" s="14"/>
      <c r="D468" s="14"/>
      <c r="E468" s="14"/>
    </row>
    <row r="469" ht="15.75" customHeight="1">
      <c r="A469" s="14"/>
      <c r="B469" s="14"/>
      <c r="C469" s="14"/>
      <c r="D469" s="14"/>
      <c r="E469" s="14"/>
    </row>
    <row r="470" ht="15.75" customHeight="1">
      <c r="A470" s="14"/>
      <c r="B470" s="14"/>
      <c r="C470" s="14"/>
      <c r="D470" s="14"/>
      <c r="E470" s="14"/>
    </row>
    <row r="471" ht="15.75" customHeight="1">
      <c r="A471" s="14"/>
      <c r="B471" s="14"/>
      <c r="C471" s="14"/>
      <c r="D471" s="14"/>
      <c r="E471" s="14"/>
    </row>
    <row r="472" ht="15.75" customHeight="1">
      <c r="A472" s="14"/>
      <c r="B472" s="14"/>
      <c r="C472" s="14"/>
      <c r="D472" s="14"/>
      <c r="E472" s="14"/>
    </row>
    <row r="473" ht="15.75" customHeight="1">
      <c r="A473" s="14"/>
      <c r="B473" s="14"/>
      <c r="C473" s="14"/>
      <c r="D473" s="14"/>
      <c r="E473" s="14"/>
    </row>
    <row r="474" ht="15.75" customHeight="1">
      <c r="A474" s="14"/>
      <c r="B474" s="14"/>
      <c r="C474" s="14"/>
      <c r="D474" s="14"/>
      <c r="E474" s="14"/>
    </row>
    <row r="475" ht="15.75" customHeight="1">
      <c r="A475" s="14"/>
      <c r="B475" s="14"/>
      <c r="C475" s="14"/>
      <c r="D475" s="14"/>
      <c r="E475" s="14"/>
    </row>
    <row r="476" ht="15.75" customHeight="1">
      <c r="A476" s="14"/>
      <c r="B476" s="14"/>
      <c r="C476" s="14"/>
      <c r="D476" s="14"/>
      <c r="E476" s="14"/>
    </row>
    <row r="477" ht="15.75" customHeight="1">
      <c r="A477" s="14"/>
      <c r="B477" s="14"/>
      <c r="C477" s="14"/>
      <c r="D477" s="14"/>
      <c r="E477" s="14"/>
    </row>
    <row r="478" ht="15.75" customHeight="1">
      <c r="A478" s="14"/>
      <c r="B478" s="14"/>
      <c r="C478" s="14"/>
      <c r="D478" s="14"/>
      <c r="E478" s="14"/>
    </row>
    <row r="479" ht="15.75" customHeight="1">
      <c r="A479" s="14"/>
      <c r="B479" s="14"/>
      <c r="C479" s="14"/>
      <c r="D479" s="14"/>
      <c r="E479" s="14"/>
    </row>
    <row r="480" ht="15.75" customHeight="1">
      <c r="A480" s="14"/>
      <c r="B480" s="14"/>
      <c r="C480" s="14"/>
      <c r="D480" s="14"/>
      <c r="E480" s="14"/>
    </row>
    <row r="481" ht="15.75" customHeight="1">
      <c r="A481" s="14"/>
      <c r="B481" s="14"/>
      <c r="C481" s="14"/>
      <c r="D481" s="14"/>
      <c r="E481" s="14"/>
    </row>
    <row r="482" ht="15.75" customHeight="1">
      <c r="A482" s="14"/>
      <c r="B482" s="14"/>
      <c r="C482" s="14"/>
      <c r="D482" s="14"/>
      <c r="E482" s="14"/>
    </row>
    <row r="483" ht="15.75" customHeight="1">
      <c r="A483" s="14"/>
      <c r="B483" s="14"/>
      <c r="C483" s="14"/>
      <c r="D483" s="14"/>
      <c r="E483" s="14"/>
    </row>
    <row r="484" ht="15.75" customHeight="1">
      <c r="A484" s="14"/>
      <c r="B484" s="14"/>
      <c r="C484" s="14"/>
      <c r="D484" s="14"/>
      <c r="E484" s="14"/>
    </row>
    <row r="485" ht="15.75" customHeight="1">
      <c r="A485" s="14"/>
      <c r="B485" s="14"/>
      <c r="C485" s="14"/>
      <c r="D485" s="14"/>
      <c r="E485" s="14"/>
    </row>
    <row r="486" ht="15.75" customHeight="1">
      <c r="A486" s="14"/>
      <c r="B486" s="14"/>
      <c r="C486" s="14"/>
      <c r="D486" s="14"/>
      <c r="E486" s="14"/>
    </row>
    <row r="487" ht="15.75" customHeight="1">
      <c r="A487" s="14"/>
      <c r="B487" s="14"/>
      <c r="C487" s="14"/>
      <c r="D487" s="14"/>
      <c r="E487" s="14"/>
    </row>
    <row r="488" ht="15.75" customHeight="1">
      <c r="A488" s="14"/>
      <c r="B488" s="14"/>
      <c r="C488" s="14"/>
      <c r="D488" s="14"/>
      <c r="E488" s="14"/>
    </row>
    <row r="489" ht="15.75" customHeight="1">
      <c r="A489" s="14"/>
      <c r="B489" s="14"/>
      <c r="C489" s="14"/>
      <c r="D489" s="14"/>
      <c r="E489" s="14"/>
    </row>
    <row r="490" ht="15.75" customHeight="1">
      <c r="A490" s="14"/>
      <c r="B490" s="14"/>
      <c r="C490" s="14"/>
      <c r="D490" s="14"/>
      <c r="E490" s="14"/>
    </row>
    <row r="491" ht="15.75" customHeight="1">
      <c r="A491" s="14"/>
      <c r="B491" s="14"/>
      <c r="C491" s="14"/>
      <c r="D491" s="14"/>
      <c r="E491" s="14"/>
    </row>
    <row r="492" ht="15.75" customHeight="1">
      <c r="A492" s="14"/>
      <c r="B492" s="14"/>
      <c r="C492" s="14"/>
      <c r="D492" s="14"/>
      <c r="E492" s="14"/>
    </row>
    <row r="493" ht="15.75" customHeight="1">
      <c r="A493" s="14"/>
      <c r="B493" s="14"/>
      <c r="C493" s="14"/>
      <c r="D493" s="14"/>
      <c r="E493" s="14"/>
    </row>
    <row r="494" ht="15.75" customHeight="1">
      <c r="A494" s="14"/>
      <c r="B494" s="14"/>
      <c r="C494" s="14"/>
      <c r="D494" s="14"/>
      <c r="E494" s="14"/>
    </row>
    <row r="495" ht="15.75" customHeight="1">
      <c r="A495" s="14"/>
      <c r="B495" s="14"/>
      <c r="C495" s="14"/>
      <c r="D495" s="14"/>
      <c r="E495" s="14"/>
    </row>
    <row r="496" ht="15.75" customHeight="1">
      <c r="A496" s="14"/>
      <c r="B496" s="14"/>
      <c r="C496" s="14"/>
      <c r="D496" s="14"/>
      <c r="E496" s="14"/>
    </row>
    <row r="497" ht="15.75" customHeight="1">
      <c r="A497" s="14"/>
      <c r="B497" s="14"/>
      <c r="C497" s="14"/>
      <c r="D497" s="14"/>
      <c r="E497" s="14"/>
    </row>
    <row r="498" ht="15.75" customHeight="1">
      <c r="A498" s="14"/>
      <c r="B498" s="14"/>
      <c r="C498" s="14"/>
      <c r="D498" s="14"/>
      <c r="E498" s="14"/>
    </row>
    <row r="499" ht="15.75" customHeight="1">
      <c r="A499" s="14"/>
      <c r="B499" s="14"/>
      <c r="C499" s="14"/>
      <c r="D499" s="14"/>
      <c r="E499" s="14"/>
    </row>
    <row r="500" ht="15.75" customHeight="1">
      <c r="A500" s="14"/>
      <c r="B500" s="14"/>
      <c r="C500" s="14"/>
      <c r="D500" s="14"/>
      <c r="E500" s="14"/>
    </row>
    <row r="501" ht="15.75" customHeight="1">
      <c r="A501" s="14"/>
      <c r="B501" s="14"/>
      <c r="C501" s="14"/>
      <c r="D501" s="14"/>
      <c r="E501" s="14"/>
    </row>
    <row r="502" ht="15.75" customHeight="1">
      <c r="A502" s="14"/>
      <c r="B502" s="14"/>
      <c r="C502" s="14"/>
      <c r="D502" s="14"/>
      <c r="E502" s="14"/>
    </row>
    <row r="503" ht="15.75" customHeight="1">
      <c r="A503" s="14"/>
      <c r="B503" s="14"/>
      <c r="C503" s="14"/>
      <c r="D503" s="14"/>
      <c r="E503" s="14"/>
    </row>
    <row r="504" ht="15.75" customHeight="1">
      <c r="A504" s="14"/>
      <c r="B504" s="14"/>
      <c r="C504" s="14"/>
      <c r="D504" s="14"/>
      <c r="E504" s="14"/>
    </row>
    <row r="505" ht="15.75" customHeight="1">
      <c r="A505" s="14"/>
      <c r="B505" s="14"/>
      <c r="C505" s="14"/>
      <c r="D505" s="14"/>
      <c r="E505" s="14"/>
    </row>
    <row r="506" ht="15.75" customHeight="1">
      <c r="A506" s="14"/>
      <c r="B506" s="14"/>
      <c r="C506" s="14"/>
      <c r="D506" s="14"/>
      <c r="E506" s="14"/>
    </row>
    <row r="507" ht="15.75" customHeight="1">
      <c r="A507" s="14"/>
      <c r="B507" s="14"/>
      <c r="C507" s="14"/>
      <c r="D507" s="14"/>
      <c r="E507" s="14"/>
    </row>
    <row r="508" ht="15.75" customHeight="1">
      <c r="A508" s="14"/>
      <c r="B508" s="14"/>
      <c r="C508" s="14"/>
      <c r="D508" s="14"/>
      <c r="E508" s="14"/>
    </row>
    <row r="509" ht="15.75" customHeight="1">
      <c r="A509" s="14"/>
      <c r="B509" s="14"/>
      <c r="C509" s="14"/>
      <c r="D509" s="14"/>
      <c r="E509" s="14"/>
    </row>
    <row r="510" ht="15.75" customHeight="1">
      <c r="A510" s="14"/>
      <c r="B510" s="14"/>
      <c r="C510" s="14"/>
      <c r="D510" s="14"/>
      <c r="E510" s="14"/>
    </row>
    <row r="511" ht="15.75" customHeight="1">
      <c r="A511" s="14"/>
      <c r="B511" s="14"/>
      <c r="C511" s="14"/>
      <c r="D511" s="14"/>
      <c r="E511" s="14"/>
    </row>
    <row r="512" ht="15.75" customHeight="1">
      <c r="A512" s="14"/>
      <c r="B512" s="14"/>
      <c r="C512" s="14"/>
      <c r="D512" s="14"/>
      <c r="E512" s="14"/>
    </row>
    <row r="513" ht="15.75" customHeight="1">
      <c r="A513" s="14"/>
      <c r="B513" s="14"/>
      <c r="C513" s="14"/>
      <c r="D513" s="14"/>
      <c r="E513" s="14"/>
    </row>
    <row r="514" ht="15.75" customHeight="1">
      <c r="A514" s="14"/>
      <c r="B514" s="14"/>
      <c r="C514" s="14"/>
      <c r="D514" s="14"/>
      <c r="E514" s="14"/>
    </row>
    <row r="515" ht="15.75" customHeight="1">
      <c r="A515" s="14"/>
      <c r="B515" s="14"/>
      <c r="C515" s="14"/>
      <c r="D515" s="14"/>
      <c r="E515" s="14"/>
    </row>
    <row r="516" ht="15.75" customHeight="1">
      <c r="A516" s="14"/>
      <c r="B516" s="14"/>
      <c r="C516" s="14"/>
      <c r="D516" s="14"/>
      <c r="E516" s="14"/>
    </row>
    <row r="517" ht="15.75" customHeight="1">
      <c r="A517" s="14"/>
      <c r="B517" s="14"/>
      <c r="C517" s="14"/>
      <c r="D517" s="14"/>
      <c r="E517" s="14"/>
    </row>
    <row r="518" ht="15.75" customHeight="1">
      <c r="A518" s="14"/>
      <c r="B518" s="14"/>
      <c r="C518" s="14"/>
      <c r="D518" s="14"/>
      <c r="E518" s="14"/>
    </row>
    <row r="519" ht="15.75" customHeight="1">
      <c r="A519" s="14"/>
      <c r="B519" s="14"/>
      <c r="C519" s="14"/>
      <c r="D519" s="14"/>
      <c r="E519" s="14"/>
    </row>
    <row r="520" ht="15.75" customHeight="1">
      <c r="A520" s="14"/>
      <c r="B520" s="14"/>
      <c r="C520" s="14"/>
      <c r="D520" s="14"/>
      <c r="E520" s="14"/>
    </row>
    <row r="521" ht="15.75" customHeight="1">
      <c r="A521" s="14"/>
      <c r="B521" s="14"/>
      <c r="C521" s="14"/>
      <c r="D521" s="14"/>
      <c r="E521" s="14"/>
    </row>
    <row r="522" ht="15.75" customHeight="1">
      <c r="A522" s="14"/>
      <c r="B522" s="14"/>
      <c r="C522" s="14"/>
      <c r="D522" s="14"/>
      <c r="E522" s="14"/>
    </row>
    <row r="523" ht="15.75" customHeight="1">
      <c r="A523" s="14"/>
      <c r="B523" s="14"/>
      <c r="C523" s="14"/>
      <c r="D523" s="14"/>
      <c r="E523" s="14"/>
    </row>
    <row r="524" ht="15.75" customHeight="1">
      <c r="A524" s="14"/>
      <c r="B524" s="14"/>
      <c r="C524" s="14"/>
      <c r="D524" s="14"/>
      <c r="E524" s="14"/>
    </row>
    <row r="525" ht="15.75" customHeight="1">
      <c r="A525" s="14"/>
      <c r="B525" s="14"/>
      <c r="C525" s="14"/>
      <c r="D525" s="14"/>
      <c r="E525" s="14"/>
    </row>
    <row r="526" ht="15.75" customHeight="1">
      <c r="A526" s="14"/>
      <c r="B526" s="14"/>
      <c r="C526" s="14"/>
      <c r="D526" s="14"/>
      <c r="E526" s="14"/>
    </row>
    <row r="527" ht="15.75" customHeight="1">
      <c r="A527" s="14"/>
      <c r="B527" s="14"/>
      <c r="C527" s="14"/>
      <c r="D527" s="14"/>
      <c r="E527" s="14"/>
    </row>
    <row r="528" ht="15.75" customHeight="1">
      <c r="A528" s="14"/>
      <c r="B528" s="14"/>
      <c r="C528" s="14"/>
      <c r="D528" s="14"/>
      <c r="E528" s="14"/>
    </row>
    <row r="529" ht="15.75" customHeight="1">
      <c r="A529" s="14"/>
      <c r="B529" s="14"/>
      <c r="C529" s="14"/>
      <c r="D529" s="14"/>
      <c r="E529" s="14"/>
    </row>
    <row r="530" ht="15.75" customHeight="1">
      <c r="A530" s="14"/>
      <c r="B530" s="14"/>
      <c r="C530" s="14"/>
      <c r="D530" s="14"/>
      <c r="E530" s="14"/>
    </row>
    <row r="531" ht="15.75" customHeight="1">
      <c r="A531" s="14"/>
      <c r="B531" s="14"/>
      <c r="C531" s="14"/>
      <c r="D531" s="14"/>
      <c r="E531" s="14"/>
    </row>
    <row r="532" ht="15.75" customHeight="1">
      <c r="A532" s="14"/>
      <c r="B532" s="14"/>
      <c r="C532" s="14"/>
      <c r="D532" s="14"/>
      <c r="E532" s="14"/>
    </row>
    <row r="533" ht="15.75" customHeight="1">
      <c r="A533" s="14"/>
      <c r="B533" s="14"/>
      <c r="C533" s="14"/>
      <c r="D533" s="14"/>
      <c r="E533" s="14"/>
    </row>
    <row r="534" ht="15.75" customHeight="1">
      <c r="A534" s="14"/>
      <c r="B534" s="14"/>
      <c r="C534" s="14"/>
      <c r="D534" s="14"/>
      <c r="E534" s="14"/>
    </row>
    <row r="535" ht="15.75" customHeight="1">
      <c r="A535" s="14"/>
      <c r="B535" s="14"/>
      <c r="C535" s="14"/>
      <c r="D535" s="14"/>
      <c r="E535" s="14"/>
    </row>
    <row r="536" ht="15.75" customHeight="1">
      <c r="A536" s="14"/>
      <c r="B536" s="14"/>
      <c r="C536" s="14"/>
      <c r="D536" s="14"/>
      <c r="E536" s="14"/>
    </row>
    <row r="537" ht="15.75" customHeight="1">
      <c r="A537" s="14"/>
      <c r="B537" s="14"/>
      <c r="C537" s="14"/>
      <c r="D537" s="14"/>
      <c r="E537" s="14"/>
    </row>
    <row r="538" ht="15.75" customHeight="1">
      <c r="A538" s="14"/>
      <c r="B538" s="14"/>
      <c r="C538" s="14"/>
      <c r="D538" s="14"/>
      <c r="E538" s="14"/>
    </row>
    <row r="539" ht="15.75" customHeight="1">
      <c r="A539" s="14"/>
      <c r="B539" s="14"/>
      <c r="C539" s="14"/>
      <c r="D539" s="14"/>
      <c r="E539" s="14"/>
    </row>
    <row r="540" ht="15.75" customHeight="1">
      <c r="A540" s="14"/>
      <c r="B540" s="14"/>
      <c r="C540" s="14"/>
      <c r="D540" s="14"/>
      <c r="E540" s="14"/>
    </row>
    <row r="541" ht="15.75" customHeight="1">
      <c r="A541" s="14"/>
      <c r="B541" s="14"/>
      <c r="C541" s="14"/>
      <c r="D541" s="14"/>
      <c r="E541" s="14"/>
    </row>
    <row r="542" ht="15.75" customHeight="1">
      <c r="A542" s="14"/>
      <c r="B542" s="14"/>
      <c r="C542" s="14"/>
      <c r="D542" s="14"/>
      <c r="E542" s="14"/>
    </row>
    <row r="543" ht="15.75" customHeight="1">
      <c r="A543" s="14"/>
      <c r="B543" s="14"/>
      <c r="C543" s="14"/>
      <c r="D543" s="14"/>
      <c r="E543" s="14"/>
    </row>
    <row r="544" ht="15.75" customHeight="1">
      <c r="A544" s="14"/>
      <c r="B544" s="14"/>
      <c r="C544" s="14"/>
      <c r="D544" s="14"/>
      <c r="E544" s="14"/>
    </row>
    <row r="545" ht="15.75" customHeight="1">
      <c r="A545" s="14"/>
      <c r="B545" s="14"/>
      <c r="C545" s="14"/>
      <c r="D545" s="14"/>
      <c r="E545" s="14"/>
    </row>
    <row r="546" ht="15.75" customHeight="1">
      <c r="A546" s="14"/>
      <c r="B546" s="14"/>
      <c r="C546" s="14"/>
      <c r="D546" s="14"/>
      <c r="E546" s="14"/>
    </row>
    <row r="547" ht="15.75" customHeight="1">
      <c r="A547" s="14"/>
      <c r="B547" s="14"/>
      <c r="C547" s="14"/>
      <c r="D547" s="14"/>
      <c r="E547" s="14"/>
    </row>
    <row r="548" ht="15.75" customHeight="1">
      <c r="A548" s="14"/>
      <c r="B548" s="14"/>
      <c r="C548" s="14"/>
      <c r="D548" s="14"/>
      <c r="E548" s="14"/>
    </row>
    <row r="549" ht="15.75" customHeight="1">
      <c r="A549" s="14"/>
      <c r="B549" s="14"/>
      <c r="C549" s="14"/>
      <c r="D549" s="14"/>
      <c r="E549" s="14"/>
    </row>
    <row r="550" ht="15.75" customHeight="1">
      <c r="A550" s="14"/>
      <c r="B550" s="14"/>
      <c r="C550" s="14"/>
      <c r="D550" s="14"/>
      <c r="E550" s="14"/>
    </row>
    <row r="551" ht="15.75" customHeight="1">
      <c r="A551" s="14"/>
      <c r="B551" s="14"/>
      <c r="C551" s="14"/>
      <c r="D551" s="14"/>
      <c r="E551" s="14"/>
    </row>
    <row r="552" ht="15.75" customHeight="1">
      <c r="A552" s="14"/>
      <c r="B552" s="14"/>
      <c r="C552" s="14"/>
      <c r="D552" s="14"/>
      <c r="E552" s="14"/>
    </row>
    <row r="553" ht="15.75" customHeight="1">
      <c r="A553" s="14"/>
      <c r="B553" s="14"/>
      <c r="C553" s="14"/>
      <c r="D553" s="14"/>
      <c r="E553" s="14"/>
    </row>
    <row r="554" ht="15.75" customHeight="1">
      <c r="A554" s="14"/>
      <c r="B554" s="14"/>
      <c r="C554" s="14"/>
      <c r="D554" s="14"/>
      <c r="E554" s="14"/>
    </row>
    <row r="555" ht="15.75" customHeight="1">
      <c r="A555" s="14"/>
      <c r="B555" s="14"/>
      <c r="C555" s="14"/>
      <c r="D555" s="14"/>
      <c r="E555" s="14"/>
    </row>
    <row r="556" ht="15.75" customHeight="1">
      <c r="A556" s="14"/>
      <c r="B556" s="14"/>
      <c r="C556" s="14"/>
      <c r="D556" s="14"/>
      <c r="E556" s="14"/>
    </row>
    <row r="557" ht="15.75" customHeight="1">
      <c r="A557" s="14"/>
      <c r="B557" s="14"/>
      <c r="C557" s="14"/>
      <c r="D557" s="14"/>
      <c r="E557" s="14"/>
    </row>
    <row r="558" ht="15.75" customHeight="1">
      <c r="A558" s="14"/>
      <c r="B558" s="14"/>
      <c r="C558" s="14"/>
      <c r="D558" s="14"/>
      <c r="E558" s="14"/>
    </row>
    <row r="559" ht="15.75" customHeight="1">
      <c r="A559" s="14"/>
      <c r="B559" s="14"/>
      <c r="C559" s="14"/>
      <c r="D559" s="14"/>
      <c r="E559" s="14"/>
    </row>
    <row r="560" ht="15.75" customHeight="1">
      <c r="A560" s="14"/>
      <c r="B560" s="14"/>
      <c r="C560" s="14"/>
      <c r="D560" s="14"/>
      <c r="E560" s="14"/>
    </row>
    <row r="561" ht="15.75" customHeight="1">
      <c r="A561" s="14"/>
      <c r="B561" s="14"/>
      <c r="C561" s="14"/>
      <c r="D561" s="14"/>
      <c r="E561" s="14"/>
    </row>
    <row r="562" ht="15.75" customHeight="1">
      <c r="A562" s="14"/>
      <c r="B562" s="14"/>
      <c r="C562" s="14"/>
      <c r="D562" s="14"/>
      <c r="E562" s="14"/>
    </row>
    <row r="563" ht="15.75" customHeight="1">
      <c r="A563" s="14"/>
      <c r="B563" s="14"/>
      <c r="C563" s="14"/>
      <c r="D563" s="14"/>
      <c r="E563" s="14"/>
    </row>
    <row r="564" ht="15.75" customHeight="1">
      <c r="A564" s="14"/>
      <c r="B564" s="14"/>
      <c r="C564" s="14"/>
      <c r="D564" s="14"/>
      <c r="E564" s="14"/>
    </row>
    <row r="565" ht="15.75" customHeight="1">
      <c r="A565" s="14"/>
      <c r="B565" s="14"/>
      <c r="C565" s="14"/>
      <c r="D565" s="14"/>
      <c r="E565" s="14"/>
    </row>
    <row r="566" ht="15.75" customHeight="1">
      <c r="A566" s="14"/>
      <c r="B566" s="14"/>
      <c r="C566" s="14"/>
      <c r="D566" s="14"/>
      <c r="E566" s="14"/>
    </row>
    <row r="567" ht="15.75" customHeight="1">
      <c r="A567" s="14"/>
      <c r="B567" s="14"/>
      <c r="C567" s="14"/>
      <c r="D567" s="14"/>
      <c r="E567" s="14"/>
    </row>
    <row r="568" ht="15.75" customHeight="1">
      <c r="A568" s="14"/>
      <c r="B568" s="14"/>
      <c r="C568" s="14"/>
      <c r="D568" s="14"/>
      <c r="E568" s="14"/>
    </row>
    <row r="569" ht="15.75" customHeight="1">
      <c r="A569" s="14"/>
      <c r="B569" s="14"/>
      <c r="C569" s="14"/>
      <c r="D569" s="14"/>
      <c r="E569" s="14"/>
    </row>
    <row r="570" ht="15.75" customHeight="1">
      <c r="A570" s="14"/>
      <c r="B570" s="14"/>
      <c r="C570" s="14"/>
      <c r="D570" s="14"/>
      <c r="E570" s="14"/>
    </row>
    <row r="571" ht="15.75" customHeight="1">
      <c r="A571" s="14"/>
      <c r="B571" s="14"/>
      <c r="C571" s="14"/>
      <c r="D571" s="14"/>
      <c r="E571" s="14"/>
    </row>
    <row r="572" ht="15.75" customHeight="1">
      <c r="A572" s="14"/>
      <c r="B572" s="14"/>
      <c r="C572" s="14"/>
      <c r="D572" s="14"/>
      <c r="E572" s="14"/>
    </row>
    <row r="573" ht="15.75" customHeight="1">
      <c r="A573" s="14"/>
      <c r="B573" s="14"/>
      <c r="C573" s="14"/>
      <c r="D573" s="14"/>
      <c r="E573" s="14"/>
    </row>
    <row r="574" ht="15.75" customHeight="1">
      <c r="A574" s="14"/>
      <c r="B574" s="14"/>
      <c r="C574" s="14"/>
      <c r="D574" s="14"/>
      <c r="E574" s="14"/>
    </row>
    <row r="575" ht="15.75" customHeight="1">
      <c r="A575" s="14"/>
      <c r="B575" s="14"/>
      <c r="C575" s="14"/>
      <c r="D575" s="14"/>
      <c r="E575" s="14"/>
    </row>
    <row r="576" ht="15.75" customHeight="1">
      <c r="A576" s="14"/>
      <c r="B576" s="14"/>
      <c r="C576" s="14"/>
      <c r="D576" s="14"/>
      <c r="E576" s="14"/>
    </row>
    <row r="577" ht="15.75" customHeight="1">
      <c r="A577" s="14"/>
      <c r="B577" s="14"/>
      <c r="C577" s="14"/>
      <c r="D577" s="14"/>
      <c r="E577" s="14"/>
    </row>
    <row r="578" ht="15.75" customHeight="1">
      <c r="A578" s="14"/>
      <c r="B578" s="14"/>
      <c r="C578" s="14"/>
      <c r="D578" s="14"/>
      <c r="E578" s="14"/>
    </row>
    <row r="579" ht="15.75" customHeight="1">
      <c r="A579" s="14"/>
      <c r="B579" s="14"/>
      <c r="C579" s="14"/>
      <c r="D579" s="14"/>
      <c r="E579" s="14"/>
    </row>
    <row r="580" ht="15.75" customHeight="1">
      <c r="A580" s="14"/>
      <c r="B580" s="14"/>
      <c r="C580" s="14"/>
      <c r="D580" s="14"/>
      <c r="E580" s="14"/>
    </row>
    <row r="581" ht="15.75" customHeight="1">
      <c r="A581" s="14"/>
      <c r="B581" s="14"/>
      <c r="C581" s="14"/>
      <c r="D581" s="14"/>
      <c r="E581" s="14"/>
    </row>
    <row r="582" ht="15.75" customHeight="1">
      <c r="A582" s="14"/>
      <c r="B582" s="14"/>
      <c r="C582" s="14"/>
      <c r="D582" s="14"/>
      <c r="E582" s="14"/>
    </row>
    <row r="583" ht="15.75" customHeight="1">
      <c r="A583" s="14"/>
      <c r="B583" s="14"/>
      <c r="C583" s="14"/>
      <c r="D583" s="14"/>
      <c r="E583" s="14"/>
    </row>
    <row r="584" ht="15.75" customHeight="1">
      <c r="A584" s="14"/>
      <c r="B584" s="14"/>
      <c r="C584" s="14"/>
      <c r="D584" s="14"/>
      <c r="E584" s="14"/>
    </row>
    <row r="585" ht="15.75" customHeight="1">
      <c r="A585" s="14"/>
      <c r="B585" s="14"/>
      <c r="C585" s="14"/>
      <c r="D585" s="14"/>
      <c r="E585" s="14"/>
    </row>
    <row r="586" ht="15.75" customHeight="1">
      <c r="A586" s="14"/>
      <c r="B586" s="14"/>
      <c r="C586" s="14"/>
      <c r="D586" s="14"/>
      <c r="E586" s="14"/>
    </row>
    <row r="587" ht="15.75" customHeight="1">
      <c r="A587" s="14"/>
      <c r="B587" s="14"/>
      <c r="C587" s="14"/>
      <c r="D587" s="14"/>
      <c r="E587" s="14"/>
    </row>
    <row r="588" ht="15.75" customHeight="1">
      <c r="A588" s="14"/>
      <c r="B588" s="14"/>
      <c r="C588" s="14"/>
      <c r="D588" s="14"/>
      <c r="E588" s="14"/>
    </row>
    <row r="589" ht="15.75" customHeight="1">
      <c r="A589" s="14"/>
      <c r="B589" s="14"/>
      <c r="C589" s="14"/>
      <c r="D589" s="14"/>
      <c r="E589" s="14"/>
    </row>
    <row r="590" ht="15.75" customHeight="1">
      <c r="A590" s="14"/>
      <c r="B590" s="14"/>
      <c r="C590" s="14"/>
      <c r="D590" s="14"/>
      <c r="E590" s="14"/>
    </row>
    <row r="591" ht="15.75" customHeight="1">
      <c r="A591" s="14"/>
      <c r="B591" s="14"/>
      <c r="C591" s="14"/>
      <c r="D591" s="14"/>
      <c r="E591" s="14"/>
    </row>
    <row r="592" ht="15.75" customHeight="1">
      <c r="A592" s="14"/>
      <c r="B592" s="14"/>
      <c r="C592" s="14"/>
      <c r="D592" s="14"/>
      <c r="E592" s="14"/>
    </row>
    <row r="593" ht="15.75" customHeight="1">
      <c r="A593" s="14"/>
      <c r="B593" s="14"/>
      <c r="C593" s="14"/>
      <c r="D593" s="14"/>
      <c r="E593" s="14"/>
    </row>
    <row r="594" ht="15.75" customHeight="1">
      <c r="A594" s="14"/>
      <c r="B594" s="14"/>
      <c r="C594" s="14"/>
      <c r="D594" s="14"/>
      <c r="E594" s="14"/>
    </row>
    <row r="595" ht="15.75" customHeight="1">
      <c r="A595" s="14"/>
      <c r="B595" s="14"/>
      <c r="C595" s="14"/>
      <c r="D595" s="14"/>
      <c r="E595" s="14"/>
    </row>
    <row r="596" ht="15.75" customHeight="1">
      <c r="A596" s="14"/>
      <c r="B596" s="14"/>
      <c r="C596" s="14"/>
      <c r="D596" s="14"/>
      <c r="E596" s="14"/>
    </row>
    <row r="597" ht="15.75" customHeight="1">
      <c r="A597" s="14"/>
      <c r="B597" s="14"/>
      <c r="C597" s="14"/>
      <c r="D597" s="14"/>
      <c r="E597" s="14"/>
    </row>
    <row r="598" ht="15.75" customHeight="1">
      <c r="A598" s="14"/>
      <c r="B598" s="14"/>
      <c r="C598" s="14"/>
      <c r="D598" s="14"/>
      <c r="E598" s="14"/>
    </row>
    <row r="599" ht="15.75" customHeight="1">
      <c r="A599" s="14"/>
      <c r="B599" s="14"/>
      <c r="C599" s="14"/>
      <c r="D599" s="14"/>
      <c r="E599" s="14"/>
    </row>
    <row r="600" ht="15.75" customHeight="1">
      <c r="A600" s="14"/>
      <c r="B600" s="14"/>
      <c r="C600" s="14"/>
      <c r="D600" s="14"/>
      <c r="E600" s="14"/>
    </row>
    <row r="601" ht="15.75" customHeight="1">
      <c r="A601" s="14"/>
      <c r="B601" s="14"/>
      <c r="C601" s="14"/>
      <c r="D601" s="14"/>
      <c r="E601" s="14"/>
    </row>
    <row r="602" ht="15.75" customHeight="1">
      <c r="A602" s="14"/>
      <c r="B602" s="14"/>
      <c r="C602" s="14"/>
      <c r="D602" s="14"/>
      <c r="E602" s="14"/>
    </row>
    <row r="603" ht="15.75" customHeight="1">
      <c r="A603" s="14"/>
      <c r="B603" s="14"/>
      <c r="C603" s="14"/>
      <c r="D603" s="14"/>
      <c r="E603" s="14"/>
    </row>
    <row r="604" ht="15.75" customHeight="1">
      <c r="A604" s="14"/>
      <c r="B604" s="14"/>
      <c r="C604" s="14"/>
      <c r="D604" s="14"/>
      <c r="E604" s="14"/>
    </row>
    <row r="605" ht="15.75" customHeight="1">
      <c r="A605" s="14"/>
      <c r="B605" s="14"/>
      <c r="C605" s="14"/>
      <c r="D605" s="14"/>
      <c r="E605" s="14"/>
    </row>
    <row r="606" ht="15.75" customHeight="1">
      <c r="A606" s="14"/>
      <c r="B606" s="14"/>
      <c r="C606" s="14"/>
      <c r="D606" s="14"/>
      <c r="E606" s="14"/>
    </row>
    <row r="607" ht="15.75" customHeight="1">
      <c r="A607" s="14"/>
      <c r="B607" s="14"/>
      <c r="C607" s="14"/>
      <c r="D607" s="14"/>
      <c r="E607" s="14"/>
    </row>
    <row r="608" ht="15.75" customHeight="1">
      <c r="A608" s="14"/>
      <c r="B608" s="14"/>
      <c r="C608" s="14"/>
      <c r="D608" s="14"/>
      <c r="E608" s="14"/>
    </row>
    <row r="609" ht="15.75" customHeight="1">
      <c r="A609" s="14"/>
      <c r="B609" s="14"/>
      <c r="C609" s="14"/>
      <c r="D609" s="14"/>
      <c r="E609" s="14"/>
    </row>
    <row r="610" ht="15.75" customHeight="1">
      <c r="A610" s="14"/>
      <c r="B610" s="14"/>
      <c r="C610" s="14"/>
      <c r="D610" s="14"/>
      <c r="E610" s="14"/>
    </row>
    <row r="611" ht="15.75" customHeight="1">
      <c r="A611" s="14"/>
      <c r="B611" s="14"/>
      <c r="C611" s="14"/>
      <c r="D611" s="14"/>
      <c r="E611" s="14"/>
    </row>
    <row r="612" ht="15.75" customHeight="1">
      <c r="A612" s="14"/>
      <c r="B612" s="14"/>
      <c r="C612" s="14"/>
      <c r="D612" s="14"/>
      <c r="E612" s="14"/>
    </row>
    <row r="613" ht="15.75" customHeight="1">
      <c r="A613" s="14"/>
      <c r="B613" s="14"/>
      <c r="C613" s="14"/>
      <c r="D613" s="14"/>
      <c r="E613" s="14"/>
    </row>
    <row r="614" ht="15.75" customHeight="1">
      <c r="A614" s="14"/>
      <c r="B614" s="14"/>
      <c r="C614" s="14"/>
      <c r="D614" s="14"/>
      <c r="E614" s="14"/>
    </row>
    <row r="615" ht="15.75" customHeight="1">
      <c r="A615" s="14"/>
      <c r="B615" s="14"/>
      <c r="C615" s="14"/>
      <c r="D615" s="14"/>
      <c r="E615" s="14"/>
    </row>
    <row r="616" ht="15.75" customHeight="1">
      <c r="A616" s="14"/>
      <c r="B616" s="14"/>
      <c r="C616" s="14"/>
      <c r="D616" s="14"/>
      <c r="E616" s="14"/>
    </row>
    <row r="617" ht="15.75" customHeight="1">
      <c r="A617" s="14"/>
      <c r="B617" s="14"/>
      <c r="C617" s="14"/>
      <c r="D617" s="14"/>
      <c r="E617" s="14"/>
    </row>
    <row r="618" ht="15.75" customHeight="1">
      <c r="A618" s="14"/>
      <c r="B618" s="14"/>
      <c r="C618" s="14"/>
      <c r="D618" s="14"/>
      <c r="E618" s="14"/>
    </row>
    <row r="619" ht="15.75" customHeight="1">
      <c r="A619" s="14"/>
      <c r="B619" s="14"/>
      <c r="C619" s="14"/>
      <c r="D619" s="14"/>
      <c r="E619" s="14"/>
    </row>
    <row r="620" ht="15.75" customHeight="1">
      <c r="A620" s="14"/>
      <c r="B620" s="14"/>
      <c r="C620" s="14"/>
      <c r="D620" s="14"/>
      <c r="E620" s="14"/>
    </row>
    <row r="621" ht="15.75" customHeight="1">
      <c r="A621" s="14"/>
      <c r="B621" s="14"/>
      <c r="C621" s="14"/>
      <c r="D621" s="14"/>
      <c r="E621" s="14"/>
    </row>
    <row r="622" ht="15.75" customHeight="1">
      <c r="A622" s="14"/>
      <c r="B622" s="14"/>
      <c r="C622" s="14"/>
      <c r="D622" s="14"/>
      <c r="E622" s="14"/>
    </row>
    <row r="623" ht="15.75" customHeight="1">
      <c r="A623" s="14"/>
      <c r="B623" s="14"/>
      <c r="C623" s="14"/>
      <c r="D623" s="14"/>
      <c r="E623" s="14"/>
    </row>
    <row r="624" ht="15.75" customHeight="1">
      <c r="A624" s="14"/>
      <c r="B624" s="14"/>
      <c r="C624" s="14"/>
      <c r="D624" s="14"/>
      <c r="E624" s="14"/>
    </row>
    <row r="625" ht="15.75" customHeight="1">
      <c r="A625" s="14"/>
      <c r="B625" s="14"/>
      <c r="C625" s="14"/>
      <c r="D625" s="14"/>
      <c r="E625" s="14"/>
    </row>
    <row r="626" ht="15.75" customHeight="1">
      <c r="A626" s="14"/>
      <c r="B626" s="14"/>
      <c r="C626" s="14"/>
      <c r="D626" s="14"/>
      <c r="E626" s="14"/>
    </row>
    <row r="627" ht="15.75" customHeight="1">
      <c r="A627" s="14"/>
      <c r="B627" s="14"/>
      <c r="C627" s="14"/>
      <c r="D627" s="14"/>
      <c r="E627" s="14"/>
    </row>
    <row r="628" ht="15.75" customHeight="1">
      <c r="A628" s="14"/>
      <c r="B628" s="14"/>
      <c r="C628" s="14"/>
      <c r="D628" s="14"/>
      <c r="E628" s="14"/>
    </row>
    <row r="629" ht="15.75" customHeight="1">
      <c r="A629" s="14"/>
      <c r="B629" s="14"/>
      <c r="C629" s="14"/>
      <c r="D629" s="14"/>
      <c r="E629" s="14"/>
    </row>
    <row r="630" ht="15.75" customHeight="1">
      <c r="A630" s="14"/>
      <c r="B630" s="14"/>
      <c r="C630" s="14"/>
      <c r="D630" s="14"/>
      <c r="E630" s="14"/>
    </row>
    <row r="631" ht="15.75" customHeight="1">
      <c r="A631" s="14"/>
      <c r="B631" s="14"/>
      <c r="C631" s="14"/>
      <c r="D631" s="14"/>
      <c r="E631" s="14"/>
    </row>
    <row r="632" ht="15.75" customHeight="1">
      <c r="A632" s="14"/>
      <c r="B632" s="14"/>
      <c r="C632" s="14"/>
      <c r="D632" s="14"/>
      <c r="E632" s="14"/>
    </row>
    <row r="633" ht="15.75" customHeight="1">
      <c r="A633" s="14"/>
      <c r="B633" s="14"/>
      <c r="C633" s="14"/>
      <c r="D633" s="14"/>
      <c r="E633" s="14"/>
    </row>
    <row r="634" ht="15.75" customHeight="1">
      <c r="A634" s="14"/>
      <c r="B634" s="14"/>
      <c r="C634" s="14"/>
      <c r="D634" s="14"/>
      <c r="E634" s="14"/>
    </row>
    <row r="635" ht="15.75" customHeight="1">
      <c r="A635" s="14"/>
      <c r="B635" s="14"/>
      <c r="C635" s="14"/>
      <c r="D635" s="14"/>
      <c r="E635" s="14"/>
    </row>
    <row r="636" ht="15.75" customHeight="1">
      <c r="A636" s="14"/>
      <c r="B636" s="14"/>
      <c r="C636" s="14"/>
      <c r="D636" s="14"/>
      <c r="E636" s="14"/>
    </row>
    <row r="637" ht="15.75" customHeight="1">
      <c r="A637" s="14"/>
      <c r="B637" s="14"/>
      <c r="C637" s="14"/>
      <c r="D637" s="14"/>
      <c r="E637" s="14"/>
    </row>
    <row r="638" ht="15.75" customHeight="1">
      <c r="A638" s="14"/>
      <c r="B638" s="14"/>
      <c r="C638" s="14"/>
      <c r="D638" s="14"/>
      <c r="E638" s="14"/>
    </row>
    <row r="639" ht="15.75" customHeight="1">
      <c r="A639" s="14"/>
      <c r="B639" s="14"/>
      <c r="C639" s="14"/>
      <c r="D639" s="14"/>
      <c r="E639" s="14"/>
    </row>
    <row r="640" ht="15.75" customHeight="1">
      <c r="A640" s="14"/>
      <c r="B640" s="14"/>
      <c r="C640" s="14"/>
      <c r="D640" s="14"/>
      <c r="E640" s="14"/>
    </row>
    <row r="641" ht="15.75" customHeight="1">
      <c r="A641" s="14"/>
      <c r="B641" s="14"/>
      <c r="C641" s="14"/>
      <c r="D641" s="14"/>
      <c r="E641" s="14"/>
    </row>
    <row r="642" ht="15.75" customHeight="1">
      <c r="A642" s="14"/>
      <c r="B642" s="14"/>
      <c r="C642" s="14"/>
      <c r="D642" s="14"/>
      <c r="E642" s="14"/>
    </row>
    <row r="643" ht="15.75" customHeight="1">
      <c r="A643" s="14"/>
      <c r="B643" s="14"/>
      <c r="C643" s="14"/>
      <c r="D643" s="14"/>
      <c r="E643" s="14"/>
    </row>
    <row r="644" ht="15.75" customHeight="1">
      <c r="A644" s="14"/>
      <c r="B644" s="14"/>
      <c r="C644" s="14"/>
      <c r="D644" s="14"/>
      <c r="E644" s="14"/>
    </row>
    <row r="645" ht="15.75" customHeight="1">
      <c r="A645" s="14"/>
      <c r="B645" s="14"/>
      <c r="C645" s="14"/>
      <c r="D645" s="14"/>
      <c r="E645" s="14"/>
    </row>
    <row r="646" ht="15.75" customHeight="1">
      <c r="A646" s="14"/>
      <c r="B646" s="14"/>
      <c r="C646" s="14"/>
      <c r="D646" s="14"/>
      <c r="E646" s="14"/>
    </row>
    <row r="647" ht="15.75" customHeight="1">
      <c r="A647" s="14"/>
      <c r="B647" s="14"/>
      <c r="C647" s="14"/>
      <c r="D647" s="14"/>
      <c r="E647" s="14"/>
    </row>
    <row r="648" ht="15.75" customHeight="1">
      <c r="A648" s="14"/>
      <c r="B648" s="14"/>
      <c r="C648" s="14"/>
      <c r="D648" s="14"/>
      <c r="E648" s="14"/>
    </row>
    <row r="649" ht="15.75" customHeight="1">
      <c r="A649" s="14"/>
      <c r="B649" s="14"/>
      <c r="C649" s="14"/>
      <c r="D649" s="14"/>
      <c r="E649" s="14"/>
    </row>
    <row r="650" ht="15.75" customHeight="1">
      <c r="A650" s="14"/>
      <c r="B650" s="14"/>
      <c r="C650" s="14"/>
      <c r="D650" s="14"/>
      <c r="E650" s="14"/>
    </row>
    <row r="651" ht="15.75" customHeight="1">
      <c r="A651" s="14"/>
      <c r="B651" s="14"/>
      <c r="C651" s="14"/>
      <c r="D651" s="14"/>
      <c r="E651" s="14"/>
    </row>
    <row r="652" ht="15.75" customHeight="1">
      <c r="A652" s="14"/>
      <c r="B652" s="14"/>
      <c r="C652" s="14"/>
      <c r="D652" s="14"/>
      <c r="E652" s="14"/>
    </row>
    <row r="653" ht="15.75" customHeight="1">
      <c r="A653" s="14"/>
      <c r="B653" s="14"/>
      <c r="C653" s="14"/>
      <c r="D653" s="14"/>
      <c r="E653" s="14"/>
    </row>
    <row r="654" ht="15.75" customHeight="1">
      <c r="A654" s="14"/>
      <c r="B654" s="14"/>
      <c r="C654" s="14"/>
      <c r="D654" s="14"/>
      <c r="E654" s="14"/>
    </row>
    <row r="655" ht="15.75" customHeight="1">
      <c r="A655" s="14"/>
      <c r="B655" s="14"/>
      <c r="C655" s="14"/>
      <c r="D655" s="14"/>
      <c r="E655" s="14"/>
    </row>
    <row r="656" ht="15.75" customHeight="1">
      <c r="A656" s="14"/>
      <c r="B656" s="14"/>
      <c r="C656" s="14"/>
      <c r="D656" s="14"/>
      <c r="E656" s="14"/>
    </row>
    <row r="657" ht="15.75" customHeight="1">
      <c r="A657" s="14"/>
      <c r="B657" s="14"/>
      <c r="C657" s="14"/>
      <c r="D657" s="14"/>
      <c r="E657" s="14"/>
    </row>
    <row r="658" ht="15.75" customHeight="1">
      <c r="A658" s="14"/>
      <c r="B658" s="14"/>
      <c r="C658" s="14"/>
      <c r="D658" s="14"/>
      <c r="E658" s="14"/>
    </row>
    <row r="659" ht="15.75" customHeight="1">
      <c r="A659" s="14"/>
      <c r="B659" s="14"/>
      <c r="C659" s="14"/>
      <c r="D659" s="14"/>
      <c r="E659" s="14"/>
    </row>
    <row r="660" ht="15.75" customHeight="1">
      <c r="A660" s="14"/>
      <c r="B660" s="14"/>
      <c r="C660" s="14"/>
      <c r="D660" s="14"/>
      <c r="E660" s="14"/>
    </row>
    <row r="661" ht="15.75" customHeight="1">
      <c r="A661" s="14"/>
      <c r="B661" s="14"/>
      <c r="C661" s="14"/>
      <c r="D661" s="14"/>
      <c r="E661" s="14"/>
    </row>
    <row r="662" ht="15.75" customHeight="1">
      <c r="A662" s="14"/>
      <c r="B662" s="14"/>
      <c r="C662" s="14"/>
      <c r="D662" s="14"/>
      <c r="E662" s="14"/>
    </row>
    <row r="663" ht="15.75" customHeight="1">
      <c r="A663" s="14"/>
      <c r="B663" s="14"/>
      <c r="C663" s="14"/>
      <c r="D663" s="14"/>
      <c r="E663" s="14"/>
    </row>
    <row r="664" ht="15.75" customHeight="1">
      <c r="A664" s="14"/>
      <c r="B664" s="14"/>
      <c r="C664" s="14"/>
      <c r="D664" s="14"/>
      <c r="E664" s="14"/>
    </row>
    <row r="665" ht="15.75" customHeight="1">
      <c r="A665" s="14"/>
      <c r="B665" s="14"/>
      <c r="C665" s="14"/>
      <c r="D665" s="14"/>
      <c r="E665" s="14"/>
    </row>
    <row r="666" ht="15.75" customHeight="1">
      <c r="A666" s="14"/>
      <c r="B666" s="14"/>
      <c r="C666" s="14"/>
      <c r="D666" s="14"/>
      <c r="E666" s="14"/>
    </row>
    <row r="667" ht="15.75" customHeight="1">
      <c r="A667" s="14"/>
      <c r="B667" s="14"/>
      <c r="C667" s="14"/>
      <c r="D667" s="14"/>
      <c r="E667" s="14"/>
    </row>
    <row r="668" ht="15.75" customHeight="1">
      <c r="A668" s="14"/>
      <c r="B668" s="14"/>
      <c r="C668" s="14"/>
      <c r="D668" s="14"/>
      <c r="E668" s="14"/>
    </row>
    <row r="669" ht="15.75" customHeight="1">
      <c r="A669" s="14"/>
      <c r="B669" s="14"/>
      <c r="C669" s="14"/>
      <c r="D669" s="14"/>
      <c r="E669" s="14"/>
    </row>
    <row r="670" ht="15.75" customHeight="1">
      <c r="A670" s="14"/>
      <c r="B670" s="14"/>
      <c r="C670" s="14"/>
      <c r="D670" s="14"/>
      <c r="E670" s="14"/>
    </row>
    <row r="671" ht="15.75" customHeight="1">
      <c r="A671" s="14"/>
      <c r="B671" s="14"/>
      <c r="C671" s="14"/>
      <c r="D671" s="14"/>
      <c r="E671" s="14"/>
    </row>
    <row r="672" ht="15.75" customHeight="1">
      <c r="A672" s="14"/>
      <c r="B672" s="14"/>
      <c r="C672" s="14"/>
      <c r="D672" s="14"/>
      <c r="E672" s="14"/>
    </row>
    <row r="673" ht="15.75" customHeight="1">
      <c r="A673" s="14"/>
      <c r="B673" s="14"/>
      <c r="C673" s="14"/>
      <c r="D673" s="14"/>
      <c r="E673" s="14"/>
    </row>
    <row r="674" ht="15.75" customHeight="1">
      <c r="A674" s="14"/>
      <c r="B674" s="14"/>
      <c r="C674" s="14"/>
      <c r="D674" s="14"/>
      <c r="E674" s="14"/>
    </row>
    <row r="675" ht="15.75" customHeight="1">
      <c r="A675" s="14"/>
      <c r="B675" s="14"/>
      <c r="C675" s="14"/>
      <c r="D675" s="14"/>
      <c r="E675" s="14"/>
    </row>
    <row r="676" ht="15.75" customHeight="1">
      <c r="A676" s="14"/>
      <c r="B676" s="14"/>
      <c r="C676" s="14"/>
      <c r="D676" s="14"/>
      <c r="E676" s="14"/>
    </row>
    <row r="677" ht="15.75" customHeight="1">
      <c r="A677" s="14"/>
      <c r="B677" s="14"/>
      <c r="C677" s="14"/>
      <c r="D677" s="14"/>
      <c r="E677" s="14"/>
    </row>
    <row r="678" ht="15.75" customHeight="1">
      <c r="A678" s="14"/>
      <c r="B678" s="14"/>
      <c r="C678" s="14"/>
      <c r="D678" s="14"/>
      <c r="E678" s="14"/>
    </row>
    <row r="679" ht="15.75" customHeight="1">
      <c r="A679" s="14"/>
      <c r="B679" s="14"/>
      <c r="C679" s="14"/>
      <c r="D679" s="14"/>
      <c r="E679" s="14"/>
    </row>
    <row r="680" ht="15.75" customHeight="1">
      <c r="A680" s="14"/>
      <c r="B680" s="14"/>
      <c r="C680" s="14"/>
      <c r="D680" s="14"/>
      <c r="E680" s="14"/>
    </row>
    <row r="681" ht="15.75" customHeight="1">
      <c r="A681" s="14"/>
      <c r="B681" s="14"/>
      <c r="C681" s="14"/>
      <c r="D681" s="14"/>
      <c r="E681" s="14"/>
    </row>
    <row r="682" ht="15.75" customHeight="1">
      <c r="A682" s="14"/>
      <c r="B682" s="14"/>
      <c r="C682" s="14"/>
      <c r="D682" s="14"/>
      <c r="E682" s="14"/>
    </row>
    <row r="683" ht="15.75" customHeight="1">
      <c r="A683" s="14"/>
      <c r="B683" s="14"/>
      <c r="C683" s="14"/>
      <c r="D683" s="14"/>
      <c r="E683" s="14"/>
    </row>
    <row r="684" ht="15.75" customHeight="1">
      <c r="A684" s="14"/>
      <c r="B684" s="14"/>
      <c r="C684" s="14"/>
      <c r="D684" s="14"/>
      <c r="E684" s="14"/>
    </row>
    <row r="685" ht="15.75" customHeight="1">
      <c r="A685" s="14"/>
      <c r="B685" s="14"/>
      <c r="C685" s="14"/>
      <c r="D685" s="14"/>
      <c r="E685" s="14"/>
    </row>
    <row r="686" ht="15.75" customHeight="1">
      <c r="A686" s="14"/>
      <c r="B686" s="14"/>
      <c r="C686" s="14"/>
      <c r="D686" s="14"/>
      <c r="E686" s="14"/>
    </row>
    <row r="687" ht="15.75" customHeight="1">
      <c r="A687" s="14"/>
      <c r="B687" s="14"/>
      <c r="C687" s="14"/>
      <c r="D687" s="14"/>
      <c r="E687" s="14"/>
    </row>
    <row r="688" ht="15.75" customHeight="1">
      <c r="A688" s="14"/>
      <c r="B688" s="14"/>
      <c r="C688" s="14"/>
      <c r="D688" s="14"/>
      <c r="E688" s="14"/>
    </row>
    <row r="689" ht="15.75" customHeight="1">
      <c r="A689" s="14"/>
      <c r="B689" s="14"/>
      <c r="C689" s="14"/>
      <c r="D689" s="14"/>
      <c r="E689" s="14"/>
    </row>
    <row r="690" ht="15.75" customHeight="1">
      <c r="A690" s="14"/>
      <c r="B690" s="14"/>
      <c r="C690" s="14"/>
      <c r="D690" s="14"/>
      <c r="E690" s="14"/>
    </row>
    <row r="691" ht="15.75" customHeight="1">
      <c r="A691" s="14"/>
      <c r="B691" s="14"/>
      <c r="C691" s="14"/>
      <c r="D691" s="14"/>
      <c r="E691" s="14"/>
    </row>
    <row r="692" ht="15.75" customHeight="1">
      <c r="A692" s="14"/>
      <c r="B692" s="14"/>
      <c r="C692" s="14"/>
      <c r="D692" s="14"/>
      <c r="E692" s="14"/>
    </row>
    <row r="693" ht="15.75" customHeight="1">
      <c r="A693" s="14"/>
      <c r="B693" s="14"/>
      <c r="C693" s="14"/>
      <c r="D693" s="14"/>
      <c r="E693" s="14"/>
    </row>
    <row r="694" ht="15.75" customHeight="1">
      <c r="A694" s="14"/>
      <c r="B694" s="14"/>
      <c r="C694" s="14"/>
      <c r="D694" s="14"/>
      <c r="E694" s="14"/>
    </row>
    <row r="695" ht="15.75" customHeight="1">
      <c r="A695" s="14"/>
      <c r="B695" s="14"/>
      <c r="C695" s="14"/>
      <c r="D695" s="14"/>
      <c r="E695" s="14"/>
    </row>
    <row r="696" ht="15.75" customHeight="1">
      <c r="A696" s="14"/>
      <c r="B696" s="14"/>
      <c r="C696" s="14"/>
      <c r="D696" s="14"/>
      <c r="E696" s="14"/>
    </row>
    <row r="697" ht="15.75" customHeight="1">
      <c r="A697" s="14"/>
      <c r="B697" s="14"/>
      <c r="C697" s="14"/>
      <c r="D697" s="14"/>
      <c r="E697" s="14"/>
    </row>
    <row r="698" ht="15.75" customHeight="1">
      <c r="A698" s="14"/>
      <c r="B698" s="14"/>
      <c r="C698" s="14"/>
      <c r="D698" s="14"/>
      <c r="E698" s="14"/>
    </row>
    <row r="699" ht="15.75" customHeight="1">
      <c r="A699" s="14"/>
      <c r="B699" s="14"/>
      <c r="C699" s="14"/>
      <c r="D699" s="14"/>
      <c r="E699" s="14"/>
    </row>
    <row r="700" ht="15.75" customHeight="1">
      <c r="A700" s="14"/>
      <c r="B700" s="14"/>
      <c r="C700" s="14"/>
      <c r="D700" s="14"/>
      <c r="E700" s="14"/>
    </row>
    <row r="701" ht="15.75" customHeight="1">
      <c r="A701" s="14"/>
      <c r="B701" s="14"/>
      <c r="C701" s="14"/>
      <c r="D701" s="14"/>
      <c r="E701" s="14"/>
    </row>
    <row r="702" ht="15.75" customHeight="1">
      <c r="A702" s="14"/>
      <c r="B702" s="14"/>
      <c r="C702" s="14"/>
      <c r="D702" s="14"/>
      <c r="E702" s="14"/>
    </row>
    <row r="703" ht="15.75" customHeight="1">
      <c r="A703" s="14"/>
      <c r="B703" s="14"/>
      <c r="C703" s="14"/>
      <c r="D703" s="14"/>
      <c r="E703" s="14"/>
    </row>
    <row r="704" ht="15.75" customHeight="1">
      <c r="A704" s="14"/>
      <c r="B704" s="14"/>
      <c r="C704" s="14"/>
      <c r="D704" s="14"/>
      <c r="E704" s="14"/>
    </row>
    <row r="705" ht="15.75" customHeight="1">
      <c r="A705" s="14"/>
      <c r="B705" s="14"/>
      <c r="C705" s="14"/>
      <c r="D705" s="14"/>
      <c r="E705" s="14"/>
    </row>
    <row r="706" ht="15.75" customHeight="1">
      <c r="A706" s="14"/>
      <c r="B706" s="14"/>
      <c r="C706" s="14"/>
      <c r="D706" s="14"/>
      <c r="E706" s="14"/>
    </row>
    <row r="707" ht="15.75" customHeight="1">
      <c r="A707" s="14"/>
      <c r="B707" s="14"/>
      <c r="C707" s="14"/>
      <c r="D707" s="14"/>
      <c r="E707" s="14"/>
    </row>
    <row r="708" ht="15.75" customHeight="1">
      <c r="A708" s="14"/>
      <c r="B708" s="14"/>
      <c r="C708" s="14"/>
      <c r="D708" s="14"/>
      <c r="E708" s="14"/>
    </row>
    <row r="709" ht="15.75" customHeight="1">
      <c r="A709" s="14"/>
      <c r="B709" s="14"/>
      <c r="C709" s="14"/>
      <c r="D709" s="14"/>
      <c r="E709" s="14"/>
    </row>
    <row r="710" ht="15.75" customHeight="1">
      <c r="A710" s="14"/>
      <c r="B710" s="14"/>
      <c r="C710" s="14"/>
      <c r="D710" s="14"/>
      <c r="E710" s="14"/>
    </row>
    <row r="711" ht="15.75" customHeight="1">
      <c r="A711" s="14"/>
      <c r="B711" s="14"/>
      <c r="C711" s="14"/>
      <c r="D711" s="14"/>
      <c r="E711" s="14"/>
    </row>
    <row r="712" ht="15.75" customHeight="1">
      <c r="A712" s="14"/>
      <c r="B712" s="14"/>
      <c r="C712" s="14"/>
      <c r="D712" s="14"/>
      <c r="E712" s="14"/>
    </row>
    <row r="713" ht="15.75" customHeight="1">
      <c r="A713" s="14"/>
      <c r="B713" s="14"/>
      <c r="C713" s="14"/>
      <c r="D713" s="14"/>
      <c r="E713" s="14"/>
    </row>
    <row r="714" ht="15.75" customHeight="1">
      <c r="A714" s="14"/>
      <c r="B714" s="14"/>
      <c r="C714" s="14"/>
      <c r="D714" s="14"/>
      <c r="E714" s="14"/>
    </row>
    <row r="715" ht="15.75" customHeight="1">
      <c r="A715" s="14"/>
      <c r="B715" s="14"/>
      <c r="C715" s="14"/>
      <c r="D715" s="14"/>
      <c r="E715" s="14"/>
    </row>
    <row r="716" ht="15.75" customHeight="1">
      <c r="A716" s="14"/>
      <c r="B716" s="14"/>
      <c r="C716" s="14"/>
      <c r="D716" s="14"/>
      <c r="E716" s="14"/>
    </row>
    <row r="717" ht="15.75" customHeight="1">
      <c r="A717" s="14"/>
      <c r="B717" s="14"/>
      <c r="C717" s="14"/>
      <c r="D717" s="14"/>
      <c r="E717" s="14"/>
    </row>
    <row r="718" ht="15.75" customHeight="1">
      <c r="A718" s="14"/>
      <c r="B718" s="14"/>
      <c r="C718" s="14"/>
      <c r="D718" s="14"/>
      <c r="E718" s="14"/>
    </row>
    <row r="719" ht="15.75" customHeight="1">
      <c r="A719" s="14"/>
      <c r="B719" s="14"/>
      <c r="C719" s="14"/>
      <c r="D719" s="14"/>
      <c r="E719" s="14"/>
    </row>
    <row r="720" ht="15.75" customHeight="1">
      <c r="A720" s="14"/>
      <c r="B720" s="14"/>
      <c r="C720" s="14"/>
      <c r="D720" s="14"/>
      <c r="E720" s="14"/>
    </row>
    <row r="721" ht="15.75" customHeight="1">
      <c r="A721" s="14"/>
      <c r="B721" s="14"/>
      <c r="C721" s="14"/>
      <c r="D721" s="14"/>
      <c r="E721" s="14"/>
    </row>
    <row r="722" ht="15.75" customHeight="1">
      <c r="A722" s="14"/>
      <c r="B722" s="14"/>
      <c r="C722" s="14"/>
      <c r="D722" s="14"/>
      <c r="E722" s="14"/>
    </row>
    <row r="723" ht="15.75" customHeight="1">
      <c r="A723" s="14"/>
      <c r="B723" s="14"/>
      <c r="C723" s="14"/>
      <c r="D723" s="14"/>
      <c r="E723" s="14"/>
    </row>
    <row r="724" ht="15.75" customHeight="1">
      <c r="A724" s="14"/>
      <c r="B724" s="14"/>
      <c r="C724" s="14"/>
      <c r="D724" s="14"/>
      <c r="E724" s="14"/>
    </row>
    <row r="725" ht="15.75" customHeight="1">
      <c r="A725" s="14"/>
      <c r="B725" s="14"/>
      <c r="C725" s="14"/>
      <c r="D725" s="14"/>
      <c r="E725" s="14"/>
    </row>
    <row r="726" ht="15.75" customHeight="1">
      <c r="A726" s="14"/>
      <c r="B726" s="14"/>
      <c r="C726" s="14"/>
      <c r="D726" s="14"/>
      <c r="E726" s="14"/>
    </row>
    <row r="727" ht="15.75" customHeight="1">
      <c r="A727" s="14"/>
      <c r="B727" s="14"/>
      <c r="C727" s="14"/>
      <c r="D727" s="14"/>
      <c r="E727" s="14"/>
    </row>
    <row r="728" ht="15.75" customHeight="1">
      <c r="A728" s="14"/>
      <c r="B728" s="14"/>
      <c r="C728" s="14"/>
      <c r="D728" s="14"/>
      <c r="E728" s="14"/>
    </row>
    <row r="729" ht="15.75" customHeight="1">
      <c r="A729" s="14"/>
      <c r="B729" s="14"/>
      <c r="C729" s="14"/>
      <c r="D729" s="14"/>
      <c r="E729" s="14"/>
    </row>
    <row r="730" ht="15.75" customHeight="1">
      <c r="A730" s="14"/>
      <c r="B730" s="14"/>
      <c r="C730" s="14"/>
      <c r="D730" s="14"/>
      <c r="E730" s="14"/>
    </row>
    <row r="731" ht="15.75" customHeight="1">
      <c r="A731" s="14"/>
      <c r="B731" s="14"/>
      <c r="C731" s="14"/>
      <c r="D731" s="14"/>
      <c r="E731" s="14"/>
    </row>
    <row r="732" ht="15.75" customHeight="1">
      <c r="A732" s="14"/>
      <c r="B732" s="14"/>
      <c r="C732" s="14"/>
      <c r="D732" s="14"/>
      <c r="E732" s="14"/>
    </row>
    <row r="733" ht="15.75" customHeight="1">
      <c r="A733" s="14"/>
      <c r="B733" s="14"/>
      <c r="C733" s="14"/>
      <c r="D733" s="14"/>
      <c r="E733" s="14"/>
    </row>
    <row r="734" ht="15.75" customHeight="1">
      <c r="A734" s="14"/>
      <c r="B734" s="14"/>
      <c r="C734" s="14"/>
      <c r="D734" s="14"/>
      <c r="E734" s="14"/>
    </row>
    <row r="735" ht="15.75" customHeight="1">
      <c r="A735" s="14"/>
      <c r="B735" s="14"/>
      <c r="C735" s="14"/>
      <c r="D735" s="14"/>
      <c r="E735" s="14"/>
    </row>
    <row r="736" ht="15.75" customHeight="1">
      <c r="A736" s="14"/>
      <c r="B736" s="14"/>
      <c r="C736" s="14"/>
      <c r="D736" s="14"/>
      <c r="E736" s="14"/>
    </row>
    <row r="737" ht="15.75" customHeight="1">
      <c r="A737" s="14"/>
      <c r="B737" s="14"/>
      <c r="C737" s="14"/>
      <c r="D737" s="14"/>
      <c r="E737" s="14"/>
    </row>
    <row r="738" ht="15.75" customHeight="1">
      <c r="A738" s="14"/>
      <c r="B738" s="14"/>
      <c r="C738" s="14"/>
      <c r="D738" s="14"/>
      <c r="E738" s="14"/>
    </row>
    <row r="739" ht="15.75" customHeight="1">
      <c r="A739" s="14"/>
      <c r="B739" s="14"/>
      <c r="C739" s="14"/>
      <c r="D739" s="14"/>
      <c r="E739" s="14"/>
    </row>
    <row r="740" ht="15.75" customHeight="1">
      <c r="A740" s="14"/>
      <c r="B740" s="14"/>
      <c r="C740" s="14"/>
      <c r="D740" s="14"/>
      <c r="E740" s="14"/>
    </row>
    <row r="741" ht="15.75" customHeight="1">
      <c r="A741" s="14"/>
      <c r="B741" s="14"/>
      <c r="C741" s="14"/>
      <c r="D741" s="14"/>
      <c r="E741" s="14"/>
    </row>
    <row r="742" ht="15.75" customHeight="1">
      <c r="A742" s="14"/>
      <c r="B742" s="14"/>
      <c r="C742" s="14"/>
      <c r="D742" s="14"/>
      <c r="E742" s="14"/>
    </row>
    <row r="743" ht="15.75" customHeight="1">
      <c r="A743" s="14"/>
      <c r="B743" s="14"/>
      <c r="C743" s="14"/>
      <c r="D743" s="14"/>
      <c r="E743" s="14"/>
    </row>
    <row r="744" ht="15.75" customHeight="1">
      <c r="A744" s="14"/>
      <c r="B744" s="14"/>
      <c r="C744" s="14"/>
      <c r="D744" s="14"/>
      <c r="E744" s="14"/>
    </row>
    <row r="745" ht="15.75" customHeight="1">
      <c r="A745" s="14"/>
      <c r="B745" s="14"/>
      <c r="C745" s="14"/>
      <c r="D745" s="14"/>
      <c r="E745" s="14"/>
    </row>
    <row r="746" ht="15.75" customHeight="1">
      <c r="A746" s="14"/>
      <c r="B746" s="14"/>
      <c r="C746" s="14"/>
      <c r="D746" s="14"/>
      <c r="E746" s="14"/>
    </row>
    <row r="747" ht="15.75" customHeight="1">
      <c r="A747" s="14"/>
      <c r="B747" s="14"/>
      <c r="C747" s="14"/>
      <c r="D747" s="14"/>
      <c r="E747" s="14"/>
    </row>
    <row r="748" ht="15.75" customHeight="1">
      <c r="A748" s="14"/>
      <c r="B748" s="14"/>
      <c r="C748" s="14"/>
      <c r="D748" s="14"/>
      <c r="E748" s="14"/>
    </row>
    <row r="749" ht="15.75" customHeight="1">
      <c r="A749" s="14"/>
      <c r="B749" s="14"/>
      <c r="C749" s="14"/>
      <c r="D749" s="14"/>
      <c r="E749" s="14"/>
    </row>
    <row r="750" ht="15.75" customHeight="1">
      <c r="A750" s="14"/>
      <c r="B750" s="14"/>
      <c r="C750" s="14"/>
      <c r="D750" s="14"/>
      <c r="E750" s="14"/>
    </row>
    <row r="751" ht="15.75" customHeight="1">
      <c r="A751" s="14"/>
      <c r="B751" s="14"/>
      <c r="C751" s="14"/>
      <c r="D751" s="14"/>
      <c r="E751" s="14"/>
    </row>
    <row r="752" ht="15.75" customHeight="1">
      <c r="A752" s="14"/>
      <c r="B752" s="14"/>
      <c r="C752" s="14"/>
      <c r="D752" s="14"/>
      <c r="E752" s="14"/>
    </row>
    <row r="753" ht="15.75" customHeight="1">
      <c r="A753" s="14"/>
      <c r="B753" s="14"/>
      <c r="C753" s="14"/>
      <c r="D753" s="14"/>
      <c r="E753" s="14"/>
    </row>
    <row r="754" ht="15.75" customHeight="1">
      <c r="A754" s="14"/>
      <c r="B754" s="14"/>
      <c r="C754" s="14"/>
      <c r="D754" s="14"/>
      <c r="E754" s="14"/>
    </row>
    <row r="755" ht="15.75" customHeight="1">
      <c r="A755" s="14"/>
      <c r="B755" s="14"/>
      <c r="C755" s="14"/>
      <c r="D755" s="14"/>
      <c r="E755" s="14"/>
    </row>
    <row r="756" ht="15.75" customHeight="1">
      <c r="A756" s="14"/>
      <c r="B756" s="14"/>
      <c r="C756" s="14"/>
      <c r="D756" s="14"/>
      <c r="E756" s="14"/>
    </row>
    <row r="757" ht="15.75" customHeight="1">
      <c r="A757" s="14"/>
      <c r="B757" s="14"/>
      <c r="C757" s="14"/>
      <c r="D757" s="14"/>
      <c r="E757" s="14"/>
    </row>
    <row r="758" ht="15.75" customHeight="1">
      <c r="A758" s="14"/>
      <c r="B758" s="14"/>
      <c r="C758" s="14"/>
      <c r="D758" s="14"/>
      <c r="E758" s="14"/>
    </row>
    <row r="759" ht="15.75" customHeight="1">
      <c r="A759" s="14"/>
      <c r="B759" s="14"/>
      <c r="C759" s="14"/>
      <c r="D759" s="14"/>
      <c r="E759" s="14"/>
    </row>
    <row r="760" ht="15.75" customHeight="1">
      <c r="A760" s="14"/>
      <c r="B760" s="14"/>
      <c r="C760" s="14"/>
      <c r="D760" s="14"/>
      <c r="E760" s="14"/>
    </row>
    <row r="761" ht="15.75" customHeight="1">
      <c r="A761" s="14"/>
      <c r="B761" s="14"/>
      <c r="C761" s="14"/>
      <c r="D761" s="14"/>
      <c r="E761" s="14"/>
    </row>
    <row r="762" ht="15.75" customHeight="1">
      <c r="A762" s="14"/>
      <c r="B762" s="14"/>
      <c r="C762" s="14"/>
      <c r="D762" s="14"/>
      <c r="E762" s="14"/>
    </row>
    <row r="763" ht="15.75" customHeight="1">
      <c r="A763" s="14"/>
      <c r="B763" s="14"/>
      <c r="C763" s="14"/>
      <c r="D763" s="14"/>
      <c r="E763" s="14"/>
    </row>
    <row r="764" ht="15.75" customHeight="1">
      <c r="A764" s="14"/>
      <c r="B764" s="14"/>
      <c r="C764" s="14"/>
      <c r="D764" s="14"/>
      <c r="E764" s="14"/>
    </row>
    <row r="765" ht="15.75" customHeight="1">
      <c r="A765" s="14"/>
      <c r="B765" s="14"/>
      <c r="C765" s="14"/>
      <c r="D765" s="14"/>
      <c r="E765" s="14"/>
    </row>
    <row r="766" ht="15.75" customHeight="1">
      <c r="A766" s="14"/>
      <c r="B766" s="14"/>
      <c r="C766" s="14"/>
      <c r="D766" s="14"/>
      <c r="E766" s="14"/>
    </row>
    <row r="767" ht="15.75" customHeight="1">
      <c r="A767" s="14"/>
      <c r="B767" s="14"/>
      <c r="C767" s="14"/>
      <c r="D767" s="14"/>
      <c r="E767" s="14"/>
    </row>
    <row r="768" ht="15.75" customHeight="1">
      <c r="A768" s="14"/>
      <c r="B768" s="14"/>
      <c r="C768" s="14"/>
      <c r="D768" s="14"/>
      <c r="E768" s="14"/>
    </row>
    <row r="769" ht="15.75" customHeight="1">
      <c r="A769" s="14"/>
      <c r="B769" s="14"/>
      <c r="C769" s="14"/>
      <c r="D769" s="14"/>
      <c r="E769" s="14"/>
    </row>
    <row r="770" ht="15.75" customHeight="1">
      <c r="A770" s="14"/>
      <c r="B770" s="14"/>
      <c r="C770" s="14"/>
      <c r="D770" s="14"/>
      <c r="E770" s="14"/>
    </row>
    <row r="771" ht="15.75" customHeight="1">
      <c r="A771" s="14"/>
      <c r="B771" s="14"/>
      <c r="C771" s="14"/>
      <c r="D771" s="14"/>
      <c r="E771" s="14"/>
    </row>
    <row r="772" ht="15.75" customHeight="1">
      <c r="A772" s="14"/>
      <c r="B772" s="14"/>
      <c r="C772" s="14"/>
      <c r="D772" s="14"/>
      <c r="E772" s="14"/>
    </row>
    <row r="773" ht="15.75" customHeight="1">
      <c r="A773" s="14"/>
      <c r="B773" s="14"/>
      <c r="C773" s="14"/>
      <c r="D773" s="14"/>
      <c r="E773" s="14"/>
    </row>
    <row r="774" ht="15.75" customHeight="1">
      <c r="A774" s="14"/>
      <c r="B774" s="14"/>
      <c r="C774" s="14"/>
      <c r="D774" s="14"/>
      <c r="E774" s="14"/>
    </row>
    <row r="775" ht="15.75" customHeight="1">
      <c r="A775" s="14"/>
      <c r="B775" s="14"/>
      <c r="C775" s="14"/>
      <c r="D775" s="14"/>
      <c r="E775" s="14"/>
    </row>
    <row r="776" ht="15.75" customHeight="1">
      <c r="A776" s="14"/>
      <c r="B776" s="14"/>
      <c r="C776" s="14"/>
      <c r="D776" s="14"/>
      <c r="E776" s="14"/>
    </row>
    <row r="777" ht="15.75" customHeight="1">
      <c r="A777" s="14"/>
      <c r="B777" s="14"/>
      <c r="C777" s="14"/>
      <c r="D777" s="14"/>
      <c r="E777" s="14"/>
    </row>
    <row r="778" ht="15.75" customHeight="1">
      <c r="A778" s="14"/>
      <c r="B778" s="14"/>
      <c r="C778" s="14"/>
      <c r="D778" s="14"/>
      <c r="E778" s="14"/>
    </row>
    <row r="779" ht="15.75" customHeight="1">
      <c r="A779" s="14"/>
      <c r="B779" s="14"/>
      <c r="C779" s="14"/>
      <c r="D779" s="14"/>
      <c r="E779" s="14"/>
    </row>
    <row r="780" ht="15.75" customHeight="1">
      <c r="A780" s="14"/>
      <c r="B780" s="14"/>
      <c r="C780" s="14"/>
      <c r="D780" s="14"/>
      <c r="E780" s="14"/>
    </row>
    <row r="781" ht="15.75" customHeight="1">
      <c r="A781" s="14"/>
      <c r="B781" s="14"/>
      <c r="C781" s="14"/>
      <c r="D781" s="14"/>
      <c r="E781" s="14"/>
    </row>
    <row r="782" ht="15.75" customHeight="1">
      <c r="A782" s="14"/>
      <c r="B782" s="14"/>
      <c r="C782" s="14"/>
      <c r="D782" s="14"/>
      <c r="E782" s="14"/>
    </row>
    <row r="783" ht="15.75" customHeight="1">
      <c r="A783" s="14"/>
      <c r="B783" s="14"/>
      <c r="C783" s="14"/>
      <c r="D783" s="14"/>
      <c r="E783" s="14"/>
    </row>
    <row r="784" ht="15.75" customHeight="1">
      <c r="A784" s="14"/>
      <c r="B784" s="14"/>
      <c r="C784" s="14"/>
      <c r="D784" s="14"/>
      <c r="E784" s="14"/>
    </row>
    <row r="785" ht="15.75" customHeight="1">
      <c r="A785" s="14"/>
      <c r="B785" s="14"/>
      <c r="C785" s="14"/>
      <c r="D785" s="14"/>
      <c r="E785" s="14"/>
    </row>
    <row r="786" ht="15.75" customHeight="1">
      <c r="A786" s="14"/>
      <c r="B786" s="14"/>
      <c r="C786" s="14"/>
      <c r="D786" s="14"/>
      <c r="E786" s="14"/>
    </row>
    <row r="787" ht="15.75" customHeight="1">
      <c r="A787" s="14"/>
      <c r="B787" s="14"/>
      <c r="C787" s="14"/>
      <c r="D787" s="14"/>
      <c r="E787" s="14"/>
    </row>
    <row r="788" ht="15.75" customHeight="1">
      <c r="A788" s="14"/>
      <c r="B788" s="14"/>
      <c r="C788" s="14"/>
      <c r="D788" s="14"/>
      <c r="E788" s="14"/>
    </row>
    <row r="789" ht="15.75" customHeight="1">
      <c r="A789" s="14"/>
      <c r="B789" s="14"/>
      <c r="C789" s="14"/>
      <c r="D789" s="14"/>
      <c r="E789" s="14"/>
    </row>
    <row r="790" ht="15.75" customHeight="1">
      <c r="A790" s="14"/>
      <c r="B790" s="14"/>
      <c r="C790" s="14"/>
      <c r="D790" s="14"/>
      <c r="E790" s="14"/>
    </row>
    <row r="791" ht="15.75" customHeight="1">
      <c r="A791" s="14"/>
      <c r="B791" s="14"/>
      <c r="C791" s="14"/>
      <c r="D791" s="14"/>
      <c r="E791" s="14"/>
    </row>
    <row r="792" ht="15.75" customHeight="1">
      <c r="A792" s="14"/>
      <c r="B792" s="14"/>
      <c r="C792" s="14"/>
      <c r="D792" s="14"/>
      <c r="E792" s="14"/>
    </row>
    <row r="793" ht="15.75" customHeight="1">
      <c r="A793" s="14"/>
      <c r="B793" s="14"/>
      <c r="C793" s="14"/>
      <c r="D793" s="14"/>
      <c r="E793" s="14"/>
    </row>
    <row r="794" ht="15.75" customHeight="1">
      <c r="A794" s="14"/>
      <c r="B794" s="14"/>
      <c r="C794" s="14"/>
      <c r="D794" s="14"/>
      <c r="E794" s="14"/>
    </row>
    <row r="795" ht="15.75" customHeight="1">
      <c r="A795" s="14"/>
      <c r="B795" s="14"/>
      <c r="C795" s="14"/>
      <c r="D795" s="14"/>
      <c r="E795" s="14"/>
    </row>
    <row r="796" ht="15.75" customHeight="1">
      <c r="A796" s="14"/>
      <c r="B796" s="14"/>
      <c r="C796" s="14"/>
      <c r="D796" s="14"/>
      <c r="E796" s="14"/>
    </row>
    <row r="797" ht="15.75" customHeight="1">
      <c r="A797" s="14"/>
      <c r="B797" s="14"/>
      <c r="C797" s="14"/>
      <c r="D797" s="14"/>
      <c r="E797" s="14"/>
    </row>
    <row r="798" ht="15.75" customHeight="1">
      <c r="A798" s="14"/>
      <c r="B798" s="14"/>
      <c r="C798" s="14"/>
      <c r="D798" s="14"/>
      <c r="E798" s="14"/>
    </row>
    <row r="799" ht="15.75" customHeight="1">
      <c r="A799" s="14"/>
      <c r="B799" s="14"/>
      <c r="C799" s="14"/>
      <c r="D799" s="14"/>
      <c r="E799" s="14"/>
    </row>
    <row r="800" ht="15.75" customHeight="1">
      <c r="A800" s="14"/>
      <c r="B800" s="14"/>
      <c r="C800" s="14"/>
      <c r="D800" s="14"/>
      <c r="E800" s="14"/>
    </row>
    <row r="801" ht="15.75" customHeight="1">
      <c r="A801" s="14"/>
      <c r="B801" s="14"/>
      <c r="C801" s="14"/>
      <c r="D801" s="14"/>
      <c r="E801" s="14"/>
    </row>
    <row r="802" ht="15.75" customHeight="1">
      <c r="A802" s="14"/>
      <c r="B802" s="14"/>
      <c r="C802" s="14"/>
      <c r="D802" s="14"/>
      <c r="E802" s="14"/>
    </row>
    <row r="803" ht="15.75" customHeight="1">
      <c r="A803" s="14"/>
      <c r="B803" s="14"/>
      <c r="C803" s="14"/>
      <c r="D803" s="14"/>
      <c r="E803" s="14"/>
    </row>
    <row r="804" ht="15.75" customHeight="1">
      <c r="A804" s="14"/>
      <c r="B804" s="14"/>
      <c r="C804" s="14"/>
      <c r="D804" s="14"/>
      <c r="E804" s="14"/>
    </row>
    <row r="805" ht="15.75" customHeight="1">
      <c r="A805" s="14"/>
      <c r="B805" s="14"/>
      <c r="C805" s="14"/>
      <c r="D805" s="14"/>
      <c r="E805" s="14"/>
    </row>
    <row r="806" ht="15.75" customHeight="1">
      <c r="A806" s="14"/>
      <c r="B806" s="14"/>
      <c r="C806" s="14"/>
      <c r="D806" s="14"/>
      <c r="E806" s="14"/>
    </row>
    <row r="807" ht="15.75" customHeight="1">
      <c r="A807" s="14"/>
      <c r="B807" s="14"/>
      <c r="C807" s="14"/>
      <c r="D807" s="14"/>
      <c r="E807" s="14"/>
    </row>
    <row r="808" ht="15.75" customHeight="1">
      <c r="A808" s="14"/>
      <c r="B808" s="14"/>
      <c r="C808" s="14"/>
      <c r="D808" s="14"/>
      <c r="E808" s="14"/>
    </row>
    <row r="809" ht="15.75" customHeight="1">
      <c r="A809" s="14"/>
      <c r="B809" s="14"/>
      <c r="C809" s="14"/>
      <c r="D809" s="14"/>
      <c r="E809" s="14"/>
    </row>
    <row r="810" ht="15.75" customHeight="1">
      <c r="A810" s="14"/>
      <c r="B810" s="14"/>
      <c r="C810" s="14"/>
      <c r="D810" s="14"/>
      <c r="E810" s="14"/>
    </row>
    <row r="811" ht="15.75" customHeight="1">
      <c r="A811" s="14"/>
      <c r="B811" s="14"/>
      <c r="C811" s="14"/>
      <c r="D811" s="14"/>
      <c r="E811" s="14"/>
    </row>
    <row r="812" ht="15.75" customHeight="1">
      <c r="A812" s="14"/>
      <c r="B812" s="14"/>
      <c r="C812" s="14"/>
      <c r="D812" s="14"/>
      <c r="E812" s="14"/>
    </row>
    <row r="813" ht="15.75" customHeight="1">
      <c r="A813" s="14"/>
      <c r="B813" s="14"/>
      <c r="C813" s="14"/>
      <c r="D813" s="14"/>
      <c r="E813" s="14"/>
    </row>
    <row r="814" ht="15.75" customHeight="1">
      <c r="A814" s="14"/>
      <c r="B814" s="14"/>
      <c r="C814" s="14"/>
      <c r="D814" s="14"/>
      <c r="E814" s="14"/>
    </row>
    <row r="815" ht="15.75" customHeight="1">
      <c r="A815" s="14"/>
      <c r="B815" s="14"/>
      <c r="C815" s="14"/>
      <c r="D815" s="14"/>
      <c r="E815" s="14"/>
    </row>
    <row r="816" ht="15.75" customHeight="1">
      <c r="A816" s="14"/>
      <c r="B816" s="14"/>
      <c r="C816" s="14"/>
      <c r="D816" s="14"/>
      <c r="E816" s="14"/>
    </row>
    <row r="817" ht="15.75" customHeight="1">
      <c r="A817" s="14"/>
      <c r="B817" s="14"/>
      <c r="C817" s="14"/>
      <c r="D817" s="14"/>
      <c r="E817" s="14"/>
    </row>
    <row r="818" ht="15.75" customHeight="1">
      <c r="A818" s="14"/>
      <c r="B818" s="14"/>
      <c r="C818" s="14"/>
      <c r="D818" s="14"/>
      <c r="E818" s="14"/>
    </row>
    <row r="819" ht="15.75" customHeight="1">
      <c r="A819" s="14"/>
      <c r="B819" s="14"/>
      <c r="C819" s="14"/>
      <c r="D819" s="14"/>
      <c r="E819" s="14"/>
    </row>
    <row r="820" ht="15.75" customHeight="1">
      <c r="A820" s="14"/>
      <c r="B820" s="14"/>
      <c r="C820" s="14"/>
      <c r="D820" s="14"/>
      <c r="E820" s="14"/>
    </row>
    <row r="821" ht="15.75" customHeight="1">
      <c r="A821" s="14"/>
      <c r="B821" s="14"/>
      <c r="C821" s="14"/>
      <c r="D821" s="14"/>
      <c r="E821" s="14"/>
    </row>
    <row r="822" ht="15.75" customHeight="1">
      <c r="A822" s="14"/>
      <c r="B822" s="14"/>
      <c r="C822" s="14"/>
      <c r="D822" s="14"/>
      <c r="E822" s="14"/>
    </row>
    <row r="823" ht="15.75" customHeight="1">
      <c r="A823" s="14"/>
      <c r="B823" s="14"/>
      <c r="C823" s="14"/>
      <c r="D823" s="14"/>
      <c r="E823" s="14"/>
    </row>
    <row r="824" ht="15.75" customHeight="1">
      <c r="A824" s="14"/>
      <c r="B824" s="14"/>
      <c r="C824" s="14"/>
      <c r="D824" s="14"/>
      <c r="E824" s="14"/>
    </row>
    <row r="825" ht="15.75" customHeight="1">
      <c r="A825" s="14"/>
      <c r="B825" s="14"/>
      <c r="C825" s="14"/>
      <c r="D825" s="14"/>
      <c r="E825" s="14"/>
    </row>
    <row r="826" ht="15.75" customHeight="1">
      <c r="A826" s="14"/>
      <c r="B826" s="14"/>
      <c r="C826" s="14"/>
      <c r="D826" s="14"/>
      <c r="E826" s="14"/>
    </row>
    <row r="827" ht="15.75" customHeight="1">
      <c r="A827" s="14"/>
      <c r="B827" s="14"/>
      <c r="C827" s="14"/>
      <c r="D827" s="14"/>
      <c r="E827" s="14"/>
    </row>
    <row r="828" ht="15.75" customHeight="1">
      <c r="A828" s="14"/>
      <c r="B828" s="14"/>
      <c r="C828" s="14"/>
      <c r="D828" s="14"/>
      <c r="E828" s="14"/>
    </row>
    <row r="829" ht="15.75" customHeight="1">
      <c r="A829" s="14"/>
      <c r="B829" s="14"/>
      <c r="C829" s="14"/>
      <c r="D829" s="14"/>
      <c r="E829" s="14"/>
    </row>
    <row r="830" ht="15.75" customHeight="1">
      <c r="A830" s="14"/>
      <c r="B830" s="14"/>
      <c r="C830" s="14"/>
      <c r="D830" s="14"/>
      <c r="E830" s="14"/>
    </row>
    <row r="831" ht="15.75" customHeight="1">
      <c r="A831" s="14"/>
      <c r="B831" s="14"/>
      <c r="C831" s="14"/>
      <c r="D831" s="14"/>
      <c r="E831" s="14"/>
    </row>
    <row r="832" ht="15.75" customHeight="1">
      <c r="A832" s="14"/>
      <c r="B832" s="14"/>
      <c r="C832" s="14"/>
      <c r="D832" s="14"/>
      <c r="E832" s="14"/>
    </row>
    <row r="833" ht="15.75" customHeight="1">
      <c r="A833" s="14"/>
      <c r="B833" s="14"/>
      <c r="C833" s="14"/>
      <c r="D833" s="14"/>
      <c r="E833" s="14"/>
    </row>
    <row r="834" ht="15.75" customHeight="1">
      <c r="A834" s="14"/>
      <c r="B834" s="14"/>
      <c r="C834" s="14"/>
      <c r="D834" s="14"/>
      <c r="E834" s="14"/>
    </row>
    <row r="835" ht="15.75" customHeight="1">
      <c r="A835" s="14"/>
      <c r="B835" s="14"/>
      <c r="C835" s="14"/>
      <c r="D835" s="14"/>
      <c r="E835" s="14"/>
    </row>
    <row r="836" ht="15.75" customHeight="1">
      <c r="A836" s="14"/>
      <c r="B836" s="14"/>
      <c r="C836" s="14"/>
      <c r="D836" s="14"/>
      <c r="E836" s="14"/>
    </row>
    <row r="837" ht="15.75" customHeight="1">
      <c r="A837" s="14"/>
      <c r="B837" s="14"/>
      <c r="C837" s="14"/>
      <c r="D837" s="14"/>
      <c r="E837" s="14"/>
    </row>
    <row r="838" ht="15.75" customHeight="1">
      <c r="A838" s="14"/>
      <c r="B838" s="14"/>
      <c r="C838" s="14"/>
      <c r="D838" s="14"/>
      <c r="E838" s="14"/>
    </row>
    <row r="839" ht="15.75" customHeight="1">
      <c r="A839" s="14"/>
      <c r="B839" s="14"/>
      <c r="C839" s="14"/>
      <c r="D839" s="14"/>
      <c r="E839" s="14"/>
    </row>
    <row r="840" ht="15.75" customHeight="1">
      <c r="A840" s="14"/>
      <c r="B840" s="14"/>
      <c r="C840" s="14"/>
      <c r="D840" s="14"/>
      <c r="E840" s="14"/>
    </row>
    <row r="841" ht="15.75" customHeight="1">
      <c r="A841" s="14"/>
      <c r="B841" s="14"/>
      <c r="C841" s="14"/>
      <c r="D841" s="14"/>
      <c r="E841" s="14"/>
    </row>
    <row r="842" ht="15.75" customHeight="1">
      <c r="A842" s="14"/>
      <c r="B842" s="14"/>
      <c r="C842" s="14"/>
      <c r="D842" s="14"/>
      <c r="E842" s="14"/>
    </row>
    <row r="843" ht="15.75" customHeight="1">
      <c r="A843" s="14"/>
      <c r="B843" s="14"/>
      <c r="C843" s="14"/>
      <c r="D843" s="14"/>
      <c r="E843" s="14"/>
    </row>
    <row r="844" ht="15.75" customHeight="1">
      <c r="A844" s="14"/>
      <c r="B844" s="14"/>
      <c r="C844" s="14"/>
      <c r="D844" s="14"/>
      <c r="E844" s="14"/>
    </row>
    <row r="845" ht="15.75" customHeight="1">
      <c r="A845" s="14"/>
      <c r="B845" s="14"/>
      <c r="C845" s="14"/>
      <c r="D845" s="14"/>
      <c r="E845" s="14"/>
    </row>
    <row r="846" ht="15.75" customHeight="1">
      <c r="A846" s="14"/>
      <c r="B846" s="14"/>
      <c r="C846" s="14"/>
      <c r="D846" s="14"/>
      <c r="E846" s="14"/>
    </row>
    <row r="847" ht="15.75" customHeight="1">
      <c r="A847" s="14"/>
      <c r="B847" s="14"/>
      <c r="C847" s="14"/>
      <c r="D847" s="14"/>
      <c r="E847" s="14"/>
    </row>
    <row r="848" ht="15.75" customHeight="1">
      <c r="A848" s="14"/>
      <c r="B848" s="14"/>
      <c r="C848" s="14"/>
      <c r="D848" s="14"/>
      <c r="E848" s="14"/>
    </row>
    <row r="849" ht="15.75" customHeight="1">
      <c r="A849" s="14"/>
      <c r="B849" s="14"/>
      <c r="C849" s="14"/>
      <c r="D849" s="14"/>
      <c r="E849" s="14"/>
    </row>
    <row r="850" ht="15.75" customHeight="1">
      <c r="A850" s="14"/>
      <c r="B850" s="14"/>
      <c r="C850" s="14"/>
      <c r="D850" s="14"/>
      <c r="E850" s="14"/>
    </row>
    <row r="851" ht="15.75" customHeight="1">
      <c r="A851" s="14"/>
      <c r="B851" s="14"/>
      <c r="C851" s="14"/>
      <c r="D851" s="14"/>
      <c r="E851" s="14"/>
    </row>
    <row r="852" ht="15.75" customHeight="1">
      <c r="A852" s="14"/>
      <c r="B852" s="14"/>
      <c r="C852" s="14"/>
      <c r="D852" s="14"/>
      <c r="E852" s="14"/>
    </row>
    <row r="853" ht="15.75" customHeight="1">
      <c r="A853" s="14"/>
      <c r="B853" s="14"/>
      <c r="C853" s="14"/>
      <c r="D853" s="14"/>
      <c r="E853" s="14"/>
    </row>
    <row r="854" ht="15.75" customHeight="1">
      <c r="A854" s="14"/>
      <c r="B854" s="14"/>
      <c r="C854" s="14"/>
      <c r="D854" s="14"/>
      <c r="E854" s="14"/>
    </row>
    <row r="855" ht="15.75" customHeight="1">
      <c r="A855" s="14"/>
      <c r="B855" s="14"/>
      <c r="C855" s="14"/>
      <c r="D855" s="14"/>
      <c r="E855" s="14"/>
    </row>
    <row r="856" ht="15.75" customHeight="1">
      <c r="A856" s="14"/>
      <c r="B856" s="14"/>
      <c r="C856" s="14"/>
      <c r="D856" s="14"/>
      <c r="E856" s="14"/>
    </row>
    <row r="857" ht="15.75" customHeight="1">
      <c r="A857" s="14"/>
      <c r="B857" s="14"/>
      <c r="C857" s="14"/>
      <c r="D857" s="14"/>
      <c r="E857" s="14"/>
    </row>
    <row r="858" ht="15.75" customHeight="1">
      <c r="A858" s="14"/>
      <c r="B858" s="14"/>
      <c r="C858" s="14"/>
      <c r="D858" s="14"/>
      <c r="E858" s="14"/>
    </row>
    <row r="859" ht="15.75" customHeight="1">
      <c r="A859" s="14"/>
      <c r="B859" s="14"/>
      <c r="C859" s="14"/>
      <c r="D859" s="14"/>
      <c r="E859" s="14"/>
    </row>
    <row r="860" ht="15.75" customHeight="1">
      <c r="A860" s="14"/>
      <c r="B860" s="14"/>
      <c r="C860" s="14"/>
      <c r="D860" s="14"/>
      <c r="E860" s="14"/>
    </row>
    <row r="861" ht="15.75" customHeight="1">
      <c r="A861" s="14"/>
      <c r="B861" s="14"/>
      <c r="C861" s="14"/>
      <c r="D861" s="14"/>
      <c r="E861" s="14"/>
    </row>
    <row r="862" ht="15.75" customHeight="1">
      <c r="A862" s="14"/>
      <c r="B862" s="14"/>
      <c r="C862" s="14"/>
      <c r="D862" s="14"/>
      <c r="E862" s="14"/>
    </row>
    <row r="863" ht="15.75" customHeight="1">
      <c r="A863" s="14"/>
      <c r="B863" s="14"/>
      <c r="C863" s="14"/>
      <c r="D863" s="14"/>
      <c r="E863" s="14"/>
    </row>
    <row r="864" ht="15.75" customHeight="1">
      <c r="A864" s="14"/>
      <c r="B864" s="14"/>
      <c r="C864" s="14"/>
      <c r="D864" s="14"/>
      <c r="E864" s="14"/>
    </row>
    <row r="865" ht="15.75" customHeight="1">
      <c r="A865" s="14"/>
      <c r="B865" s="14"/>
      <c r="C865" s="14"/>
      <c r="D865" s="14"/>
      <c r="E865" s="14"/>
    </row>
    <row r="866" ht="15.75" customHeight="1">
      <c r="A866" s="14"/>
      <c r="B866" s="14"/>
      <c r="C866" s="14"/>
      <c r="D866" s="14"/>
      <c r="E866" s="14"/>
    </row>
    <row r="867" ht="15.75" customHeight="1">
      <c r="A867" s="14"/>
      <c r="B867" s="14"/>
      <c r="C867" s="14"/>
      <c r="D867" s="14"/>
      <c r="E867" s="14"/>
    </row>
    <row r="868" ht="15.75" customHeight="1">
      <c r="A868" s="14"/>
      <c r="B868" s="14"/>
      <c r="C868" s="14"/>
      <c r="D868" s="14"/>
      <c r="E868" s="14"/>
    </row>
    <row r="869" ht="15.75" customHeight="1">
      <c r="A869" s="14"/>
      <c r="B869" s="14"/>
      <c r="C869" s="14"/>
      <c r="D869" s="14"/>
      <c r="E869" s="14"/>
    </row>
    <row r="870" ht="15.75" customHeight="1">
      <c r="A870" s="14"/>
      <c r="B870" s="14"/>
      <c r="C870" s="14"/>
      <c r="D870" s="14"/>
      <c r="E870" s="14"/>
    </row>
    <row r="871" ht="15.75" customHeight="1">
      <c r="A871" s="14"/>
      <c r="B871" s="14"/>
      <c r="C871" s="14"/>
      <c r="D871" s="14"/>
      <c r="E871" s="14"/>
    </row>
    <row r="872" ht="15.75" customHeight="1">
      <c r="A872" s="14"/>
      <c r="B872" s="14"/>
      <c r="C872" s="14"/>
      <c r="D872" s="14"/>
      <c r="E872" s="14"/>
    </row>
    <row r="873" ht="15.75" customHeight="1">
      <c r="A873" s="14"/>
      <c r="B873" s="14"/>
      <c r="C873" s="14"/>
      <c r="D873" s="14"/>
      <c r="E873" s="14"/>
    </row>
    <row r="874" ht="15.75" customHeight="1">
      <c r="A874" s="14"/>
      <c r="B874" s="14"/>
      <c r="C874" s="14"/>
      <c r="D874" s="14"/>
      <c r="E874" s="14"/>
    </row>
    <row r="875" ht="15.75" customHeight="1">
      <c r="A875" s="14"/>
      <c r="B875" s="14"/>
      <c r="C875" s="14"/>
      <c r="D875" s="14"/>
      <c r="E875" s="14"/>
    </row>
    <row r="876" ht="15.75" customHeight="1">
      <c r="A876" s="14"/>
      <c r="B876" s="14"/>
      <c r="C876" s="14"/>
      <c r="D876" s="14"/>
      <c r="E876" s="14"/>
    </row>
    <row r="877" ht="15.75" customHeight="1">
      <c r="A877" s="14"/>
      <c r="B877" s="14"/>
      <c r="C877" s="14"/>
      <c r="D877" s="14"/>
      <c r="E877" s="14"/>
    </row>
    <row r="878" ht="15.75" customHeight="1">
      <c r="A878" s="14"/>
      <c r="B878" s="14"/>
      <c r="C878" s="14"/>
      <c r="D878" s="14"/>
      <c r="E878" s="14"/>
    </row>
    <row r="879" ht="15.75" customHeight="1">
      <c r="A879" s="14"/>
      <c r="B879" s="14"/>
      <c r="C879" s="14"/>
      <c r="D879" s="14"/>
      <c r="E879" s="14"/>
    </row>
    <row r="880" ht="15.75" customHeight="1">
      <c r="A880" s="14"/>
      <c r="B880" s="14"/>
      <c r="C880" s="14"/>
      <c r="D880" s="14"/>
      <c r="E880" s="14"/>
    </row>
    <row r="881" ht="15.75" customHeight="1">
      <c r="A881" s="14"/>
      <c r="B881" s="14"/>
      <c r="C881" s="14"/>
      <c r="D881" s="14"/>
      <c r="E881" s="14"/>
    </row>
    <row r="882" ht="15.75" customHeight="1">
      <c r="A882" s="14"/>
      <c r="B882" s="14"/>
      <c r="C882" s="14"/>
      <c r="D882" s="14"/>
      <c r="E882" s="14"/>
    </row>
    <row r="883" ht="15.75" customHeight="1">
      <c r="A883" s="14"/>
      <c r="B883" s="14"/>
      <c r="C883" s="14"/>
      <c r="D883" s="14"/>
      <c r="E883" s="14"/>
    </row>
    <row r="884" ht="15.75" customHeight="1">
      <c r="A884" s="14"/>
      <c r="B884" s="14"/>
      <c r="C884" s="14"/>
      <c r="D884" s="14"/>
      <c r="E884" s="14"/>
    </row>
    <row r="885" ht="15.75" customHeight="1">
      <c r="A885" s="14"/>
      <c r="B885" s="14"/>
      <c r="C885" s="14"/>
      <c r="D885" s="14"/>
      <c r="E885" s="14"/>
    </row>
    <row r="886" ht="15.75" customHeight="1">
      <c r="A886" s="14"/>
      <c r="B886" s="14"/>
      <c r="C886" s="14"/>
      <c r="D886" s="14"/>
      <c r="E886" s="14"/>
    </row>
    <row r="887" ht="15.75" customHeight="1">
      <c r="A887" s="14"/>
      <c r="B887" s="14"/>
      <c r="C887" s="14"/>
      <c r="D887" s="14"/>
      <c r="E887" s="14"/>
    </row>
    <row r="888" ht="15.75" customHeight="1">
      <c r="A888" s="14"/>
      <c r="B888" s="14"/>
      <c r="C888" s="14"/>
      <c r="D888" s="14"/>
      <c r="E888" s="14"/>
    </row>
    <row r="889" ht="15.75" customHeight="1">
      <c r="A889" s="14"/>
      <c r="B889" s="14"/>
      <c r="C889" s="14"/>
      <c r="D889" s="14"/>
      <c r="E889" s="14"/>
    </row>
    <row r="890" ht="15.75" customHeight="1">
      <c r="A890" s="14"/>
      <c r="B890" s="14"/>
      <c r="C890" s="14"/>
      <c r="D890" s="14"/>
      <c r="E890" s="14"/>
    </row>
    <row r="891" ht="15.75" customHeight="1">
      <c r="A891" s="14"/>
      <c r="B891" s="14"/>
      <c r="C891" s="14"/>
      <c r="D891" s="14"/>
      <c r="E891" s="14"/>
    </row>
    <row r="892" ht="15.75" customHeight="1">
      <c r="A892" s="14"/>
      <c r="B892" s="14"/>
      <c r="C892" s="14"/>
      <c r="D892" s="14"/>
      <c r="E892" s="14"/>
    </row>
    <row r="893" ht="15.75" customHeight="1">
      <c r="A893" s="14"/>
      <c r="B893" s="14"/>
      <c r="C893" s="14"/>
      <c r="D893" s="14"/>
      <c r="E893" s="14"/>
    </row>
    <row r="894" ht="15.75" customHeight="1">
      <c r="A894" s="14"/>
      <c r="B894" s="14"/>
      <c r="C894" s="14"/>
      <c r="D894" s="14"/>
      <c r="E894" s="14"/>
    </row>
    <row r="895" ht="15.75" customHeight="1">
      <c r="A895" s="14"/>
      <c r="B895" s="14"/>
      <c r="C895" s="14"/>
      <c r="D895" s="14"/>
      <c r="E895" s="14"/>
    </row>
    <row r="896" ht="15.75" customHeight="1">
      <c r="A896" s="14"/>
      <c r="B896" s="14"/>
      <c r="C896" s="14"/>
      <c r="D896" s="14"/>
      <c r="E896" s="14"/>
    </row>
    <row r="897" ht="15.75" customHeight="1">
      <c r="A897" s="14"/>
      <c r="B897" s="14"/>
      <c r="C897" s="14"/>
      <c r="D897" s="14"/>
      <c r="E897" s="14"/>
    </row>
    <row r="898" ht="15.75" customHeight="1">
      <c r="A898" s="14"/>
      <c r="B898" s="14"/>
      <c r="C898" s="14"/>
      <c r="D898" s="14"/>
      <c r="E898" s="14"/>
    </row>
    <row r="899" ht="15.75" customHeight="1">
      <c r="A899" s="14"/>
      <c r="B899" s="14"/>
      <c r="C899" s="14"/>
      <c r="D899" s="14"/>
      <c r="E899" s="14"/>
    </row>
    <row r="900" ht="15.75" customHeight="1">
      <c r="A900" s="14"/>
      <c r="B900" s="14"/>
      <c r="C900" s="14"/>
      <c r="D900" s="14"/>
      <c r="E900" s="14"/>
    </row>
    <row r="901" ht="15.75" customHeight="1">
      <c r="A901" s="14"/>
      <c r="B901" s="14"/>
      <c r="C901" s="14"/>
      <c r="D901" s="14"/>
      <c r="E901" s="14"/>
    </row>
    <row r="902" ht="15.75" customHeight="1">
      <c r="A902" s="14"/>
      <c r="B902" s="14"/>
      <c r="C902" s="14"/>
      <c r="D902" s="14"/>
      <c r="E902" s="14"/>
    </row>
    <row r="903" ht="15.75" customHeight="1">
      <c r="A903" s="14"/>
      <c r="B903" s="14"/>
      <c r="C903" s="14"/>
      <c r="D903" s="14"/>
      <c r="E903" s="14"/>
    </row>
    <row r="904" ht="15.75" customHeight="1">
      <c r="A904" s="14"/>
      <c r="B904" s="14"/>
      <c r="C904" s="14"/>
      <c r="D904" s="14"/>
      <c r="E904" s="14"/>
    </row>
    <row r="905" ht="15.75" customHeight="1">
      <c r="A905" s="14"/>
      <c r="B905" s="14"/>
      <c r="C905" s="14"/>
      <c r="D905" s="14"/>
      <c r="E905" s="14"/>
    </row>
    <row r="906" ht="15.75" customHeight="1">
      <c r="A906" s="14"/>
      <c r="B906" s="14"/>
      <c r="C906" s="14"/>
      <c r="D906" s="14"/>
      <c r="E906" s="14"/>
    </row>
    <row r="907" ht="15.75" customHeight="1">
      <c r="A907" s="14"/>
      <c r="B907" s="14"/>
      <c r="C907" s="14"/>
      <c r="D907" s="14"/>
      <c r="E907" s="14"/>
    </row>
    <row r="908" ht="15.75" customHeight="1">
      <c r="A908" s="14"/>
      <c r="B908" s="14"/>
      <c r="C908" s="14"/>
      <c r="D908" s="14"/>
      <c r="E908" s="14"/>
    </row>
    <row r="909" ht="15.75" customHeight="1">
      <c r="A909" s="14"/>
      <c r="B909" s="14"/>
      <c r="C909" s="14"/>
      <c r="D909" s="14"/>
      <c r="E909" s="14"/>
    </row>
    <row r="910" ht="15.75" customHeight="1">
      <c r="A910" s="14"/>
      <c r="B910" s="14"/>
      <c r="C910" s="14"/>
      <c r="D910" s="14"/>
      <c r="E910" s="14"/>
    </row>
    <row r="911" ht="15.75" customHeight="1">
      <c r="A911" s="14"/>
      <c r="B911" s="14"/>
      <c r="C911" s="14"/>
      <c r="D911" s="14"/>
      <c r="E911" s="14"/>
    </row>
    <row r="912" ht="15.75" customHeight="1">
      <c r="A912" s="14"/>
      <c r="B912" s="14"/>
      <c r="C912" s="14"/>
      <c r="D912" s="14"/>
      <c r="E912" s="14"/>
    </row>
    <row r="913" ht="15.75" customHeight="1">
      <c r="A913" s="14"/>
      <c r="B913" s="14"/>
      <c r="C913" s="14"/>
      <c r="D913" s="14"/>
      <c r="E913" s="14"/>
    </row>
    <row r="914" ht="15.75" customHeight="1">
      <c r="A914" s="14"/>
      <c r="B914" s="14"/>
      <c r="C914" s="14"/>
      <c r="D914" s="14"/>
      <c r="E914" s="14"/>
    </row>
    <row r="915" ht="15.75" customHeight="1">
      <c r="A915" s="14"/>
      <c r="B915" s="14"/>
      <c r="C915" s="14"/>
      <c r="D915" s="14"/>
      <c r="E915" s="14"/>
    </row>
    <row r="916" ht="15.75" customHeight="1">
      <c r="A916" s="14"/>
      <c r="B916" s="14"/>
      <c r="C916" s="14"/>
      <c r="D916" s="14"/>
      <c r="E916" s="14"/>
    </row>
    <row r="917" ht="15.75" customHeight="1">
      <c r="A917" s="14"/>
      <c r="B917" s="14"/>
      <c r="C917" s="14"/>
      <c r="D917" s="14"/>
      <c r="E917" s="14"/>
    </row>
    <row r="918" ht="15.75" customHeight="1">
      <c r="A918" s="14"/>
      <c r="B918" s="14"/>
      <c r="C918" s="14"/>
      <c r="D918" s="14"/>
      <c r="E918" s="14"/>
    </row>
    <row r="919" ht="15.75" customHeight="1">
      <c r="A919" s="14"/>
      <c r="B919" s="14"/>
      <c r="C919" s="14"/>
      <c r="D919" s="14"/>
      <c r="E919" s="14"/>
    </row>
    <row r="920" ht="15.75" customHeight="1">
      <c r="A920" s="14"/>
      <c r="B920" s="14"/>
      <c r="C920" s="14"/>
      <c r="D920" s="14"/>
      <c r="E920" s="14"/>
    </row>
    <row r="921" ht="15.75" customHeight="1">
      <c r="A921" s="14"/>
      <c r="B921" s="14"/>
      <c r="C921" s="14"/>
      <c r="D921" s="14"/>
      <c r="E921" s="14"/>
    </row>
    <row r="922" ht="15.75" customHeight="1">
      <c r="A922" s="14"/>
      <c r="B922" s="14"/>
      <c r="C922" s="14"/>
      <c r="D922" s="14"/>
      <c r="E922" s="14"/>
    </row>
    <row r="923" ht="15.75" customHeight="1">
      <c r="A923" s="14"/>
      <c r="B923" s="14"/>
      <c r="C923" s="14"/>
      <c r="D923" s="14"/>
      <c r="E923" s="14"/>
    </row>
    <row r="924" ht="15.75" customHeight="1">
      <c r="A924" s="14"/>
      <c r="B924" s="14"/>
      <c r="C924" s="14"/>
      <c r="D924" s="14"/>
      <c r="E924" s="14"/>
    </row>
    <row r="925" ht="15.75" customHeight="1">
      <c r="A925" s="14"/>
      <c r="B925" s="14"/>
      <c r="C925" s="14"/>
      <c r="D925" s="14"/>
      <c r="E925" s="14"/>
    </row>
    <row r="926" ht="15.75" customHeight="1">
      <c r="A926" s="14"/>
      <c r="B926" s="14"/>
      <c r="C926" s="14"/>
      <c r="D926" s="14"/>
      <c r="E926" s="14"/>
    </row>
    <row r="927" ht="15.75" customHeight="1">
      <c r="A927" s="14"/>
      <c r="B927" s="14"/>
      <c r="C927" s="14"/>
      <c r="D927" s="14"/>
      <c r="E927" s="14"/>
    </row>
    <row r="928" ht="15.75" customHeight="1">
      <c r="A928" s="14"/>
      <c r="B928" s="14"/>
      <c r="C928" s="14"/>
      <c r="D928" s="14"/>
      <c r="E928" s="14"/>
    </row>
    <row r="929" ht="15.75" customHeight="1">
      <c r="A929" s="14"/>
      <c r="B929" s="14"/>
      <c r="C929" s="14"/>
      <c r="D929" s="14"/>
      <c r="E929" s="14"/>
    </row>
    <row r="930" ht="15.75" customHeight="1">
      <c r="A930" s="14"/>
      <c r="B930" s="14"/>
      <c r="C930" s="14"/>
      <c r="D930" s="14"/>
      <c r="E930" s="14"/>
    </row>
    <row r="931" ht="15.75" customHeight="1">
      <c r="A931" s="14"/>
      <c r="B931" s="14"/>
      <c r="C931" s="14"/>
      <c r="D931" s="14"/>
      <c r="E931" s="14"/>
    </row>
    <row r="932" ht="15.75" customHeight="1">
      <c r="A932" s="14"/>
      <c r="B932" s="14"/>
      <c r="C932" s="14"/>
      <c r="D932" s="14"/>
      <c r="E932" s="14"/>
    </row>
    <row r="933" ht="15.75" customHeight="1">
      <c r="A933" s="14"/>
      <c r="B933" s="14"/>
      <c r="C933" s="14"/>
      <c r="D933" s="14"/>
      <c r="E933" s="14"/>
    </row>
    <row r="934" ht="15.75" customHeight="1">
      <c r="A934" s="14"/>
      <c r="B934" s="14"/>
      <c r="C934" s="14"/>
      <c r="D934" s="14"/>
      <c r="E934" s="14"/>
    </row>
    <row r="935" ht="15.75" customHeight="1">
      <c r="A935" s="14"/>
      <c r="B935" s="14"/>
      <c r="C935" s="14"/>
      <c r="D935" s="14"/>
      <c r="E935" s="14"/>
    </row>
    <row r="936" ht="15.75" customHeight="1">
      <c r="A936" s="14"/>
      <c r="B936" s="14"/>
      <c r="C936" s="14"/>
      <c r="D936" s="14"/>
      <c r="E936" s="14"/>
    </row>
    <row r="937" ht="15.75" customHeight="1">
      <c r="A937" s="14"/>
      <c r="B937" s="14"/>
      <c r="C937" s="14"/>
      <c r="D937" s="14"/>
      <c r="E937" s="14"/>
    </row>
    <row r="938" ht="15.75" customHeight="1">
      <c r="A938" s="14"/>
      <c r="B938" s="14"/>
      <c r="C938" s="14"/>
      <c r="D938" s="14"/>
      <c r="E938" s="14"/>
    </row>
    <row r="939" ht="15.75" customHeight="1">
      <c r="A939" s="14"/>
      <c r="B939" s="14"/>
      <c r="C939" s="14"/>
      <c r="D939" s="14"/>
      <c r="E939" s="14"/>
    </row>
    <row r="940" ht="15.75" customHeight="1">
      <c r="A940" s="14"/>
      <c r="B940" s="14"/>
      <c r="C940" s="14"/>
      <c r="D940" s="14"/>
      <c r="E940" s="14"/>
    </row>
    <row r="941" ht="15.75" customHeight="1">
      <c r="A941" s="14"/>
      <c r="B941" s="14"/>
      <c r="C941" s="14"/>
      <c r="D941" s="14"/>
      <c r="E941" s="14"/>
    </row>
    <row r="942" ht="15.75" customHeight="1">
      <c r="A942" s="14"/>
      <c r="B942" s="14"/>
      <c r="C942" s="14"/>
      <c r="D942" s="14"/>
      <c r="E942" s="14"/>
    </row>
    <row r="943" ht="15.75" customHeight="1">
      <c r="A943" s="14"/>
      <c r="B943" s="14"/>
      <c r="C943" s="14"/>
      <c r="D943" s="14"/>
      <c r="E943" s="14"/>
    </row>
    <row r="944" ht="15.75" customHeight="1">
      <c r="A944" s="14"/>
      <c r="B944" s="14"/>
      <c r="C944" s="14"/>
      <c r="D944" s="14"/>
      <c r="E944" s="14"/>
    </row>
    <row r="945" ht="15.75" customHeight="1">
      <c r="A945" s="14"/>
      <c r="B945" s="14"/>
      <c r="C945" s="14"/>
      <c r="D945" s="14"/>
      <c r="E945" s="14"/>
    </row>
    <row r="946" ht="15.75" customHeight="1">
      <c r="A946" s="14"/>
      <c r="B946" s="14"/>
      <c r="C946" s="14"/>
      <c r="D946" s="14"/>
      <c r="E946" s="14"/>
    </row>
    <row r="947" ht="15.75" customHeight="1">
      <c r="A947" s="14"/>
      <c r="B947" s="14"/>
      <c r="C947" s="14"/>
      <c r="D947" s="14"/>
      <c r="E947" s="14"/>
    </row>
    <row r="948" ht="15.75" customHeight="1">
      <c r="A948" s="14"/>
      <c r="B948" s="14"/>
      <c r="C948" s="14"/>
      <c r="D948" s="14"/>
      <c r="E948" s="14"/>
    </row>
    <row r="949" ht="15.75" customHeight="1">
      <c r="A949" s="14"/>
      <c r="B949" s="14"/>
      <c r="C949" s="14"/>
      <c r="D949" s="14"/>
      <c r="E949" s="14"/>
    </row>
    <row r="950" ht="15.75" customHeight="1">
      <c r="A950" s="14"/>
      <c r="B950" s="14"/>
      <c r="C950" s="14"/>
      <c r="D950" s="14"/>
      <c r="E950" s="14"/>
    </row>
    <row r="951" ht="15.75" customHeight="1">
      <c r="A951" s="14"/>
      <c r="B951" s="14"/>
      <c r="C951" s="14"/>
      <c r="D951" s="14"/>
      <c r="E951" s="14"/>
    </row>
    <row r="952" ht="15.75" customHeight="1">
      <c r="A952" s="14"/>
      <c r="B952" s="14"/>
      <c r="C952" s="14"/>
      <c r="D952" s="14"/>
      <c r="E952" s="14"/>
    </row>
    <row r="953" ht="15.75" customHeight="1">
      <c r="A953" s="14"/>
      <c r="B953" s="14"/>
      <c r="C953" s="14"/>
      <c r="D953" s="14"/>
      <c r="E953" s="14"/>
    </row>
    <row r="954" ht="15.75" customHeight="1">
      <c r="A954" s="14"/>
      <c r="B954" s="14"/>
      <c r="C954" s="14"/>
      <c r="D954" s="14"/>
      <c r="E954" s="14"/>
    </row>
    <row r="955" ht="15.75" customHeight="1">
      <c r="A955" s="14"/>
      <c r="B955" s="14"/>
      <c r="C955" s="14"/>
      <c r="D955" s="14"/>
      <c r="E955" s="14"/>
    </row>
    <row r="956" ht="15.75" customHeight="1">
      <c r="A956" s="14"/>
      <c r="B956" s="14"/>
      <c r="C956" s="14"/>
      <c r="D956" s="14"/>
      <c r="E956" s="14"/>
    </row>
    <row r="957" ht="15.75" customHeight="1">
      <c r="A957" s="14"/>
      <c r="B957" s="14"/>
      <c r="C957" s="14"/>
      <c r="D957" s="14"/>
      <c r="E957" s="14"/>
    </row>
    <row r="958" ht="15.75" customHeight="1">
      <c r="A958" s="14"/>
      <c r="B958" s="14"/>
      <c r="C958" s="14"/>
      <c r="D958" s="14"/>
      <c r="E958" s="14"/>
    </row>
    <row r="959" ht="15.75" customHeight="1">
      <c r="A959" s="14"/>
      <c r="B959" s="14"/>
      <c r="C959" s="14"/>
      <c r="D959" s="14"/>
      <c r="E959" s="14"/>
    </row>
    <row r="960" ht="15.75" customHeight="1">
      <c r="A960" s="14"/>
      <c r="B960" s="14"/>
      <c r="C960" s="14"/>
      <c r="D960" s="14"/>
      <c r="E960" s="14"/>
    </row>
    <row r="961" ht="15.75" customHeight="1">
      <c r="A961" s="14"/>
      <c r="B961" s="14"/>
      <c r="C961" s="14"/>
      <c r="D961" s="14"/>
      <c r="E961" s="14"/>
    </row>
    <row r="962" ht="15.75" customHeight="1">
      <c r="A962" s="14"/>
      <c r="B962" s="14"/>
      <c r="C962" s="14"/>
      <c r="D962" s="14"/>
      <c r="E962" s="14"/>
    </row>
    <row r="963" ht="15.75" customHeight="1">
      <c r="A963" s="14"/>
      <c r="B963" s="14"/>
      <c r="C963" s="14"/>
      <c r="D963" s="14"/>
      <c r="E963" s="14"/>
    </row>
    <row r="964" ht="15.75" customHeight="1">
      <c r="A964" s="14"/>
      <c r="B964" s="14"/>
      <c r="C964" s="14"/>
      <c r="D964" s="14"/>
      <c r="E964" s="14"/>
    </row>
    <row r="965" ht="15.75" customHeight="1">
      <c r="A965" s="14"/>
      <c r="B965" s="14"/>
      <c r="C965" s="14"/>
      <c r="D965" s="14"/>
      <c r="E965" s="14"/>
    </row>
    <row r="966" ht="15.75" customHeight="1">
      <c r="A966" s="14"/>
      <c r="B966" s="14"/>
      <c r="C966" s="14"/>
      <c r="D966" s="14"/>
      <c r="E966" s="14"/>
    </row>
    <row r="967" ht="15.75" customHeight="1">
      <c r="A967" s="14"/>
      <c r="B967" s="14"/>
      <c r="C967" s="14"/>
      <c r="D967" s="14"/>
      <c r="E967" s="14"/>
    </row>
    <row r="968" ht="15.75" customHeight="1">
      <c r="A968" s="14"/>
      <c r="B968" s="14"/>
      <c r="C968" s="14"/>
      <c r="D968" s="14"/>
      <c r="E968" s="14"/>
    </row>
    <row r="969" ht="15.75" customHeight="1">
      <c r="A969" s="14"/>
      <c r="B969" s="14"/>
      <c r="C969" s="14"/>
      <c r="D969" s="14"/>
      <c r="E969" s="14"/>
    </row>
    <row r="970" ht="15.75" customHeight="1">
      <c r="A970" s="14"/>
      <c r="B970" s="14"/>
      <c r="C970" s="14"/>
      <c r="D970" s="14"/>
      <c r="E970" s="14"/>
    </row>
    <row r="971" ht="15.75" customHeight="1">
      <c r="A971" s="14"/>
      <c r="B971" s="14"/>
      <c r="C971" s="14"/>
      <c r="D971" s="14"/>
      <c r="E971" s="14"/>
    </row>
    <row r="972" ht="15.75" customHeight="1">
      <c r="A972" s="14"/>
      <c r="B972" s="14"/>
      <c r="C972" s="14"/>
      <c r="D972" s="14"/>
      <c r="E972" s="14"/>
    </row>
    <row r="973" ht="15.75" customHeight="1">
      <c r="A973" s="14"/>
      <c r="B973" s="14"/>
      <c r="C973" s="14"/>
      <c r="D973" s="14"/>
      <c r="E973" s="14"/>
    </row>
    <row r="974" ht="15.75" customHeight="1">
      <c r="A974" s="14"/>
      <c r="B974" s="14"/>
      <c r="C974" s="14"/>
      <c r="D974" s="14"/>
      <c r="E974" s="14"/>
    </row>
    <row r="975" ht="15.75" customHeight="1">
      <c r="A975" s="14"/>
      <c r="B975" s="14"/>
      <c r="C975" s="14"/>
      <c r="D975" s="14"/>
      <c r="E975" s="14"/>
    </row>
    <row r="976" ht="15.75" customHeight="1">
      <c r="A976" s="14"/>
      <c r="B976" s="14"/>
      <c r="C976" s="14"/>
      <c r="D976" s="14"/>
      <c r="E976" s="14"/>
    </row>
    <row r="977" ht="15.75" customHeight="1">
      <c r="A977" s="14"/>
      <c r="B977" s="14"/>
      <c r="C977" s="14"/>
      <c r="D977" s="14"/>
      <c r="E977" s="14"/>
    </row>
    <row r="978" ht="15.75" customHeight="1">
      <c r="A978" s="14"/>
      <c r="B978" s="14"/>
      <c r="C978" s="14"/>
      <c r="D978" s="14"/>
      <c r="E978" s="14"/>
    </row>
    <row r="979" ht="15.75" customHeight="1">
      <c r="A979" s="14"/>
      <c r="B979" s="14"/>
      <c r="C979" s="14"/>
      <c r="D979" s="14"/>
      <c r="E979" s="14"/>
    </row>
    <row r="980" ht="15.75" customHeight="1">
      <c r="A980" s="14"/>
      <c r="B980" s="14"/>
      <c r="C980" s="14"/>
      <c r="D980" s="14"/>
      <c r="E980" s="14"/>
    </row>
    <row r="981" ht="15.75" customHeight="1">
      <c r="A981" s="14"/>
      <c r="B981" s="14"/>
      <c r="C981" s="14"/>
      <c r="D981" s="14"/>
      <c r="E981" s="14"/>
    </row>
    <row r="982" ht="15.75" customHeight="1">
      <c r="A982" s="14"/>
      <c r="B982" s="14"/>
      <c r="C982" s="14"/>
      <c r="D982" s="14"/>
      <c r="E982" s="14"/>
    </row>
    <row r="983" ht="15.75" customHeight="1">
      <c r="A983" s="14"/>
      <c r="B983" s="14"/>
      <c r="C983" s="14"/>
      <c r="D983" s="14"/>
      <c r="E983" s="14"/>
    </row>
    <row r="984" ht="15.75" customHeight="1">
      <c r="A984" s="14"/>
      <c r="B984" s="14"/>
      <c r="C984" s="14"/>
      <c r="D984" s="14"/>
      <c r="E984" s="14"/>
    </row>
    <row r="985" ht="15.75" customHeight="1">
      <c r="A985" s="14"/>
      <c r="B985" s="14"/>
      <c r="C985" s="14"/>
      <c r="D985" s="14"/>
      <c r="E985" s="14"/>
    </row>
    <row r="986" ht="15.75" customHeight="1">
      <c r="A986" s="14"/>
      <c r="B986" s="14"/>
      <c r="C986" s="14"/>
      <c r="D986" s="14"/>
      <c r="E986" s="14"/>
    </row>
    <row r="987" ht="15.75" customHeight="1">
      <c r="A987" s="14"/>
      <c r="B987" s="14"/>
      <c r="C987" s="14"/>
      <c r="D987" s="14"/>
      <c r="E987" s="14"/>
    </row>
    <row r="988" ht="15.75" customHeight="1">
      <c r="A988" s="14"/>
      <c r="B988" s="14"/>
      <c r="C988" s="14"/>
      <c r="D988" s="14"/>
      <c r="E988" s="14"/>
    </row>
    <row r="989" ht="15.75" customHeight="1">
      <c r="A989" s="14"/>
      <c r="B989" s="14"/>
      <c r="C989" s="14"/>
      <c r="D989" s="14"/>
      <c r="E989" s="14"/>
    </row>
    <row r="990" ht="15.75" customHeight="1">
      <c r="A990" s="14"/>
      <c r="B990" s="14"/>
      <c r="C990" s="14"/>
      <c r="D990" s="14"/>
      <c r="E990" s="14"/>
    </row>
    <row r="991" ht="15.75" customHeight="1">
      <c r="A991" s="14"/>
      <c r="B991" s="14"/>
      <c r="C991" s="14"/>
      <c r="D991" s="14"/>
      <c r="E991" s="14"/>
    </row>
    <row r="992" ht="15.75" customHeight="1">
      <c r="A992" s="14"/>
      <c r="B992" s="14"/>
      <c r="C992" s="14"/>
      <c r="D992" s="14"/>
      <c r="E992" s="14"/>
    </row>
    <row r="993" ht="15.75" customHeight="1">
      <c r="A993" s="14"/>
      <c r="B993" s="14"/>
      <c r="C993" s="14"/>
      <c r="D993" s="14"/>
      <c r="E993" s="14"/>
    </row>
    <row r="994" ht="15.75" customHeight="1">
      <c r="A994" s="14"/>
      <c r="B994" s="14"/>
      <c r="C994" s="14"/>
      <c r="D994" s="14"/>
      <c r="E994" s="14"/>
    </row>
    <row r="995" ht="15.75" customHeight="1">
      <c r="A995" s="14"/>
      <c r="B995" s="14"/>
      <c r="C995" s="14"/>
      <c r="D995" s="14"/>
      <c r="E995" s="14"/>
    </row>
    <row r="996" ht="15.75" customHeight="1">
      <c r="A996" s="14"/>
      <c r="B996" s="14"/>
      <c r="C996" s="14"/>
      <c r="D996" s="14"/>
      <c r="E996" s="14"/>
    </row>
    <row r="997" ht="15.75" customHeight="1">
      <c r="A997" s="14"/>
      <c r="B997" s="14"/>
      <c r="C997" s="14"/>
      <c r="D997" s="14"/>
      <c r="E997" s="14"/>
    </row>
    <row r="998" ht="15.75" customHeight="1">
      <c r="A998" s="14"/>
      <c r="B998" s="14"/>
      <c r="C998" s="14"/>
      <c r="D998" s="14"/>
      <c r="E998" s="14"/>
    </row>
    <row r="999" ht="15.75" customHeight="1">
      <c r="A999" s="14"/>
      <c r="B999" s="14"/>
      <c r="C999" s="14"/>
      <c r="D999" s="14"/>
      <c r="E999" s="14"/>
    </row>
    <row r="1000" ht="15.75" customHeight="1">
      <c r="A1000" s="14"/>
      <c r="B1000" s="14"/>
      <c r="C1000" s="14"/>
      <c r="D1000" s="14"/>
      <c r="E1000" s="1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Row="1"/>
  <cols>
    <col customWidth="1" min="1" max="1" width="22.29"/>
    <col customWidth="1" min="2" max="2" width="35.57"/>
    <col customWidth="1" min="3" max="3" width="54.71"/>
    <col customWidth="1" min="4" max="6" width="8.71"/>
  </cols>
  <sheetData>
    <row r="1">
      <c r="A1" s="15" t="s">
        <v>0</v>
      </c>
      <c r="B1" s="15" t="s">
        <v>1</v>
      </c>
      <c r="C1" s="15" t="s">
        <v>2</v>
      </c>
    </row>
    <row r="2">
      <c r="A2" s="16" t="s">
        <v>3</v>
      </c>
      <c r="B2" s="17">
        <f>TODAY()</f>
        <v>44545</v>
      </c>
      <c r="C2" s="18" t="s">
        <v>4</v>
      </c>
    </row>
    <row r="3">
      <c r="A3" s="16" t="s">
        <v>5</v>
      </c>
      <c r="B3" s="19">
        <f>HLOOKUP(TODAY(),'Notas_Frequência'!C61:H62,2,1)</f>
        <v>7</v>
      </c>
      <c r="C3" s="18" t="s">
        <v>6</v>
      </c>
    </row>
    <row r="4">
      <c r="A4" s="16" t="s">
        <v>7</v>
      </c>
      <c r="B4" s="19">
        <f>'Parâmetros'!B3</f>
        <v>2021</v>
      </c>
      <c r="C4" s="18" t="s">
        <v>8</v>
      </c>
    </row>
    <row r="5">
      <c r="A5" s="16" t="s">
        <v>9</v>
      </c>
      <c r="B5" s="19">
        <f>'Parâmetros'!B4</f>
        <v>2</v>
      </c>
      <c r="C5" s="18" t="s">
        <v>10</v>
      </c>
    </row>
    <row r="6">
      <c r="A6" s="16" t="s">
        <v>11</v>
      </c>
      <c r="B6" s="20" t="s">
        <v>12</v>
      </c>
      <c r="C6" s="18" t="s">
        <v>13</v>
      </c>
    </row>
    <row r="7">
      <c r="A7" s="16" t="s">
        <v>14</v>
      </c>
      <c r="B7" s="21" t="str">
        <f>VLOOKUP(B6&amp;B8,'Parâmetros'!$K$2:$N$13,4,0)</f>
        <v>OPE2</v>
      </c>
      <c r="C7" s="18" t="s">
        <v>15</v>
      </c>
    </row>
    <row r="8">
      <c r="A8" s="16" t="s">
        <v>16</v>
      </c>
      <c r="B8" s="20">
        <v>4.0</v>
      </c>
      <c r="C8" s="18" t="s">
        <v>17</v>
      </c>
    </row>
    <row r="9">
      <c r="A9" s="16" t="s">
        <v>18</v>
      </c>
      <c r="B9" s="20" t="s">
        <v>19</v>
      </c>
      <c r="C9" s="18" t="s">
        <v>20</v>
      </c>
    </row>
    <row r="10">
      <c r="A10" s="16" t="s">
        <v>21</v>
      </c>
      <c r="B10" s="20" t="s">
        <v>22</v>
      </c>
      <c r="C10" s="18" t="s">
        <v>23</v>
      </c>
    </row>
    <row r="11">
      <c r="A11" s="16" t="s">
        <v>24</v>
      </c>
      <c r="B11" s="20">
        <v>1.0</v>
      </c>
      <c r="C11" s="18" t="s">
        <v>25</v>
      </c>
    </row>
    <row r="12">
      <c r="A12" s="16" t="s">
        <v>26</v>
      </c>
      <c r="B12" s="22" t="s">
        <v>27</v>
      </c>
      <c r="C12" s="18" t="s">
        <v>28</v>
      </c>
    </row>
    <row r="13">
      <c r="A13" s="16" t="s">
        <v>29</v>
      </c>
      <c r="B13" s="22" t="s">
        <v>27</v>
      </c>
      <c r="C13" s="18" t="s">
        <v>30</v>
      </c>
    </row>
    <row r="14">
      <c r="A14" s="23" t="s">
        <v>31</v>
      </c>
      <c r="B14" s="24" t="str">
        <f>HYPERLINK("https://docs.google.com/spreadsheets/d/17W3CAjop7p2jR1IqkVwVGy3REpnBqcsyxMUrWbTIjDc","Dev Health Group")</f>
        <v>Dev Health Group</v>
      </c>
      <c r="C14" s="25" t="s">
        <v>32</v>
      </c>
    </row>
    <row r="15">
      <c r="A15" s="16" t="s">
        <v>33</v>
      </c>
      <c r="B15" s="22" t="s">
        <v>34</v>
      </c>
      <c r="C15" s="18" t="s">
        <v>35</v>
      </c>
    </row>
    <row r="16" ht="32.25" customHeight="1">
      <c r="A16" s="16" t="s">
        <v>36</v>
      </c>
      <c r="B16" s="26" t="s">
        <v>37</v>
      </c>
      <c r="C16" s="25" t="s">
        <v>38</v>
      </c>
    </row>
    <row r="17" ht="31.5" customHeight="1">
      <c r="A17" s="16" t="s">
        <v>39</v>
      </c>
      <c r="B17" s="26" t="s">
        <v>37</v>
      </c>
      <c r="C17" s="18" t="s">
        <v>40</v>
      </c>
    </row>
    <row r="18" ht="32.25" customHeight="1">
      <c r="A18" s="16" t="s">
        <v>41</v>
      </c>
      <c r="B18" s="26"/>
      <c r="C18" s="18" t="s">
        <v>42</v>
      </c>
    </row>
    <row r="19">
      <c r="A19" s="16" t="s">
        <v>43</v>
      </c>
      <c r="B19" s="18"/>
      <c r="C19" s="18" t="s">
        <v>44</v>
      </c>
    </row>
    <row r="20">
      <c r="A20" s="16" t="s">
        <v>45</v>
      </c>
      <c r="B20" s="27" t="str">
        <f>CONCATENATE(ano,"_",semestre_ano,"_",curso,"_",Semestre,"_",Grupo)</f>
        <v>2021_2_ADS_4_Dev Health Group</v>
      </c>
      <c r="C20" s="18" t="s">
        <v>46</v>
      </c>
    </row>
    <row r="21" ht="15.75" customHeight="1">
      <c r="A21" s="16" t="s">
        <v>47</v>
      </c>
      <c r="B21" s="28" t="str">
        <f>HYPERLINK("https://drive.google.com/drive/folders/1D1sNek1V0PxZzD2K8Fg6e7THr4VFj5Zr","/OPE_TCC/2021-2/OPE2/Noturno/ADS/A/Dev Health Group/")</f>
        <v>/OPE_TCC/2021-2/OPE2/Noturno/ADS/A/Dev Health Group/</v>
      </c>
      <c r="C21" s="25" t="s">
        <v>48</v>
      </c>
    </row>
    <row r="22" ht="15.75" customHeight="1">
      <c r="A22" s="16" t="s">
        <v>49</v>
      </c>
      <c r="B22" s="29" t="str">
        <f>HYPERLINK("https://docs.google.com/document/d/14JkuJ1qNdBR25-K4uS3pnDbIce3cNBwp/edit?usp=drivesdk&amp;ouid=105866775704368154237&amp;rtpof=true&amp;sd=true","2021_2_ADS_4_Dev Health Group.docx")</f>
        <v>2021_2_ADS_4_Dev Health Group.docx</v>
      </c>
      <c r="C22" s="25" t="s">
        <v>50</v>
      </c>
    </row>
    <row r="23" ht="15.75" customHeight="1">
      <c r="A23" s="30" t="s">
        <v>51</v>
      </c>
      <c r="B23" s="31">
        <v>729.0</v>
      </c>
      <c r="C23" s="32" t="s">
        <v>52</v>
      </c>
    </row>
    <row r="24" ht="18.0" customHeight="1">
      <c r="A24" s="33" t="s">
        <v>53</v>
      </c>
      <c r="B24" s="34" t="b">
        <f>value(RIGHT(disciplina,1))=2</f>
        <v>1</v>
      </c>
      <c r="C24" s="35" t="s">
        <v>54</v>
      </c>
    </row>
    <row r="25" ht="15.75" customHeight="1">
      <c r="A25" s="30" t="s">
        <v>55</v>
      </c>
      <c r="B25" s="31" t="str">
        <f>iferror(VLOOKUP(B27,'Parâmetros'!$AB$2:$AJ$30,8,0),'Parâmetros'!$G$7)</f>
        <v>Victor Stafusa</v>
      </c>
      <c r="C25" s="32" t="s">
        <v>56</v>
      </c>
    </row>
    <row r="26" ht="15.75" customHeight="1">
      <c r="A26" s="30" t="s">
        <v>57</v>
      </c>
      <c r="B26" s="34" t="str">
        <f>VLOOKUP(B27,'Parâmetros'!$AB$2:$AJ$30,7,0)</f>
        <v>5ª</v>
      </c>
      <c r="C26" s="32" t="s">
        <v>58</v>
      </c>
    </row>
    <row r="27" ht="18.0" customHeight="1">
      <c r="A27" s="30" t="s">
        <v>59</v>
      </c>
      <c r="B27" s="34" t="str">
        <f>CONCATENATE(B6," ", B8,B9," ", B10)</f>
        <v>ADS 4A N</v>
      </c>
      <c r="C27" s="32" t="s">
        <v>60</v>
      </c>
    </row>
    <row r="28" ht="18.0" customHeight="1">
      <c r="A28" s="16" t="s">
        <v>61</v>
      </c>
      <c r="B28" s="36">
        <v>44420.317632673614</v>
      </c>
      <c r="C28" s="18" t="s">
        <v>62</v>
      </c>
    </row>
    <row r="29" ht="25.5" customHeight="1">
      <c r="A29" s="37" t="s">
        <v>35</v>
      </c>
      <c r="B29" s="38" t="s">
        <v>63</v>
      </c>
      <c r="C29" s="39"/>
    </row>
    <row r="30" ht="15.75" customHeight="1">
      <c r="A30" s="40"/>
    </row>
    <row r="31" ht="15.75" customHeight="1" outlineLevel="1">
      <c r="A31" s="16" t="s">
        <v>64</v>
      </c>
      <c r="B31" s="41" t="s">
        <v>65</v>
      </c>
      <c r="C31" s="18" t="s">
        <v>66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9:C29"/>
  </mergeCells>
  <dataValidations>
    <dataValidation type="list" allowBlank="1" showErrorMessage="1" sqref="B9">
      <formula1>"A,B,C,D,E,F"</formula1>
    </dataValidation>
    <dataValidation type="decimal" allowBlank="1" showErrorMessage="1" sqref="B3">
      <formula1>0.0</formula1>
      <formula2>8.0</formula2>
    </dataValidation>
    <dataValidation type="decimal" allowBlank="1" showDropDown="1" showErrorMessage="1" sqref="B5">
      <formula1>1.0</formula1>
      <formula2>2.0</formula2>
    </dataValidation>
    <dataValidation type="list" allowBlank="1" showErrorMessage="1" sqref="B8">
      <formula1>"3.0,4.0,8.0"</formula1>
    </dataValidation>
    <dataValidation type="decimal" operator="greaterThan" allowBlank="1" showErrorMessage="1" sqref="B4">
      <formula1>2018.0</formula1>
    </dataValidation>
    <dataValidation type="list" allowBlank="1" showErrorMessage="1" sqref="B7">
      <formula1>"OPE1,OPE2,TCC1,TCC2"</formula1>
    </dataValidation>
    <dataValidation type="list" allowBlank="1" showInputMessage="1" showErrorMessage="1" prompt="Indique a semana que este grupo faz os encontros" sqref="B11">
      <formula1>"1.0,2.0,3.0"</formula1>
    </dataValidation>
    <dataValidation type="list" allowBlank="1" showErrorMessage="1" sqref="B6">
      <formula1>"ADS,BD,GTI,SI"</formula1>
    </dataValidation>
    <dataValidation type="list" allowBlank="1" showErrorMessage="1" sqref="B10">
      <formula1>"M,V,N,E"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 outlineLevelCol="1" outlineLevelRow="2"/>
  <cols>
    <col customWidth="1" min="1" max="1" width="21.86"/>
    <col customWidth="1" min="2" max="2" width="27.71" outlineLevel="1"/>
    <col customWidth="1" min="3" max="3" width="8.0" outlineLevel="1"/>
    <col customWidth="1" min="4" max="8" width="14.86"/>
    <col customWidth="1" min="9" max="9" width="11.71"/>
    <col customWidth="1" min="10" max="10" width="10.57" outlineLevel="1"/>
    <col customWidth="1" min="11" max="11" width="11.29" outlineLevel="1"/>
    <col customWidth="1" min="12" max="26" width="8.71"/>
  </cols>
  <sheetData>
    <row r="1">
      <c r="A1" s="42" t="s">
        <v>67</v>
      </c>
      <c r="B1" s="43" t="s">
        <v>68</v>
      </c>
      <c r="C1" s="44" t="s">
        <v>69</v>
      </c>
      <c r="D1" s="44" t="s">
        <v>70</v>
      </c>
      <c r="E1" s="44" t="s">
        <v>71</v>
      </c>
      <c r="F1" s="44" t="s">
        <v>72</v>
      </c>
      <c r="G1" s="44" t="s">
        <v>73</v>
      </c>
      <c r="H1" s="44" t="s">
        <v>74</v>
      </c>
      <c r="I1" s="45" t="s">
        <v>75</v>
      </c>
      <c r="J1" s="45" t="s">
        <v>76</v>
      </c>
      <c r="K1" s="45" t="s">
        <v>77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16" t="s">
        <v>78</v>
      </c>
      <c r="B2" s="47" t="s">
        <v>79</v>
      </c>
      <c r="C2" s="46"/>
      <c r="D2" s="19" t="s">
        <v>80</v>
      </c>
      <c r="E2" s="19" t="s">
        <v>81</v>
      </c>
      <c r="F2" s="19" t="s">
        <v>82</v>
      </c>
      <c r="G2" s="19" t="s">
        <v>83</v>
      </c>
      <c r="H2" s="19" t="s">
        <v>84</v>
      </c>
      <c r="I2" s="45"/>
      <c r="J2" s="45"/>
      <c r="K2" s="45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16" t="s">
        <v>85</v>
      </c>
      <c r="B3" s="47" t="s">
        <v>86</v>
      </c>
      <c r="C3" s="46"/>
      <c r="D3" s="19" t="str">
        <f>if(D62,CONCAT("Sprint ",D62),"BackLog")</f>
        <v>Sprint 4</v>
      </c>
      <c r="E3" s="19" t="str">
        <f t="shared" ref="E3:G3" si="1">CONCAT("Sprint ",E62)</f>
        <v>Sprint 5</v>
      </c>
      <c r="F3" s="19" t="str">
        <f t="shared" si="1"/>
        <v>Sprint 6</v>
      </c>
      <c r="G3" s="19" t="str">
        <f t="shared" si="1"/>
        <v>Sprint 7</v>
      </c>
      <c r="H3" s="19" t="s">
        <v>87</v>
      </c>
      <c r="I3" s="45"/>
      <c r="J3" s="45"/>
      <c r="K3" s="45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16" t="s">
        <v>88</v>
      </c>
      <c r="B4" s="47" t="s">
        <v>89</v>
      </c>
      <c r="C4" s="46"/>
      <c r="D4" s="48">
        <f>vlookup(right(D1) &amp; Agrupamento,  'Parâmetros'!$P$2:$Z$25, 5 + left(DiaSemana),0)</f>
        <v>44420</v>
      </c>
      <c r="E4" s="48">
        <f>vlookup(right(E1) &amp; Agrupamento,  'Parâmetros'!$P$2:$Z$25, 5 + left(DiaSemana),0)</f>
        <v>44441</v>
      </c>
      <c r="F4" s="48">
        <f>vlookup(right(F1) &amp; Agrupamento,  'Parâmetros'!$P$2:$Z$25, 5 + left(DiaSemana),0)</f>
        <v>44462</v>
      </c>
      <c r="G4" s="48">
        <f>vlookup(right(G1) &amp; Agrupamento,  'Parâmetros'!$P$2:$Z$25, 5 + left(DiaSemana),0)</f>
        <v>44483</v>
      </c>
      <c r="H4" s="48">
        <f>vlookup(value(right(H1)),  'Parâmetros'!$R$2:$Z$25, 3 + left(DiaSemana),0)</f>
        <v>44518</v>
      </c>
      <c r="I4" s="49"/>
      <c r="J4" s="48">
        <f>if(formando,
vlookup("Simpacta",  'Parâmetros'!$T$2:$Z$25, 1 + if(left(DiaSemana)=6,6,5),0),
vlookup(J1,  'Parâmetros'!$R$2:$Z$25, 3 + left(DiaSemana),0))</f>
        <v>44546</v>
      </c>
      <c r="K4" s="49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16" t="s">
        <v>90</v>
      </c>
      <c r="B5" s="47" t="s">
        <v>91</v>
      </c>
      <c r="C5" s="46"/>
      <c r="D5" s="50" t="str">
        <f>Orientador</f>
        <v>Victor Stafusa</v>
      </c>
      <c r="E5" s="50" t="str">
        <f>Orientador</f>
        <v>Victor Stafusa</v>
      </c>
      <c r="F5" s="50" t="str">
        <f>Orientador</f>
        <v>Victor Stafusa</v>
      </c>
      <c r="G5" s="50" t="str">
        <f>Orientador</f>
        <v>Victor Stafusa</v>
      </c>
      <c r="H5" s="50" t="str">
        <f>Orientador</f>
        <v>Victor Stafusa</v>
      </c>
      <c r="I5" s="51"/>
      <c r="J5" s="50" t="str">
        <f>Orientador</f>
        <v>Victor Stafusa</v>
      </c>
      <c r="K5" s="51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42" t="s">
        <v>92</v>
      </c>
      <c r="B6" s="52" t="s">
        <v>93</v>
      </c>
      <c r="C6" s="46"/>
      <c r="D6" s="53" t="str">
        <f t="shared" ref="D6:H6" si="2"> IF(ISBLANK(D27),D27,  if(ISBLANK(D13),  ROUND((D27/2+5)/10 * SUM(D9*D57, D8*D71, D10*D94, D11*D109)/COUNTIFS(D8:D11,TRUE),2), ($C13*D13 + $C27*D27)/sum($C13,$C27) ))</f>
        <v/>
      </c>
      <c r="E6" s="53" t="str">
        <f t="shared" si="2"/>
        <v/>
      </c>
      <c r="F6" s="53" t="str">
        <f t="shared" si="2"/>
        <v/>
      </c>
      <c r="G6" s="53" t="str">
        <f t="shared" si="2"/>
        <v/>
      </c>
      <c r="H6" s="53" t="str">
        <f t="shared" si="2"/>
        <v/>
      </c>
      <c r="I6" s="54" t="str">
        <f>if(AND(isblank(D6),isblank(E6),isblank(F6),isblank(G6),isblank(H6)), , ROUND(SUMIFS(D6:H6,D7:H7,"&lt;5")/4,2))</f>
        <v/>
      </c>
      <c r="J6" s="54" t="str">
        <f>if(or(formando, isblank(J125)),,J12*J125)</f>
        <v/>
      </c>
      <c r="K6" s="54" t="str">
        <f>if(or(isblank(I6),isblank(J6)),,round(sumproduct(I7:J7, I6:J6)/5,1)*5)</f>
        <v/>
      </c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idden="1" outlineLevel="1">
      <c r="A7" s="55"/>
      <c r="B7" s="55"/>
      <c r="C7" s="56" t="s">
        <v>94</v>
      </c>
      <c r="D7" s="57">
        <f t="shared" ref="D7:H7" si="3">IFERROR(_xlfn.RANK.EQ(D6,$D$6:$H$6,0) + COUNTIF($D6:D6,D6)-1, 5)</f>
        <v>5</v>
      </c>
      <c r="E7" s="57">
        <f t="shared" si="3"/>
        <v>5</v>
      </c>
      <c r="F7" s="57">
        <f t="shared" si="3"/>
        <v>5</v>
      </c>
      <c r="G7" s="57">
        <f t="shared" si="3"/>
        <v>5</v>
      </c>
      <c r="H7" s="57">
        <f t="shared" si="3"/>
        <v>5</v>
      </c>
      <c r="I7" s="58">
        <v>0.5</v>
      </c>
      <c r="J7" s="58">
        <v>0.5</v>
      </c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collapsed="1">
      <c r="A8" s="59" t="s">
        <v>95</v>
      </c>
      <c r="B8" s="47" t="s">
        <v>96</v>
      </c>
      <c r="C8" s="60"/>
      <c r="D8" s="61" t="b">
        <v>1</v>
      </c>
      <c r="E8" s="62" t="b">
        <v>1</v>
      </c>
      <c r="F8" s="62" t="b">
        <v>1</v>
      </c>
      <c r="G8" s="62" t="b">
        <v>1</v>
      </c>
      <c r="H8" s="62" t="b">
        <v>0</v>
      </c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59" t="s">
        <v>97</v>
      </c>
      <c r="B9" s="47" t="s">
        <v>98</v>
      </c>
      <c r="C9" s="60"/>
      <c r="D9" s="61" t="b">
        <f>VLOOKUP('Identificação'!$B$27,'Parâmetros'!$AB$1:$AT$30,9+right(D$1),0)</f>
        <v>0</v>
      </c>
      <c r="E9" s="61" t="b">
        <f>VLOOKUP('Identificação'!$B$27,'Parâmetros'!$AB$1:$AT$30,9+right(E$1),0)</f>
        <v>1</v>
      </c>
      <c r="F9" s="61" t="b">
        <f>VLOOKUP('Identificação'!$B$27,'Parâmetros'!$AB$1:$AT$30,9+right(F$1),0)</f>
        <v>1</v>
      </c>
      <c r="G9" s="61" t="b">
        <f>VLOOKUP('Identificação'!$B$27,'Parâmetros'!$AB$1:$AT$30,9+right(G$1),0)</f>
        <v>1</v>
      </c>
      <c r="H9" s="61" t="b">
        <f>VLOOKUP('Identificação'!$B$27,'Parâmetros'!$AB$1:$AT$30,9+right(H$1),0)</f>
        <v>1</v>
      </c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59" t="s">
        <v>99</v>
      </c>
      <c r="B10" s="47" t="s">
        <v>100</v>
      </c>
      <c r="C10" s="60"/>
      <c r="D10" s="61" t="b">
        <f>VLOOKUP('Identificação'!$B$27,'Parâmetros'!$AB$1:$AT$30,14+RIGHT(D$1),0)</f>
        <v>0</v>
      </c>
      <c r="E10" s="61" t="b">
        <f>VLOOKUP('Identificação'!$B$27,'Parâmetros'!$AB$1:$AT$30,14+RIGHT(E$1),0)</f>
        <v>1</v>
      </c>
      <c r="F10" s="61" t="b">
        <f>VLOOKUP('Identificação'!$B$27,'Parâmetros'!$AB$1:$AT$30,14+RIGHT(F$1),0)</f>
        <v>0</v>
      </c>
      <c r="G10" s="61" t="b">
        <f>VLOOKUP('Identificação'!$B$27,'Parâmetros'!$AB$1:$AT$30,14+RIGHT(G$1),0)</f>
        <v>0</v>
      </c>
      <c r="H10" s="61" t="b">
        <f>VLOOKUP('Identificação'!$B$27,'Parâmetros'!$AB$1:$AT$30,14+RIGHT(H$1),0)</f>
        <v>0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59" t="s">
        <v>101</v>
      </c>
      <c r="B11" s="47" t="s">
        <v>102</v>
      </c>
      <c r="C11" s="63" t="s">
        <v>87</v>
      </c>
      <c r="D11" s="64" t="b">
        <v>0</v>
      </c>
      <c r="E11" s="65" t="b">
        <v>0</v>
      </c>
      <c r="F11" s="65" t="b">
        <v>0</v>
      </c>
      <c r="G11" s="65" t="b">
        <v>0</v>
      </c>
      <c r="H11" s="66" t="b">
        <v>0</v>
      </c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>
      <c r="A12" s="59" t="s">
        <v>103</v>
      </c>
      <c r="B12" s="68" t="s">
        <v>104</v>
      </c>
      <c r="C12" s="63"/>
      <c r="D12" s="69"/>
      <c r="E12" s="70"/>
      <c r="F12" s="70"/>
      <c r="G12" s="70"/>
      <c r="H12" s="70"/>
      <c r="I12" s="46"/>
      <c r="J12" s="66" t="b">
        <f>not(formando)</f>
        <v>0</v>
      </c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24.0" customHeight="1">
      <c r="A13" s="71" t="s">
        <v>105</v>
      </c>
      <c r="B13" s="72" t="s">
        <v>106</v>
      </c>
      <c r="C13" s="73">
        <v>2.0</v>
      </c>
      <c r="D13" s="74"/>
      <c r="E13" s="74"/>
      <c r="F13" s="74"/>
      <c r="G13" s="74"/>
      <c r="H13" s="74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24.0" customHeight="1">
      <c r="A14" s="23" t="s">
        <v>107</v>
      </c>
      <c r="B14" s="72" t="s">
        <v>108</v>
      </c>
      <c r="C14" s="63" t="s">
        <v>87</v>
      </c>
      <c r="D14" s="75"/>
      <c r="E14" s="75"/>
      <c r="F14" s="75"/>
      <c r="G14" s="75"/>
      <c r="H14" s="75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76" t="s">
        <v>109</v>
      </c>
      <c r="B15" s="77"/>
      <c r="C15" s="77"/>
      <c r="D15" s="77"/>
      <c r="E15" s="77"/>
      <c r="F15" s="77"/>
      <c r="G15" s="77"/>
      <c r="H15" s="77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outlineLevel="1">
      <c r="A16" s="78" t="s">
        <v>110</v>
      </c>
      <c r="B16" s="78" t="s">
        <v>111</v>
      </c>
      <c r="C16" s="78" t="s">
        <v>112</v>
      </c>
      <c r="D16" s="79">
        <f t="shared" ref="D16:H16" si="4">D$4</f>
        <v>44420</v>
      </c>
      <c r="E16" s="79">
        <f t="shared" si="4"/>
        <v>44441</v>
      </c>
      <c r="F16" s="79">
        <f t="shared" si="4"/>
        <v>44462</v>
      </c>
      <c r="G16" s="79">
        <f t="shared" si="4"/>
        <v>44483</v>
      </c>
      <c r="H16" s="79">
        <f t="shared" si="4"/>
        <v>44518</v>
      </c>
      <c r="I16" s="80" t="s">
        <v>113</v>
      </c>
      <c r="J16" s="81"/>
      <c r="K16" s="82"/>
      <c r="L16" s="83" t="s">
        <v>114</v>
      </c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outlineLevel="1">
      <c r="A17" s="84" t="s">
        <v>115</v>
      </c>
      <c r="B17" s="62" t="s">
        <v>116</v>
      </c>
      <c r="C17" s="62">
        <v>1903966.0</v>
      </c>
      <c r="D17" s="85"/>
      <c r="E17" s="85"/>
      <c r="F17" s="85"/>
      <c r="G17" s="85"/>
      <c r="H17" s="85"/>
      <c r="I17" s="86"/>
      <c r="J17" s="87"/>
      <c r="K17" s="39"/>
      <c r="L17" s="88" t="str">
        <f t="shared" ref="L17:L26" si="5">IF(ISBLANK(A17),,HYPERLINK("mailto:"&amp;A17&amp;"@aluno.faculdadeimpacta.com.br",A17&amp;"@aluno.faculdadeimpacta.com.br"))</f>
        <v>fabio.vieira@aluno.faculdadeimpacta.com.br</v>
      </c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outlineLevel="1">
      <c r="A18" s="89" t="s">
        <v>117</v>
      </c>
      <c r="B18" s="62" t="s">
        <v>118</v>
      </c>
      <c r="C18" s="62">
        <v>1902968.0</v>
      </c>
      <c r="D18" s="63"/>
      <c r="E18" s="63"/>
      <c r="F18" s="63"/>
      <c r="G18" s="63"/>
      <c r="H18" s="63"/>
      <c r="I18" s="90"/>
      <c r="J18" s="91"/>
      <c r="K18" s="92"/>
      <c r="L18" s="88" t="str">
        <f t="shared" si="5"/>
        <v>victoria.mendes@aluno.faculdadeimpacta.com.br</v>
      </c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outlineLevel="1">
      <c r="A19" s="89" t="s">
        <v>119</v>
      </c>
      <c r="B19" s="62" t="s">
        <v>120</v>
      </c>
      <c r="C19" s="62">
        <v>1903546.0</v>
      </c>
      <c r="D19" s="63"/>
      <c r="E19" s="63"/>
      <c r="F19" s="63"/>
      <c r="G19" s="63"/>
      <c r="H19" s="63"/>
      <c r="I19" s="90"/>
      <c r="J19" s="91"/>
      <c r="K19" s="92"/>
      <c r="L19" s="88" t="str">
        <f t="shared" si="5"/>
        <v>edevilson.silva@aluno.faculdadeimpacta.com.br</v>
      </c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outlineLevel="1">
      <c r="A20" s="89" t="s">
        <v>121</v>
      </c>
      <c r="B20" s="62" t="s">
        <v>122</v>
      </c>
      <c r="C20" s="62">
        <v>1903421.0</v>
      </c>
      <c r="D20" s="63"/>
      <c r="E20" s="63"/>
      <c r="F20" s="63"/>
      <c r="G20" s="63"/>
      <c r="H20" s="63"/>
      <c r="I20" s="90"/>
      <c r="J20" s="91"/>
      <c r="K20" s="92"/>
      <c r="L20" s="88" t="str">
        <f t="shared" si="5"/>
        <v>paulo.leone@aluno.faculdadeimpacta.com.br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5.75" customHeight="1" outlineLevel="1">
      <c r="A21" s="89" t="s">
        <v>123</v>
      </c>
      <c r="B21" s="93" t="s">
        <v>124</v>
      </c>
      <c r="C21" s="62">
        <v>1903394.0</v>
      </c>
      <c r="D21" s="63"/>
      <c r="E21" s="63"/>
      <c r="F21" s="63"/>
      <c r="G21" s="63"/>
      <c r="H21" s="63"/>
      <c r="I21" s="90"/>
      <c r="J21" s="91"/>
      <c r="K21" s="92"/>
      <c r="L21" s="88" t="str">
        <f t="shared" si="5"/>
        <v>jessica.ribeiro@aluno.faculdadeimpacta.com.br</v>
      </c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5.75" customHeight="1" outlineLevel="1">
      <c r="A22" s="89"/>
      <c r="B22" s="62"/>
      <c r="C22" s="62"/>
      <c r="D22" s="63"/>
      <c r="E22" s="63"/>
      <c r="F22" s="63"/>
      <c r="G22" s="63"/>
      <c r="H22" s="63"/>
      <c r="I22" s="90"/>
      <c r="J22" s="91"/>
      <c r="K22" s="92"/>
      <c r="L22" s="88" t="str">
        <f t="shared" si="5"/>
        <v/>
      </c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5.75" customHeight="1" outlineLevel="1">
      <c r="A23" s="89"/>
      <c r="B23" s="62"/>
      <c r="C23" s="62"/>
      <c r="D23" s="63"/>
      <c r="E23" s="63"/>
      <c r="F23" s="63"/>
      <c r="G23" s="63"/>
      <c r="H23" s="63"/>
      <c r="I23" s="90"/>
      <c r="J23" s="91"/>
      <c r="K23" s="92"/>
      <c r="L23" s="88" t="str">
        <f t="shared" si="5"/>
        <v/>
      </c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5.75" customHeight="1" outlineLevel="1">
      <c r="A24" s="89"/>
      <c r="B24" s="62"/>
      <c r="C24" s="62"/>
      <c r="D24" s="63"/>
      <c r="E24" s="63"/>
      <c r="F24" s="63"/>
      <c r="G24" s="63"/>
      <c r="H24" s="63"/>
      <c r="I24" s="90"/>
      <c r="J24" s="91"/>
      <c r="K24" s="92"/>
      <c r="L24" s="88" t="str">
        <f t="shared" si="5"/>
        <v/>
      </c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5.75" customHeight="1" outlineLevel="1">
      <c r="A25" s="94"/>
      <c r="B25" s="62"/>
      <c r="C25" s="62"/>
      <c r="D25" s="63"/>
      <c r="E25" s="63"/>
      <c r="F25" s="63"/>
      <c r="G25" s="63"/>
      <c r="H25" s="63"/>
      <c r="I25" s="90"/>
      <c r="J25" s="91"/>
      <c r="K25" s="92"/>
      <c r="L25" s="88" t="str">
        <f t="shared" si="5"/>
        <v/>
      </c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5.75" customHeight="1" outlineLevel="1">
      <c r="A26" s="95"/>
      <c r="B26" s="62"/>
      <c r="C26" s="62"/>
      <c r="D26" s="63"/>
      <c r="E26" s="63"/>
      <c r="F26" s="63"/>
      <c r="G26" s="63"/>
      <c r="H26" s="63"/>
      <c r="I26" s="90"/>
      <c r="J26" s="91"/>
      <c r="K26" s="92"/>
      <c r="L26" s="88" t="str">
        <f t="shared" si="5"/>
        <v/>
      </c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5.75" customHeight="1">
      <c r="A27" s="96">
        <f>COUNTA(A17:A26)</f>
        <v>5</v>
      </c>
      <c r="B27" s="97" t="s">
        <v>125</v>
      </c>
      <c r="C27" s="98">
        <v>1.0</v>
      </c>
      <c r="D27" s="44" t="str">
        <f t="shared" ref="D27:H27" si="6">IF(and(D33,$A$27,D28),ROUND(10*SUM(D29:D30)/D33,1),)</f>
        <v/>
      </c>
      <c r="E27" s="44" t="str">
        <f t="shared" si="6"/>
        <v/>
      </c>
      <c r="F27" s="44" t="str">
        <f t="shared" si="6"/>
        <v/>
      </c>
      <c r="G27" s="44" t="str">
        <f t="shared" si="6"/>
        <v/>
      </c>
      <c r="H27" s="44" t="str">
        <f t="shared" si="6"/>
        <v/>
      </c>
      <c r="I27" s="67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5.75" hidden="1" customHeight="1" outlineLevel="1">
      <c r="A28" s="99" t="s">
        <v>126</v>
      </c>
      <c r="B28" s="100" t="s">
        <v>127</v>
      </c>
      <c r="C28" s="101"/>
      <c r="D28" s="102">
        <f t="shared" ref="D28:H28" si="7">COUNTA(D17:D26)</f>
        <v>0</v>
      </c>
      <c r="E28" s="102">
        <f t="shared" si="7"/>
        <v>0</v>
      </c>
      <c r="F28" s="102">
        <f t="shared" si="7"/>
        <v>0</v>
      </c>
      <c r="G28" s="103">
        <f t="shared" si="7"/>
        <v>0</v>
      </c>
      <c r="H28" s="103">
        <f t="shared" si="7"/>
        <v>0</v>
      </c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5.75" hidden="1" customHeight="1" outlineLevel="1">
      <c r="A29" s="104" t="s">
        <v>128</v>
      </c>
      <c r="B29" s="105" t="s">
        <v>129</v>
      </c>
      <c r="C29" s="106"/>
      <c r="D29" s="107">
        <f t="shared" ref="D29:H29" si="8">COUNTIFS(D$17:D$26,$A29)</f>
        <v>0</v>
      </c>
      <c r="E29" s="107">
        <f t="shared" si="8"/>
        <v>0</v>
      </c>
      <c r="F29" s="107">
        <f t="shared" si="8"/>
        <v>0</v>
      </c>
      <c r="G29" s="108">
        <f t="shared" si="8"/>
        <v>0</v>
      </c>
      <c r="H29" s="108">
        <f t="shared" si="8"/>
        <v>0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5.75" hidden="1" customHeight="1" outlineLevel="1">
      <c r="A30" s="104" t="s">
        <v>19</v>
      </c>
      <c r="B30" s="105" t="s">
        <v>130</v>
      </c>
      <c r="C30" s="106"/>
      <c r="D30" s="107">
        <f t="shared" ref="D30:H30" si="9">COUNTIFS(D$17:D$26,$A30)</f>
        <v>0</v>
      </c>
      <c r="E30" s="107">
        <f t="shared" si="9"/>
        <v>0</v>
      </c>
      <c r="F30" s="107">
        <f t="shared" si="9"/>
        <v>0</v>
      </c>
      <c r="G30" s="108">
        <f t="shared" si="9"/>
        <v>0</v>
      </c>
      <c r="H30" s="108">
        <f t="shared" si="9"/>
        <v>0</v>
      </c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5.75" hidden="1" customHeight="1" outlineLevel="1">
      <c r="A31" s="104" t="str">
        <f>A39</f>
        <v>F</v>
      </c>
      <c r="B31" s="105" t="s">
        <v>131</v>
      </c>
      <c r="C31" s="106"/>
      <c r="D31" s="107">
        <f t="shared" ref="D31:H31" si="10">if(D28=$A$27, COUNTIFS(D$17:D$26,$A31), max(C33,D28) - sum(D29:D30))</f>
        <v>5</v>
      </c>
      <c r="E31" s="107">
        <f t="shared" si="10"/>
        <v>5</v>
      </c>
      <c r="F31" s="107">
        <f t="shared" si="10"/>
        <v>5</v>
      </c>
      <c r="G31" s="107">
        <f t="shared" si="10"/>
        <v>5</v>
      </c>
      <c r="H31" s="107">
        <f t="shared" si="10"/>
        <v>5</v>
      </c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5.75" hidden="1" customHeight="1" outlineLevel="1">
      <c r="A32" s="109" t="s">
        <v>132</v>
      </c>
      <c r="B32" s="110" t="s">
        <v>133</v>
      </c>
      <c r="C32" s="111"/>
      <c r="D32" s="112">
        <f t="shared" ref="D32:H32" si="11">D28-SUM(D29:D30)-COUNTIFS(D$17:D$26,$A31)</f>
        <v>0</v>
      </c>
      <c r="E32" s="112">
        <f t="shared" si="11"/>
        <v>0</v>
      </c>
      <c r="F32" s="112">
        <f t="shared" si="11"/>
        <v>0</v>
      </c>
      <c r="G32" s="112">
        <f t="shared" si="11"/>
        <v>0</v>
      </c>
      <c r="H32" s="112">
        <f t="shared" si="11"/>
        <v>0</v>
      </c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5.75" hidden="1" customHeight="1" outlineLevel="1">
      <c r="A33" s="113" t="s">
        <v>126</v>
      </c>
      <c r="B33" s="114" t="s">
        <v>134</v>
      </c>
      <c r="C33" s="115">
        <f>A27</f>
        <v>5</v>
      </c>
      <c r="D33" s="116">
        <f t="shared" ref="D33:H33" si="12">SUM(D29:D31)</f>
        <v>5</v>
      </c>
      <c r="E33" s="116">
        <f t="shared" si="12"/>
        <v>5</v>
      </c>
      <c r="F33" s="116">
        <f t="shared" si="12"/>
        <v>5</v>
      </c>
      <c r="G33" s="117">
        <f t="shared" si="12"/>
        <v>5</v>
      </c>
      <c r="H33" s="117">
        <f t="shared" si="12"/>
        <v>5</v>
      </c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5.75" hidden="1" customHeight="1" outlineLevel="1">
      <c r="A34" s="118">
        <f>H34</f>
        <v>5</v>
      </c>
      <c r="B34" s="114" t="s">
        <v>135</v>
      </c>
      <c r="C34" s="119">
        <f>A27</f>
        <v>5</v>
      </c>
      <c r="D34" s="107">
        <f t="shared" ref="D34:H34" si="13">if(D33=0,C34,D33)</f>
        <v>5</v>
      </c>
      <c r="E34" s="107">
        <f t="shared" si="13"/>
        <v>5</v>
      </c>
      <c r="F34" s="107">
        <f t="shared" si="13"/>
        <v>5</v>
      </c>
      <c r="G34" s="108">
        <f t="shared" si="13"/>
        <v>5</v>
      </c>
      <c r="H34" s="108">
        <f t="shared" si="13"/>
        <v>5</v>
      </c>
      <c r="I34" s="120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5.75" customHeight="1" collapsed="1">
      <c r="A35" s="121" t="s">
        <v>136</v>
      </c>
      <c r="B35" s="46"/>
      <c r="C35" s="46"/>
      <c r="D35" s="46"/>
      <c r="E35" s="122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5.75" customHeight="1" outlineLevel="1">
      <c r="A36" s="123" t="s">
        <v>137</v>
      </c>
      <c r="B36" s="18" t="s">
        <v>138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5.75" customHeight="1" outlineLevel="1">
      <c r="A37" s="124" t="s">
        <v>128</v>
      </c>
      <c r="B37" s="18" t="s">
        <v>129</v>
      </c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5.75" customHeight="1" outlineLevel="1">
      <c r="A38" s="124" t="s">
        <v>19</v>
      </c>
      <c r="B38" s="18" t="s">
        <v>139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5.75" customHeight="1" outlineLevel="1">
      <c r="A39" s="124" t="s">
        <v>140</v>
      </c>
      <c r="B39" s="18" t="s">
        <v>141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5.75" customHeight="1" outlineLevel="1">
      <c r="A40" s="124" t="s">
        <v>22</v>
      </c>
      <c r="B40" s="18" t="s">
        <v>142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5.7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5.75" customHeight="1">
      <c r="A42" s="125" t="s">
        <v>97</v>
      </c>
      <c r="B42" s="46"/>
      <c r="C42" s="46"/>
      <c r="D42" s="46" t="s">
        <v>143</v>
      </c>
      <c r="E42" s="46" t="s">
        <v>143</v>
      </c>
      <c r="F42" s="46" t="s">
        <v>143</v>
      </c>
      <c r="G42" s="46" t="s">
        <v>143</v>
      </c>
      <c r="H42" s="46" t="s">
        <v>144</v>
      </c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5.75" hidden="1" customHeight="1" outlineLevel="1">
      <c r="A43" s="44" t="s">
        <v>145</v>
      </c>
      <c r="B43" s="44" t="s">
        <v>146</v>
      </c>
      <c r="C43" s="44" t="s">
        <v>69</v>
      </c>
      <c r="D43" s="126" t="str">
        <f t="shared" ref="D43:H43" si="14">D$1</f>
        <v>AC1</v>
      </c>
      <c r="E43" s="126" t="str">
        <f t="shared" si="14"/>
        <v>AC2</v>
      </c>
      <c r="F43" s="126" t="str">
        <f t="shared" si="14"/>
        <v>AC3</v>
      </c>
      <c r="G43" s="126" t="str">
        <f t="shared" si="14"/>
        <v>AC4</v>
      </c>
      <c r="H43" s="126" t="str">
        <f t="shared" si="14"/>
        <v>AC5</v>
      </c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 ht="15.75" hidden="1" customHeight="1" outlineLevel="2">
      <c r="A44" s="16" t="s">
        <v>147</v>
      </c>
      <c r="B44" s="18" t="s">
        <v>148</v>
      </c>
      <c r="C44" s="124"/>
      <c r="D44" s="44" t="s">
        <v>149</v>
      </c>
      <c r="E44" s="44" t="s">
        <v>150</v>
      </c>
      <c r="F44" s="44" t="s">
        <v>151</v>
      </c>
      <c r="G44" s="44" t="s">
        <v>152</v>
      </c>
      <c r="H44" s="44" t="s">
        <v>153</v>
      </c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 ht="15.75" hidden="1" customHeight="1" outlineLevel="2">
      <c r="A45" s="16" t="s">
        <v>154</v>
      </c>
      <c r="B45" s="18" t="s">
        <v>155</v>
      </c>
      <c r="C45" s="63" t="s">
        <v>87</v>
      </c>
      <c r="D45" s="127">
        <f t="shared" ref="D45:H45" si="15">D$4</f>
        <v>44420</v>
      </c>
      <c r="E45" s="127">
        <f t="shared" si="15"/>
        <v>44441</v>
      </c>
      <c r="F45" s="127">
        <f t="shared" si="15"/>
        <v>44462</v>
      </c>
      <c r="G45" s="127">
        <f t="shared" si="15"/>
        <v>44483</v>
      </c>
      <c r="H45" s="127">
        <f t="shared" si="15"/>
        <v>44518</v>
      </c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 ht="15.75" hidden="1" customHeight="1" outlineLevel="2">
      <c r="A46" s="16" t="s">
        <v>90</v>
      </c>
      <c r="B46" s="18" t="s">
        <v>91</v>
      </c>
      <c r="C46" s="63" t="s">
        <v>87</v>
      </c>
      <c r="D46" s="63" t="str">
        <f t="shared" ref="D46:H46" si="16">IF(ISBLANK(D$5),,D$5)</f>
        <v>Victor Stafusa</v>
      </c>
      <c r="E46" s="63" t="str">
        <f t="shared" si="16"/>
        <v>Victor Stafusa</v>
      </c>
      <c r="F46" s="63" t="str">
        <f t="shared" si="16"/>
        <v>Victor Stafusa</v>
      </c>
      <c r="G46" s="63" t="str">
        <f t="shared" si="16"/>
        <v>Victor Stafusa</v>
      </c>
      <c r="H46" s="63" t="str">
        <f t="shared" si="16"/>
        <v>Victor Stafusa</v>
      </c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 ht="15.75" hidden="1" customHeight="1" outlineLevel="2">
      <c r="A47" s="16" t="s">
        <v>156</v>
      </c>
      <c r="B47" s="18" t="s">
        <v>157</v>
      </c>
      <c r="C47" s="63" t="s">
        <v>87</v>
      </c>
      <c r="D47" s="128"/>
      <c r="E47" s="128"/>
      <c r="F47" s="128"/>
      <c r="G47" s="128"/>
      <c r="H47" s="128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ht="15.75" hidden="1" customHeight="1" outlineLevel="2">
      <c r="A48" s="129" t="s">
        <v>158</v>
      </c>
      <c r="B48" s="130" t="s">
        <v>159</v>
      </c>
      <c r="C48" s="131" t="s">
        <v>87</v>
      </c>
      <c r="D48" s="132"/>
      <c r="E48" s="132"/>
      <c r="F48" s="132"/>
      <c r="G48" s="132"/>
      <c r="H48" s="132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ht="15.75" hidden="1" customHeight="1" outlineLevel="2">
      <c r="A49" s="37" t="s">
        <v>160</v>
      </c>
      <c r="B49" s="133" t="s">
        <v>161</v>
      </c>
      <c r="C49" s="85">
        <v>1.0</v>
      </c>
      <c r="D49" s="85"/>
      <c r="E49" s="85"/>
      <c r="F49" s="85"/>
      <c r="G49" s="85"/>
      <c r="H49" s="85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 ht="15.75" hidden="1" customHeight="1" outlineLevel="2">
      <c r="A50" s="16" t="s">
        <v>162</v>
      </c>
      <c r="B50" s="18" t="s">
        <v>163</v>
      </c>
      <c r="C50" s="63">
        <v>1.0</v>
      </c>
      <c r="D50" s="63"/>
      <c r="E50" s="63"/>
      <c r="F50" s="63"/>
      <c r="G50" s="63"/>
      <c r="H50" s="63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 ht="15.75" hidden="1" customHeight="1" outlineLevel="2">
      <c r="A51" s="16" t="s">
        <v>164</v>
      </c>
      <c r="B51" s="18" t="s">
        <v>165</v>
      </c>
      <c r="C51" s="63">
        <v>1.0</v>
      </c>
      <c r="D51" s="63"/>
      <c r="E51" s="63"/>
      <c r="F51" s="63"/>
      <c r="G51" s="63"/>
      <c r="H51" s="63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 ht="15.75" hidden="1" customHeight="1" outlineLevel="1">
      <c r="A52" s="16" t="s">
        <v>166</v>
      </c>
      <c r="B52" s="18" t="s">
        <v>167</v>
      </c>
      <c r="C52" s="63">
        <v>1.0</v>
      </c>
      <c r="D52" s="63"/>
      <c r="E52" s="63"/>
      <c r="F52" s="63"/>
      <c r="G52" s="63"/>
      <c r="H52" s="63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ht="15.75" hidden="1" customHeight="1" outlineLevel="2">
      <c r="A53" s="134" t="s">
        <v>168</v>
      </c>
      <c r="B53" s="134"/>
      <c r="C53" s="135">
        <f t="shared" ref="C53:C56" si="17">C49</f>
        <v>1</v>
      </c>
      <c r="D53" s="135" t="str">
        <f>IFERROR(VLOOKUP(D49,'Parâmetros'!$D$3:$E$8,2,0),)</f>
        <v/>
      </c>
      <c r="E53" s="135" t="str">
        <f>IFERROR(VLOOKUP(E49,'Parâmetros'!$D$3:$E$8,2,0),)</f>
        <v/>
      </c>
      <c r="F53" s="135" t="str">
        <f>IFERROR(VLOOKUP(F49,'Parâmetros'!$D$3:$E$8,2,0),)</f>
        <v/>
      </c>
      <c r="G53" s="135" t="str">
        <f>IFERROR(VLOOKUP(G49,'Parâmetros'!$D$3:$E$8,2,0),)</f>
        <v/>
      </c>
      <c r="H53" s="135" t="str">
        <f>IFERROR(VLOOKUP(H49,'Parâmetros'!$D$3:$E$8,2,0),)</f>
        <v/>
      </c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 ht="15.75" hidden="1" customHeight="1" outlineLevel="2">
      <c r="A54" s="134" t="s">
        <v>169</v>
      </c>
      <c r="B54" s="134"/>
      <c r="C54" s="135">
        <f t="shared" si="17"/>
        <v>1</v>
      </c>
      <c r="D54" s="135" t="str">
        <f>IFERROR(VLOOKUP(D50,'Parâmetros'!$D$3:$E$8,2,0),)</f>
        <v/>
      </c>
      <c r="E54" s="135" t="str">
        <f>IFERROR(VLOOKUP(E50,'Parâmetros'!$D$3:$E$8,2,0),)</f>
        <v/>
      </c>
      <c r="F54" s="135" t="str">
        <f>IFERROR(VLOOKUP(F50,'Parâmetros'!$D$3:$E$8,2,0),)</f>
        <v/>
      </c>
      <c r="G54" s="135" t="str">
        <f>IFERROR(VLOOKUP(G50,'Parâmetros'!$D$3:$E$8,2,0),)</f>
        <v/>
      </c>
      <c r="H54" s="135" t="str">
        <f>IFERROR(VLOOKUP(H50,'Parâmetros'!$D$3:$E$8,2,0),)</f>
        <v/>
      </c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 ht="15.75" hidden="1" customHeight="1" outlineLevel="2">
      <c r="A55" s="134" t="s">
        <v>170</v>
      </c>
      <c r="B55" s="134"/>
      <c r="C55" s="135">
        <f t="shared" si="17"/>
        <v>1</v>
      </c>
      <c r="D55" s="135" t="str">
        <f>IFERROR(VLOOKUP(D51,'Parâmetros'!$D$3:$E$8,2,0),)</f>
        <v/>
      </c>
      <c r="E55" s="135" t="str">
        <f>IFERROR(VLOOKUP(E51,'Parâmetros'!$D$3:$E$8,2,0),)</f>
        <v/>
      </c>
      <c r="F55" s="135" t="str">
        <f>IFERROR(VLOOKUP(F51,'Parâmetros'!$D$3:$E$8,2,0),)</f>
        <v/>
      </c>
      <c r="G55" s="135" t="str">
        <f>IFERROR(VLOOKUP(G51,'Parâmetros'!$D$3:$E$8,2,0),)</f>
        <v/>
      </c>
      <c r="H55" s="135" t="str">
        <f>IFERROR(VLOOKUP(H51,'Parâmetros'!$D$3:$E$8,2,0),)</f>
        <v/>
      </c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 ht="15.75" hidden="1" customHeight="1" outlineLevel="2">
      <c r="A56" s="136" t="s">
        <v>171</v>
      </c>
      <c r="B56" s="136"/>
      <c r="C56" s="137">
        <f t="shared" si="17"/>
        <v>1</v>
      </c>
      <c r="D56" s="135" t="str">
        <f>IFERROR(VLOOKUP(D52,'Parâmetros'!$D$3:$E$8,2,0),)</f>
        <v/>
      </c>
      <c r="E56" s="135" t="str">
        <f>IFERROR(VLOOKUP(E52,'Parâmetros'!$D$3:$E$8,2,0),)</f>
        <v/>
      </c>
      <c r="F56" s="135" t="str">
        <f>IFERROR(VLOOKUP(F52,'Parâmetros'!$D$3:$E$8,2,0),)</f>
        <v/>
      </c>
      <c r="G56" s="135" t="str">
        <f>IFERROR(VLOOKUP(G52,'Parâmetros'!$D$3:$E$8,2,0),)</f>
        <v/>
      </c>
      <c r="H56" s="135" t="str">
        <f>IFERROR(VLOOKUP(H52,'Parâmetros'!$D$3:$E$8,2,0),)</f>
        <v/>
      </c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 ht="15.75" hidden="1" customHeight="1" outlineLevel="1">
      <c r="A57" s="138" t="s">
        <v>172</v>
      </c>
      <c r="B57" s="139"/>
      <c r="C57" s="140">
        <f>SUM(C49:C52)</f>
        <v>4</v>
      </c>
      <c r="D57" s="141" t="str">
        <f t="shared" ref="D57:H57" si="18">IF(COUNT(D53:D56)=0,,ROUND(SUMPRODUCT($C53:$C56,   D53:D56)/SUM($C53:$C56),1))</f>
        <v/>
      </c>
      <c r="E57" s="141" t="str">
        <f t="shared" si="18"/>
        <v/>
      </c>
      <c r="F57" s="141" t="str">
        <f t="shared" si="18"/>
        <v/>
      </c>
      <c r="G57" s="141" t="str">
        <f t="shared" si="18"/>
        <v/>
      </c>
      <c r="H57" s="141" t="str">
        <f t="shared" si="18"/>
        <v/>
      </c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 ht="15.75" customHeight="1" collapsed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5.75" customHeight="1">
      <c r="A59" s="125" t="s">
        <v>95</v>
      </c>
      <c r="B59" s="46"/>
      <c r="C59" s="46"/>
      <c r="D59" s="46"/>
      <c r="E59" s="46"/>
      <c r="F59" s="46"/>
      <c r="G59" s="46"/>
      <c r="H59" s="67"/>
      <c r="I59" s="67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5.75" hidden="1" customHeight="1" outlineLevel="1">
      <c r="A60" s="142" t="s">
        <v>145</v>
      </c>
      <c r="B60" s="142" t="s">
        <v>146</v>
      </c>
      <c r="C60" s="142" t="s">
        <v>69</v>
      </c>
      <c r="D60" s="126" t="str">
        <f t="shared" ref="D60:G60" si="19">D$1</f>
        <v>AC1</v>
      </c>
      <c r="E60" s="126" t="str">
        <f t="shared" si="19"/>
        <v>AC2</v>
      </c>
      <c r="F60" s="126" t="str">
        <f t="shared" si="19"/>
        <v>AC3</v>
      </c>
      <c r="G60" s="126" t="str">
        <f t="shared" si="19"/>
        <v>AC4</v>
      </c>
      <c r="H60" s="67"/>
      <c r="I60" s="67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5.75" hidden="1" customHeight="1" outlineLevel="2">
      <c r="A61" s="16" t="s">
        <v>154</v>
      </c>
      <c r="B61" s="18" t="s">
        <v>173</v>
      </c>
      <c r="C61" s="143">
        <f>D61-21</f>
        <v>44399</v>
      </c>
      <c r="D61" s="127">
        <f t="shared" ref="D61:G61" si="20">D$4</f>
        <v>44420</v>
      </c>
      <c r="E61" s="127">
        <f t="shared" si="20"/>
        <v>44441</v>
      </c>
      <c r="F61" s="127">
        <f t="shared" si="20"/>
        <v>44462</v>
      </c>
      <c r="G61" s="127">
        <f t="shared" si="20"/>
        <v>44483</v>
      </c>
      <c r="H61" s="67"/>
      <c r="I61" s="67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5.75" hidden="1" customHeight="1" outlineLevel="2">
      <c r="A62" s="16" t="s">
        <v>174</v>
      </c>
      <c r="B62" s="18" t="s">
        <v>175</v>
      </c>
      <c r="C62" s="63">
        <f>D62</f>
        <v>4</v>
      </c>
      <c r="D62" s="144">
        <f>IF(formando,4,0)</f>
        <v>4</v>
      </c>
      <c r="E62" s="144">
        <f t="shared" ref="E62:G62" si="21">D62+1</f>
        <v>5</v>
      </c>
      <c r="F62" s="144">
        <f t="shared" si="21"/>
        <v>6</v>
      </c>
      <c r="G62" s="144">
        <f t="shared" si="21"/>
        <v>7</v>
      </c>
      <c r="H62" s="67"/>
      <c r="I62" s="67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5.75" hidden="1" customHeight="1" outlineLevel="2">
      <c r="A63" s="16" t="s">
        <v>90</v>
      </c>
      <c r="B63" s="18" t="s">
        <v>176</v>
      </c>
      <c r="C63" s="63" t="s">
        <v>87</v>
      </c>
      <c r="D63" s="63" t="str">
        <f t="shared" ref="D63:G63" si="22">IF(ISBLANK(D$5),,D$5)</f>
        <v>Victor Stafusa</v>
      </c>
      <c r="E63" s="63" t="str">
        <f t="shared" si="22"/>
        <v>Victor Stafusa</v>
      </c>
      <c r="F63" s="63" t="str">
        <f t="shared" si="22"/>
        <v>Victor Stafusa</v>
      </c>
      <c r="G63" s="63" t="str">
        <f t="shared" si="22"/>
        <v>Victor Stafusa</v>
      </c>
      <c r="H63" s="67"/>
      <c r="I63" s="67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5.75" hidden="1" customHeight="1" outlineLevel="2">
      <c r="A64" s="16" t="s">
        <v>156</v>
      </c>
      <c r="B64" s="18" t="s">
        <v>157</v>
      </c>
      <c r="C64" s="63" t="s">
        <v>87</v>
      </c>
      <c r="D64" s="128"/>
      <c r="E64" s="128"/>
      <c r="F64" s="128"/>
      <c r="G64" s="128"/>
      <c r="H64" s="67"/>
      <c r="I64" s="67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5.75" hidden="1" customHeight="1" outlineLevel="2">
      <c r="A65" s="129" t="s">
        <v>158</v>
      </c>
      <c r="B65" s="130" t="s">
        <v>159</v>
      </c>
      <c r="C65" s="131" t="s">
        <v>87</v>
      </c>
      <c r="D65" s="132"/>
      <c r="E65" s="132"/>
      <c r="F65" s="132"/>
      <c r="G65" s="132"/>
      <c r="H65" s="67"/>
      <c r="I65" s="67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5.75" hidden="1" customHeight="1" outlineLevel="2">
      <c r="A66" s="37" t="s">
        <v>177</v>
      </c>
      <c r="B66" s="133" t="s">
        <v>178</v>
      </c>
      <c r="C66" s="85">
        <v>1.0</v>
      </c>
      <c r="D66" s="85"/>
      <c r="E66" s="85"/>
      <c r="F66" s="85"/>
      <c r="G66" s="85"/>
      <c r="H66" s="67"/>
      <c r="I66" s="67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5.75" hidden="1" customHeight="1" outlineLevel="1">
      <c r="A67" s="16" t="s">
        <v>179</v>
      </c>
      <c r="B67" s="18" t="s">
        <v>180</v>
      </c>
      <c r="C67" s="63">
        <v>1.0</v>
      </c>
      <c r="D67" s="63"/>
      <c r="E67" s="85"/>
      <c r="F67" s="85"/>
      <c r="G67" s="85"/>
      <c r="H67" s="67"/>
      <c r="I67" s="67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5.75" hidden="1" customHeight="1" outlineLevel="1">
      <c r="A68" s="16" t="s">
        <v>181</v>
      </c>
      <c r="B68" s="18" t="s">
        <v>182</v>
      </c>
      <c r="C68" s="63">
        <v>1.0</v>
      </c>
      <c r="D68" s="19" t="str">
        <f t="shared" ref="D68:G68" si="23">IFERROR(round(10*MAX(0,MIN(1,(D79-D80)/D78)),0))</f>
        <v/>
      </c>
      <c r="E68" s="19" t="str">
        <f t="shared" si="23"/>
        <v/>
      </c>
      <c r="F68" s="19" t="str">
        <f t="shared" si="23"/>
        <v/>
      </c>
      <c r="G68" s="19" t="str">
        <f t="shared" si="23"/>
        <v/>
      </c>
      <c r="H68" s="67"/>
      <c r="I68" s="67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5.75" hidden="1" customHeight="1" outlineLevel="2">
      <c r="A69" s="66" t="s">
        <v>183</v>
      </c>
      <c r="B69" s="66"/>
      <c r="C69" s="145">
        <f>C66</f>
        <v>1</v>
      </c>
      <c r="D69" s="19" t="str">
        <f>IFERROR(VLOOKUP(D66,'Parâmetros'!$D$3:$E$8,2,0),)</f>
        <v/>
      </c>
      <c r="E69" s="19" t="str">
        <f>IFERROR(VLOOKUP(E66,'Parâmetros'!$D$3:$E$8,2,0),)</f>
        <v/>
      </c>
      <c r="F69" s="19" t="str">
        <f>IFERROR(VLOOKUP(F66,'Parâmetros'!$D$3:$E$8,2,0),)</f>
        <v/>
      </c>
      <c r="G69" s="19" t="str">
        <f>IFERROR(VLOOKUP(G66,'Parâmetros'!$D$3:$E$8,2,0),)</f>
        <v/>
      </c>
      <c r="H69" s="67"/>
      <c r="I69" s="67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5.75" hidden="1" customHeight="1" outlineLevel="2">
      <c r="A70" s="66" t="s">
        <v>184</v>
      </c>
      <c r="B70" s="66"/>
      <c r="C70" s="145">
        <f>C66</f>
        <v>1</v>
      </c>
      <c r="D70" s="19" t="str">
        <f>IFERROR(VLOOKUP(D67,'Parâmetros'!$D$3:$E$8,2,0),)</f>
        <v/>
      </c>
      <c r="E70" s="19" t="str">
        <f>IFERROR(VLOOKUP(E67,'Parâmetros'!$D$3:$E$8,2,0),)</f>
        <v/>
      </c>
      <c r="F70" s="19" t="str">
        <f>IFERROR(VLOOKUP(F67,'Parâmetros'!$D$3:$E$8,2,0),)</f>
        <v/>
      </c>
      <c r="G70" s="19" t="str">
        <f>IFERROR(VLOOKUP(G67,'Parâmetros'!$D$3:$E$8,2,0),)</f>
        <v/>
      </c>
      <c r="H70" s="67"/>
      <c r="I70" s="67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5.75" hidden="1" customHeight="1" outlineLevel="1">
      <c r="A71" s="138" t="s">
        <v>172</v>
      </c>
      <c r="B71" s="139"/>
      <c r="C71" s="140">
        <f>SUM(C64:C67)</f>
        <v>2</v>
      </c>
      <c r="D71" s="141" t="str">
        <f t="shared" ref="D71:G71" si="24">IF(COUNT(D69:D70)&lt;=1,, ROUND(
 IF(D62=0,SUMPRODUCT($C69:$C70,D69:D70)/SUM($C69:$C70),
          SUMPRODUCT($C68:$C70,D68:D70)/SUM($C68:$C70) )  ,1))</f>
        <v/>
      </c>
      <c r="E71" s="141" t="str">
        <f t="shared" si="24"/>
        <v/>
      </c>
      <c r="F71" s="141" t="str">
        <f t="shared" si="24"/>
        <v/>
      </c>
      <c r="G71" s="141" t="str">
        <f t="shared" si="24"/>
        <v/>
      </c>
      <c r="H71" s="67"/>
      <c r="I71" s="67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5.75" customHeight="1" collapsed="1">
      <c r="A72" s="67"/>
      <c r="B72" s="67"/>
      <c r="C72" s="67"/>
      <c r="D72" s="67"/>
      <c r="E72" s="67"/>
      <c r="F72" s="67"/>
      <c r="G72" s="67"/>
      <c r="H72" s="67"/>
      <c r="I72" s="67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5.75" hidden="1" customHeight="1" outlineLevel="1">
      <c r="A73" s="16" t="s">
        <v>185</v>
      </c>
      <c r="B73" s="18" t="s">
        <v>186</v>
      </c>
      <c r="C73" s="67"/>
      <c r="D73" s="19">
        <f>'Notas_Frequência'!D33</f>
        <v>5</v>
      </c>
      <c r="E73" s="19">
        <f>'Notas_Frequência'!E33</f>
        <v>5</v>
      </c>
      <c r="F73" s="19">
        <f>'Notas_Frequência'!F33</f>
        <v>5</v>
      </c>
      <c r="G73" s="19">
        <f>'Notas_Frequência'!G33</f>
        <v>5</v>
      </c>
      <c r="H73" s="67"/>
      <c r="I73" s="67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5.75" hidden="1" customHeight="1" outlineLevel="1">
      <c r="A74" s="16" t="s">
        <v>187</v>
      </c>
      <c r="B74" s="146" t="s">
        <v>188</v>
      </c>
      <c r="C74" s="67"/>
      <c r="D74" s="19">
        <f>D4-C61</f>
        <v>21</v>
      </c>
      <c r="E74" s="19">
        <f t="shared" ref="E74:G74" si="25">E4-D4</f>
        <v>21</v>
      </c>
      <c r="F74" s="19">
        <f t="shared" si="25"/>
        <v>21</v>
      </c>
      <c r="G74" s="19">
        <f t="shared" si="25"/>
        <v>21</v>
      </c>
      <c r="H74" s="67"/>
      <c r="I74" s="67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5.75" hidden="1" customHeight="1" outlineLevel="1">
      <c r="A75" s="16" t="s">
        <v>189</v>
      </c>
      <c r="B75" s="146" t="s">
        <v>190</v>
      </c>
      <c r="C75" s="67"/>
      <c r="D75" s="19">
        <f t="shared" ref="D75:G75" si="26">D74/7</f>
        <v>3</v>
      </c>
      <c r="E75" s="19">
        <f t="shared" si="26"/>
        <v>3</v>
      </c>
      <c r="F75" s="19">
        <f t="shared" si="26"/>
        <v>3</v>
      </c>
      <c r="G75" s="19">
        <f t="shared" si="26"/>
        <v>3</v>
      </c>
      <c r="H75" s="67"/>
      <c r="I75" s="67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.75" hidden="1" customHeight="1" outlineLevel="1">
      <c r="A76" s="16" t="s">
        <v>191</v>
      </c>
      <c r="B76" s="146" t="s">
        <v>192</v>
      </c>
      <c r="C76" s="147">
        <v>4.0</v>
      </c>
      <c r="D76" s="19">
        <f t="shared" ref="D76:G76" si="27">D$73*D$75*($C76-1)</f>
        <v>45</v>
      </c>
      <c r="E76" s="19">
        <f t="shared" si="27"/>
        <v>45</v>
      </c>
      <c r="F76" s="19">
        <f t="shared" si="27"/>
        <v>45</v>
      </c>
      <c r="G76" s="19">
        <f t="shared" si="27"/>
        <v>45</v>
      </c>
      <c r="H76" s="67"/>
      <c r="I76" s="67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.75" hidden="1" customHeight="1" outlineLevel="1">
      <c r="A77" s="16" t="s">
        <v>193</v>
      </c>
      <c r="B77" s="146" t="s">
        <v>194</v>
      </c>
      <c r="C77" s="147">
        <v>12.0</v>
      </c>
      <c r="D77" s="19">
        <f t="shared" ref="D77:G77" si="28">D$73*D$75*$C77-4*D$73</f>
        <v>160</v>
      </c>
      <c r="E77" s="19">
        <f t="shared" si="28"/>
        <v>160</v>
      </c>
      <c r="F77" s="19">
        <f t="shared" si="28"/>
        <v>160</v>
      </c>
      <c r="G77" s="19">
        <f t="shared" si="28"/>
        <v>160</v>
      </c>
      <c r="H77" s="67"/>
      <c r="I77" s="67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5.75" hidden="1" customHeight="1" outlineLevel="1">
      <c r="A78" s="16" t="s">
        <v>195</v>
      </c>
      <c r="B78" s="146" t="s">
        <v>196</v>
      </c>
      <c r="C78" s="147"/>
      <c r="D78" s="19">
        <f>SUMIFS(BacklogPlanejado!$E:$E,BacklogPlanejado!$A:$A,D$62)</f>
        <v>0</v>
      </c>
      <c r="E78" s="19">
        <f>SUMIFS(BacklogPlanejado!$E:$E,BacklogPlanejado!$A:$A,E$62)</f>
        <v>0</v>
      </c>
      <c r="F78" s="19">
        <f>SUMIFS(BacklogPlanejado!$E:$E,BacklogPlanejado!$A:$A,F$62)</f>
        <v>0</v>
      </c>
      <c r="G78" s="19">
        <f>SUMIFS(BacklogPlanejado!$E:$E,BacklogPlanejado!$A:$A,G$62)</f>
        <v>0</v>
      </c>
      <c r="H78" s="67"/>
      <c r="I78" s="67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5.75" hidden="1" customHeight="1" outlineLevel="1">
      <c r="A79" s="16" t="s">
        <v>197</v>
      </c>
      <c r="B79" s="146" t="s">
        <v>198</v>
      </c>
      <c r="C79" s="147"/>
      <c r="D79" s="19">
        <f>SUMIFS(BacklogRealizado!$E:$E,BacklogRealizado!$A:$A,D$62,BacklogRealizado!$G:$G,"Concluída")</f>
        <v>0</v>
      </c>
      <c r="E79" s="19">
        <f>SUMIFS(BacklogRealizado!$E:$E,BacklogRealizado!$A:$A,E$62,BacklogRealizado!$G:$G,"Concluída")</f>
        <v>0</v>
      </c>
      <c r="F79" s="19">
        <f>SUMIFS(BacklogRealizado!$E:$E,BacklogRealizado!$A:$A,F$62,BacklogRealizado!$G:$G,"Concluída")</f>
        <v>0</v>
      </c>
      <c r="G79" s="19">
        <f>SUMIFS(BacklogRealizado!$E:$E,BacklogRealizado!$A:$A,G$62,BacklogRealizado!$G:$G,"Concluída")</f>
        <v>0</v>
      </c>
      <c r="H79" s="67"/>
      <c r="I79" s="67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5.75" hidden="1" customHeight="1" outlineLevel="1">
      <c r="A80" s="16" t="s">
        <v>199</v>
      </c>
      <c r="B80" s="146" t="s">
        <v>200</v>
      </c>
      <c r="C80" s="67"/>
      <c r="D80" s="19">
        <f>COUNTIFS(BacklogRealizado!$J:$J,FALSE,BacklogRealizado!$A:$A,D$62)</f>
        <v>0</v>
      </c>
      <c r="E80" s="19">
        <f>COUNTIFS(BacklogRealizado!$J:$J,FALSE,BacklogRealizado!$A:$A,E$62)</f>
        <v>0</v>
      </c>
      <c r="F80" s="19">
        <f>COUNTIFS(BacklogRealizado!$J:$J,FALSE,BacklogRealizado!$A:$A,F$62)</f>
        <v>0</v>
      </c>
      <c r="G80" s="19">
        <f>COUNTIFS(BacklogRealizado!$J:$J,FALSE,BacklogRealizado!$A:$A,G$62)</f>
        <v>0</v>
      </c>
      <c r="H80" s="67"/>
      <c r="I80" s="67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5.75" hidden="1" customHeight="1" outlineLevel="1">
      <c r="A81" s="16" t="s">
        <v>201</v>
      </c>
      <c r="B81" s="146" t="s">
        <v>202</v>
      </c>
      <c r="C81" s="67"/>
      <c r="D81" s="18"/>
      <c r="E81" s="18"/>
      <c r="F81" s="18"/>
      <c r="G81" s="18"/>
      <c r="H81" s="67"/>
      <c r="I81" s="67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.75" hidden="1" customHeight="1" outlineLevel="1">
      <c r="A82" s="16" t="s">
        <v>203</v>
      </c>
      <c r="B82" s="18" t="s">
        <v>204</v>
      </c>
      <c r="C82" s="67"/>
      <c r="D82" s="18"/>
      <c r="E82" s="18"/>
      <c r="F82" s="18"/>
      <c r="G82" s="18"/>
      <c r="H82" s="67"/>
      <c r="I82" s="67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.75" customHeight="1" collapsed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5.75" customHeight="1">
      <c r="A84" s="125" t="s">
        <v>99</v>
      </c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5.75" hidden="1" customHeight="1" outlineLevel="1">
      <c r="A85" s="142" t="s">
        <v>145</v>
      </c>
      <c r="B85" s="142" t="s">
        <v>146</v>
      </c>
      <c r="C85" s="142" t="s">
        <v>69</v>
      </c>
      <c r="D85" s="142" t="str">
        <f t="shared" ref="D85:H85" si="29">D$1</f>
        <v>AC1</v>
      </c>
      <c r="E85" s="142" t="str">
        <f t="shared" si="29"/>
        <v>AC2</v>
      </c>
      <c r="F85" s="142" t="str">
        <f t="shared" si="29"/>
        <v>AC3</v>
      </c>
      <c r="G85" s="142" t="str">
        <f t="shared" si="29"/>
        <v>AC4</v>
      </c>
      <c r="H85" s="142" t="str">
        <f t="shared" si="29"/>
        <v>AC5</v>
      </c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5.75" hidden="1" customHeight="1" outlineLevel="2">
      <c r="A86" s="16" t="s">
        <v>154</v>
      </c>
      <c r="B86" s="18" t="s">
        <v>205</v>
      </c>
      <c r="C86" s="147"/>
      <c r="D86" s="127">
        <f t="shared" ref="D86:H86" si="30">D$4</f>
        <v>44420</v>
      </c>
      <c r="E86" s="127">
        <f t="shared" si="30"/>
        <v>44441</v>
      </c>
      <c r="F86" s="127">
        <f t="shared" si="30"/>
        <v>44462</v>
      </c>
      <c r="G86" s="127">
        <f t="shared" si="30"/>
        <v>44483</v>
      </c>
      <c r="H86" s="127">
        <f t="shared" si="30"/>
        <v>44518</v>
      </c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5.75" hidden="1" customHeight="1" outlineLevel="2">
      <c r="A87" s="16" t="s">
        <v>90</v>
      </c>
      <c r="B87" s="18" t="s">
        <v>91</v>
      </c>
      <c r="C87" s="63" t="s">
        <v>87</v>
      </c>
      <c r="D87" s="63" t="str">
        <f t="shared" ref="D87:H87" si="31">IF(ISBLANK(D$5),,D$5)</f>
        <v>Victor Stafusa</v>
      </c>
      <c r="E87" s="63" t="str">
        <f t="shared" si="31"/>
        <v>Victor Stafusa</v>
      </c>
      <c r="F87" s="63" t="str">
        <f t="shared" si="31"/>
        <v>Victor Stafusa</v>
      </c>
      <c r="G87" s="63" t="str">
        <f t="shared" si="31"/>
        <v>Victor Stafusa</v>
      </c>
      <c r="H87" s="63" t="str">
        <f t="shared" si="31"/>
        <v>Victor Stafusa</v>
      </c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5.75" hidden="1" customHeight="1" outlineLevel="2">
      <c r="A88" s="16" t="s">
        <v>156</v>
      </c>
      <c r="B88" s="18" t="s">
        <v>157</v>
      </c>
      <c r="C88" s="63" t="s">
        <v>87</v>
      </c>
      <c r="D88" s="128"/>
      <c r="E88" s="128"/>
      <c r="F88" s="128"/>
      <c r="G88" s="128"/>
      <c r="H88" s="128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5.75" hidden="1" customHeight="1" outlineLevel="2">
      <c r="A89" s="129" t="s">
        <v>158</v>
      </c>
      <c r="B89" s="130" t="s">
        <v>159</v>
      </c>
      <c r="C89" s="131" t="s">
        <v>87</v>
      </c>
      <c r="D89" s="132"/>
      <c r="E89" s="132"/>
      <c r="F89" s="132"/>
      <c r="G89" s="132"/>
      <c r="H89" s="132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5.75" hidden="1" customHeight="1" outlineLevel="2">
      <c r="A90" s="37" t="s">
        <v>160</v>
      </c>
      <c r="B90" s="133" t="s">
        <v>206</v>
      </c>
      <c r="C90" s="85">
        <v>1.0</v>
      </c>
      <c r="D90" s="85"/>
      <c r="E90" s="85"/>
      <c r="F90" s="85"/>
      <c r="G90" s="85"/>
      <c r="H90" s="85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5.75" hidden="1" customHeight="1" outlineLevel="1">
      <c r="A91" s="16" t="s">
        <v>207</v>
      </c>
      <c r="B91" s="18" t="s">
        <v>208</v>
      </c>
      <c r="C91" s="63">
        <v>1.0</v>
      </c>
      <c r="D91" s="63"/>
      <c r="E91" s="63"/>
      <c r="F91" s="63"/>
      <c r="G91" s="63"/>
      <c r="H91" s="63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5.75" hidden="1" customHeight="1" outlineLevel="2">
      <c r="A92" s="27" t="s">
        <v>168</v>
      </c>
      <c r="B92" s="27"/>
      <c r="C92" s="19">
        <f t="shared" ref="C92:C93" si="32">C90</f>
        <v>1</v>
      </c>
      <c r="D92" s="19" t="str">
        <f>IFERROR(VLOOKUP(D90,'Parâmetros'!$D$3:$E$8,2,0),"")</f>
        <v/>
      </c>
      <c r="E92" s="19" t="str">
        <f>IFERROR(VLOOKUP(E90,'Parâmetros'!$D$3:$E$8,2,0),"")</f>
        <v/>
      </c>
      <c r="F92" s="19" t="str">
        <f>IFERROR(VLOOKUP(F90,'Parâmetros'!$D$3:$E$8,2,0),"")</f>
        <v/>
      </c>
      <c r="G92" s="19" t="str">
        <f>IFERROR(VLOOKUP(G90,'Parâmetros'!$D$3:$E$8,2,0),"")</f>
        <v/>
      </c>
      <c r="H92" s="19" t="str">
        <f>IFERROR(VLOOKUP(H90,'Parâmetros'!$D$3:$E$8,2,0),"")</f>
        <v/>
      </c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5.75" hidden="1" customHeight="1" outlineLevel="2">
      <c r="A93" s="27" t="s">
        <v>209</v>
      </c>
      <c r="B93" s="27"/>
      <c r="C93" s="19">
        <f t="shared" si="32"/>
        <v>1</v>
      </c>
      <c r="D93" s="19" t="str">
        <f>IFERROR(VLOOKUP(D91,'Parâmetros'!$D$3:$E$8,2,0),"")</f>
        <v/>
      </c>
      <c r="E93" s="19" t="str">
        <f>IFERROR(VLOOKUP(E91,'Parâmetros'!$D$3:$E$8,2,0),"")</f>
        <v/>
      </c>
      <c r="F93" s="19" t="str">
        <f>IFERROR(VLOOKUP(F91,'Parâmetros'!$D$3:$E$8,2,0),"")</f>
        <v/>
      </c>
      <c r="G93" s="19" t="str">
        <f>IFERROR(VLOOKUP(G91,'Parâmetros'!$D$3:$E$8,2,0),"")</f>
        <v/>
      </c>
      <c r="H93" s="19" t="str">
        <f>IFERROR(VLOOKUP(H91,'Parâmetros'!$D$3:$E$8,2,0),"")</f>
        <v/>
      </c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5.75" hidden="1" customHeight="1" outlineLevel="1">
      <c r="A94" s="138" t="s">
        <v>172</v>
      </c>
      <c r="B94" s="139"/>
      <c r="C94" s="140">
        <f>SUM(C90:C91)</f>
        <v>2</v>
      </c>
      <c r="D94" s="141" t="str">
        <f t="shared" ref="D94:H94" si="33">IF(COUNT(D92:D93)=0,"",ROUND(SUMPRODUCT($C92:$C93,   D92:D93)/SUM($C92:$C93),1))</f>
        <v/>
      </c>
      <c r="E94" s="141" t="str">
        <f t="shared" si="33"/>
        <v/>
      </c>
      <c r="F94" s="141" t="str">
        <f t="shared" si="33"/>
        <v/>
      </c>
      <c r="G94" s="141" t="str">
        <f t="shared" si="33"/>
        <v/>
      </c>
      <c r="H94" s="141" t="str">
        <f t="shared" si="33"/>
        <v/>
      </c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5.75" customHeight="1" collapsed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.75" customHeight="1">
      <c r="A96" s="76" t="s">
        <v>101</v>
      </c>
      <c r="B96" s="77"/>
      <c r="C96" s="77"/>
      <c r="D96" s="46"/>
      <c r="E96" s="46"/>
      <c r="F96" s="46"/>
      <c r="G96" s="46"/>
      <c r="H96" s="77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.75" hidden="1" customHeight="1" outlineLevel="1">
      <c r="A97" s="148" t="s">
        <v>145</v>
      </c>
      <c r="B97" s="148" t="s">
        <v>146</v>
      </c>
      <c r="C97" s="148" t="s">
        <v>69</v>
      </c>
      <c r="D97" s="46"/>
      <c r="E97" s="46"/>
      <c r="F97" s="46"/>
      <c r="G97" s="46"/>
      <c r="H97" s="149" t="str">
        <f>H$1</f>
        <v>AC5</v>
      </c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 ht="15.75" hidden="1" customHeight="1" outlineLevel="1">
      <c r="A98" s="16" t="s">
        <v>210</v>
      </c>
      <c r="B98" s="18" t="s">
        <v>211</v>
      </c>
      <c r="C98" s="124"/>
      <c r="D98" s="46"/>
      <c r="E98" s="46"/>
      <c r="F98" s="46"/>
      <c r="G98" s="46"/>
      <c r="H98" s="44" t="s">
        <v>153</v>
      </c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 ht="15.75" hidden="1" customHeight="1" outlineLevel="1">
      <c r="A99" s="16" t="s">
        <v>154</v>
      </c>
      <c r="B99" s="18" t="s">
        <v>155</v>
      </c>
      <c r="C99" s="63" t="s">
        <v>87</v>
      </c>
      <c r="D99" s="46"/>
      <c r="E99" s="46"/>
      <c r="F99" s="46"/>
      <c r="G99" s="46"/>
      <c r="H99" s="127">
        <f>H$4</f>
        <v>44518</v>
      </c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 ht="15.75" hidden="1" customHeight="1" outlineLevel="1">
      <c r="A100" s="16" t="s">
        <v>90</v>
      </c>
      <c r="B100" s="18" t="s">
        <v>91</v>
      </c>
      <c r="C100" s="63" t="s">
        <v>87</v>
      </c>
      <c r="D100" s="46"/>
      <c r="E100" s="46"/>
      <c r="F100" s="46"/>
      <c r="G100" s="46"/>
      <c r="H100" s="63" t="str">
        <f>IF(ISBLANK(H$5),,H$5)</f>
        <v>Victor Stafusa</v>
      </c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 ht="15.75" hidden="1" customHeight="1" outlineLevel="1">
      <c r="A101" s="16" t="s">
        <v>156</v>
      </c>
      <c r="B101" s="18" t="s">
        <v>157</v>
      </c>
      <c r="C101" s="63" t="s">
        <v>87</v>
      </c>
      <c r="D101" s="46"/>
      <c r="E101" s="46"/>
      <c r="F101" s="46"/>
      <c r="G101" s="46"/>
      <c r="H101" s="128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 ht="15.75" hidden="1" customHeight="1" outlineLevel="1">
      <c r="A102" s="129" t="s">
        <v>158</v>
      </c>
      <c r="B102" s="130" t="s">
        <v>159</v>
      </c>
      <c r="C102" s="131" t="s">
        <v>87</v>
      </c>
      <c r="D102" s="46"/>
      <c r="E102" s="46"/>
      <c r="F102" s="46"/>
      <c r="G102" s="46"/>
      <c r="H102" s="132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 ht="15.75" hidden="1" customHeight="1" outlineLevel="1">
      <c r="A103" s="37" t="s">
        <v>160</v>
      </c>
      <c r="B103" s="133" t="s">
        <v>212</v>
      </c>
      <c r="C103" s="85">
        <v>1.0</v>
      </c>
      <c r="D103" s="46"/>
      <c r="E103" s="46"/>
      <c r="F103" s="46"/>
      <c r="G103" s="46"/>
      <c r="H103" s="85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 ht="15.75" hidden="1" customHeight="1" outlineLevel="1">
      <c r="A104" s="16" t="s">
        <v>162</v>
      </c>
      <c r="B104" s="18" t="s">
        <v>213</v>
      </c>
      <c r="C104" s="63">
        <v>1.0</v>
      </c>
      <c r="D104" s="46"/>
      <c r="E104" s="46"/>
      <c r="F104" s="46"/>
      <c r="G104" s="46"/>
      <c r="H104" s="63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 ht="15.75" hidden="1" customHeight="1" outlineLevel="1">
      <c r="A105" s="16" t="s">
        <v>164</v>
      </c>
      <c r="B105" s="18" t="s">
        <v>214</v>
      </c>
      <c r="C105" s="63">
        <v>1.0</v>
      </c>
      <c r="D105" s="46"/>
      <c r="E105" s="46"/>
      <c r="F105" s="46"/>
      <c r="G105" s="46"/>
      <c r="H105" s="63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 ht="15.75" hidden="1" customHeight="1" outlineLevel="2">
      <c r="A106" s="66" t="s">
        <v>168</v>
      </c>
      <c r="B106" s="66"/>
      <c r="C106" s="145">
        <f t="shared" ref="C106:C108" si="34">C103</f>
        <v>1</v>
      </c>
      <c r="D106" s="46"/>
      <c r="E106" s="46"/>
      <c r="F106" s="46"/>
      <c r="G106" s="46"/>
      <c r="H106" s="145" t="str">
        <f>IFERROR(VLOOKUP(H103,'Parâmetros'!$D$3:$E$8,2,0),"")</f>
        <v/>
      </c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 ht="15.75" hidden="1" customHeight="1" outlineLevel="2">
      <c r="A107" s="66" t="s">
        <v>169</v>
      </c>
      <c r="B107" s="66"/>
      <c r="C107" s="145">
        <f t="shared" si="34"/>
        <v>1</v>
      </c>
      <c r="D107" s="46"/>
      <c r="E107" s="46"/>
      <c r="F107" s="46"/>
      <c r="G107" s="46"/>
      <c r="H107" s="145" t="str">
        <f>IFERROR(VLOOKUP(H104,'Parâmetros'!$D$3:$E$8,2,0),"")</f>
        <v/>
      </c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 ht="15.75" hidden="1" customHeight="1" outlineLevel="2">
      <c r="A108" s="66" t="s">
        <v>170</v>
      </c>
      <c r="B108" s="66"/>
      <c r="C108" s="145">
        <f t="shared" si="34"/>
        <v>1</v>
      </c>
      <c r="D108" s="46"/>
      <c r="E108" s="46"/>
      <c r="F108" s="46"/>
      <c r="G108" s="46"/>
      <c r="H108" s="145" t="str">
        <f>IFERROR(VLOOKUP(H105,'Parâmetros'!$D$3:$E$8,2,0),"")</f>
        <v/>
      </c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 ht="15.75" hidden="1" customHeight="1" outlineLevel="1">
      <c r="A109" s="138" t="s">
        <v>172</v>
      </c>
      <c r="B109" s="139"/>
      <c r="C109" s="140">
        <f>SUM(C103:C105)</f>
        <v>3</v>
      </c>
      <c r="D109" s="46"/>
      <c r="E109" s="46"/>
      <c r="F109" s="46"/>
      <c r="G109" s="46"/>
      <c r="H109" s="141" t="str">
        <f>IF(COUNT(H106:H108)=0,"",ROUND(SUMPRODUCT($C106:$C108,   H106:H108)/SUM($C106:$C108),1))</f>
        <v/>
      </c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 ht="15.75" customHeight="1" collapsed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5.75" customHeight="1">
      <c r="A111" s="125" t="s">
        <v>103</v>
      </c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5.75" hidden="1" customHeight="1" outlineLevel="1">
      <c r="A112" s="142" t="s">
        <v>145</v>
      </c>
      <c r="B112" s="142" t="s">
        <v>146</v>
      </c>
      <c r="C112" s="142" t="s">
        <v>69</v>
      </c>
      <c r="D112" s="46"/>
      <c r="E112" s="46"/>
      <c r="F112" s="46"/>
      <c r="G112" s="46"/>
      <c r="H112" s="120"/>
      <c r="I112" s="46"/>
      <c r="J112" s="142" t="str">
        <f>J1</f>
        <v>PROVA</v>
      </c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5.75" hidden="1" customHeight="1" outlineLevel="1">
      <c r="A113" s="16" t="s">
        <v>154</v>
      </c>
      <c r="B113" s="18" t="s">
        <v>215</v>
      </c>
      <c r="C113" s="147"/>
      <c r="D113" s="46"/>
      <c r="E113" s="46"/>
      <c r="F113" s="46"/>
      <c r="G113" s="46"/>
      <c r="H113" s="120"/>
      <c r="I113" s="46"/>
      <c r="J113" s="127">
        <f>J4</f>
        <v>44546</v>
      </c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5.75" hidden="1" customHeight="1" outlineLevel="1">
      <c r="A114" s="16" t="s">
        <v>90</v>
      </c>
      <c r="B114" s="18" t="s">
        <v>91</v>
      </c>
      <c r="C114" s="63" t="s">
        <v>87</v>
      </c>
      <c r="D114" s="46"/>
      <c r="E114" s="46"/>
      <c r="F114" s="46"/>
      <c r="G114" s="46"/>
      <c r="H114" s="120"/>
      <c r="I114" s="46"/>
      <c r="J114" s="63" t="str">
        <f>IF(ISBLANK(J$5),,J$5)</f>
        <v>Victor Stafusa</v>
      </c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5.75" hidden="1" customHeight="1" outlineLevel="1">
      <c r="A115" s="16" t="s">
        <v>156</v>
      </c>
      <c r="B115" s="18" t="s">
        <v>157</v>
      </c>
      <c r="C115" s="63" t="s">
        <v>87</v>
      </c>
      <c r="D115" s="46"/>
      <c r="E115" s="46"/>
      <c r="F115" s="46"/>
      <c r="G115" s="46"/>
      <c r="H115" s="120"/>
      <c r="I115" s="46"/>
      <c r="J115" s="128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5.75" hidden="1" customHeight="1" outlineLevel="1">
      <c r="A116" s="129" t="s">
        <v>158</v>
      </c>
      <c r="B116" s="130" t="s">
        <v>159</v>
      </c>
      <c r="C116" s="131" t="s">
        <v>87</v>
      </c>
      <c r="D116" s="46"/>
      <c r="E116" s="46"/>
      <c r="F116" s="46"/>
      <c r="G116" s="46"/>
      <c r="H116" s="120"/>
      <c r="I116" s="46"/>
      <c r="J116" s="132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5.75" hidden="1" customHeight="1" outlineLevel="1">
      <c r="A117" s="37" t="s">
        <v>162</v>
      </c>
      <c r="B117" s="133" t="s">
        <v>216</v>
      </c>
      <c r="C117" s="85">
        <v>1.0</v>
      </c>
      <c r="D117" s="46"/>
      <c r="E117" s="46"/>
      <c r="F117" s="46"/>
      <c r="G117" s="46"/>
      <c r="H117" s="120"/>
      <c r="I117" s="46"/>
      <c r="J117" s="85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5.75" hidden="1" customHeight="1" outlineLevel="1">
      <c r="A118" s="37" t="s">
        <v>217</v>
      </c>
      <c r="B118" s="133"/>
      <c r="C118" s="85">
        <v>1.0</v>
      </c>
      <c r="D118" s="46"/>
      <c r="E118" s="46"/>
      <c r="F118" s="46"/>
      <c r="G118" s="46"/>
      <c r="H118" s="120"/>
      <c r="I118" s="46"/>
      <c r="J118" s="85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5.75" hidden="1" customHeight="1" outlineLevel="1">
      <c r="A119" s="37" t="s">
        <v>218</v>
      </c>
      <c r="B119" s="133"/>
      <c r="C119" s="85">
        <v>1.0</v>
      </c>
      <c r="D119" s="46"/>
      <c r="E119" s="46"/>
      <c r="F119" s="46"/>
      <c r="G119" s="46"/>
      <c r="H119" s="120"/>
      <c r="I119" s="46"/>
      <c r="J119" s="85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5.75" hidden="1" customHeight="1" outlineLevel="1">
      <c r="A120" s="16" t="s">
        <v>219</v>
      </c>
      <c r="B120" s="18"/>
      <c r="C120" s="63">
        <v>1.0</v>
      </c>
      <c r="D120" s="46"/>
      <c r="E120" s="46"/>
      <c r="F120" s="46"/>
      <c r="G120" s="46"/>
      <c r="H120" s="120"/>
      <c r="I120" s="46"/>
      <c r="J120" s="63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5.75" hidden="1" customHeight="1" outlineLevel="2">
      <c r="A121" s="27" t="s">
        <v>169</v>
      </c>
      <c r="B121" s="27"/>
      <c r="C121" s="19">
        <f>C117</f>
        <v>1</v>
      </c>
      <c r="D121" s="46"/>
      <c r="E121" s="46"/>
      <c r="F121" s="46"/>
      <c r="G121" s="46"/>
      <c r="H121" s="120"/>
      <c r="I121" s="46"/>
      <c r="J121" s="19" t="str">
        <f>IFERROR(VLOOKUP(J117,'Parâmetros'!$D$3:$E$8,2,0),)</f>
        <v/>
      </c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5.75" hidden="1" customHeight="1" outlineLevel="2">
      <c r="A122" s="27" t="s">
        <v>220</v>
      </c>
      <c r="B122" s="27"/>
      <c r="C122" s="19">
        <v>1.0</v>
      </c>
      <c r="D122" s="46"/>
      <c r="E122" s="46"/>
      <c r="F122" s="46"/>
      <c r="G122" s="46"/>
      <c r="H122" s="120"/>
      <c r="I122" s="46"/>
      <c r="J122" s="19" t="str">
        <f>IFERROR(VLOOKUP(J118,'Parâmetros'!$D$3:$E$8,2,0),)</f>
        <v/>
      </c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5.75" hidden="1" customHeight="1" outlineLevel="2">
      <c r="A123" s="27" t="s">
        <v>221</v>
      </c>
      <c r="B123" s="27"/>
      <c r="C123" s="19">
        <v>1.0</v>
      </c>
      <c r="D123" s="46"/>
      <c r="E123" s="46"/>
      <c r="F123" s="46"/>
      <c r="G123" s="46"/>
      <c r="H123" s="120"/>
      <c r="I123" s="46"/>
      <c r="J123" s="19" t="str">
        <f>IFERROR(VLOOKUP(J119,'Parâmetros'!$D$3:$E$8,2,0),)</f>
        <v/>
      </c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5.75" hidden="1" customHeight="1" outlineLevel="2">
      <c r="A124" s="27" t="s">
        <v>222</v>
      </c>
      <c r="B124" s="27"/>
      <c r="C124" s="19">
        <f>C120</f>
        <v>1</v>
      </c>
      <c r="D124" s="46"/>
      <c r="E124" s="46"/>
      <c r="F124" s="46"/>
      <c r="G124" s="46"/>
      <c r="H124" s="120"/>
      <c r="I124" s="46"/>
      <c r="J124" s="19" t="str">
        <f>IFERROR(VLOOKUP(J120,'Parâmetros'!$D$3:$E$8,2,0),)</f>
        <v/>
      </c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5.75" hidden="1" customHeight="1" outlineLevel="1">
      <c r="A125" s="150" t="s">
        <v>172</v>
      </c>
      <c r="B125" s="151"/>
      <c r="C125" s="152">
        <f>SUM(C117:C120)</f>
        <v>4</v>
      </c>
      <c r="D125" s="46"/>
      <c r="E125" s="46"/>
      <c r="F125" s="46"/>
      <c r="G125" s="46"/>
      <c r="H125" s="120"/>
      <c r="I125" s="46"/>
      <c r="J125" s="153" t="str">
        <f>IF(COUNT(J121:J124)=0,,ROUND(SUMPRODUCT($C121:$C124,   J121:J124)/SUM($C121:$C124),1))</f>
        <v/>
      </c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5.75" customHeight="1" collapsed="1">
      <c r="A126" s="154"/>
      <c r="B126" s="154"/>
      <c r="C126" s="154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I23:K23"/>
    <mergeCell ref="I24:K24"/>
    <mergeCell ref="I25:K25"/>
    <mergeCell ref="I26:K26"/>
    <mergeCell ref="I16:K16"/>
    <mergeCell ref="I17:K17"/>
    <mergeCell ref="I18:K18"/>
    <mergeCell ref="I19:K19"/>
    <mergeCell ref="I20:K20"/>
    <mergeCell ref="I21:K21"/>
    <mergeCell ref="I22:K22"/>
  </mergeCells>
  <conditionalFormatting sqref="D17:H26">
    <cfRule type="cellIs" dxfId="0" priority="1" stopIfTrue="1" operator="equal">
      <formula>$A$39</formula>
    </cfRule>
  </conditionalFormatting>
  <conditionalFormatting sqref="D17:H26">
    <cfRule type="cellIs" dxfId="1" priority="2" operator="equal">
      <formula>$A$40</formula>
    </cfRule>
  </conditionalFormatting>
  <conditionalFormatting sqref="D17:H26">
    <cfRule type="cellIs" dxfId="2" priority="3" operator="equal">
      <formula>$A$37</formula>
    </cfRule>
  </conditionalFormatting>
  <dataValidations>
    <dataValidation type="list" allowBlank="1" showErrorMessage="1" sqref="D5:H5 J5 D46:H46 D63:G63 D87:H87 H100 J114">
      <formula1>Orientadores</formula1>
    </dataValidation>
    <dataValidation type="list" allowBlank="1" showErrorMessage="1" sqref="D49:H52 D66:G67 D90:H91 H103:H105 J117:J120">
      <formula1>Nota_Exec</formula1>
    </dataValidation>
    <dataValidation type="list" allowBlank="1" sqref="D17:H26">
      <formula1>$A$36:$A$40</formula1>
    </dataValidation>
    <dataValidation type="decimal" allowBlank="1" showDropDown="1" showInputMessage="1" showErrorMessage="1" prompt="Enter a number between 0 and 10" sqref="D13:H13">
      <formula1>0.0</formula1>
      <formula2>10.0</formula2>
    </dataValidation>
  </dataValidations>
  <hyperlinks>
    <hyperlink display="Sprint Review" location="Notas_Frequência!A59" ref="A8"/>
    <hyperlink display="Avaliação do Documento" location="Notas_Frequência!A42" ref="A9"/>
    <hyperlink display="Artefatos de Software" location="Notas_Frequência!A84" ref="A10"/>
    <hyperlink display="Avaliação de Pôster" location="Notas_Frequência!A96" ref="A11"/>
    <hyperlink display="Vídeo" location="Notas_Frequência!A111" ref="A12"/>
  </hyperlink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Col="1"/>
  <cols>
    <col customWidth="1" min="1" max="1" width="11.57" outlineLevel="1"/>
    <col customWidth="1" min="2" max="2" width="5.14" outlineLevel="1"/>
    <col customWidth="1" min="3" max="3" width="2.86"/>
    <col customWidth="1" min="4" max="4" width="7.71"/>
    <col customWidth="1" min="5" max="5" width="4.86"/>
    <col customWidth="1" min="6" max="6" width="3.29"/>
    <col customWidth="1" min="7" max="7" width="14.0"/>
    <col customWidth="1" hidden="1" min="8" max="8" width="9.29" outlineLevel="1"/>
    <col customWidth="1" hidden="1" min="9" max="9" width="34.43" outlineLevel="1"/>
    <col customWidth="1" min="10" max="10" width="4.57"/>
    <col customWidth="1" min="11" max="11" width="7.14"/>
    <col customWidth="1" hidden="1" min="12" max="12" width="6.0" outlineLevel="1"/>
    <col customWidth="1" hidden="1" min="13" max="13" width="5.71" outlineLevel="1"/>
    <col customWidth="1" hidden="1" min="14" max="14" width="7.29" outlineLevel="1"/>
    <col customWidth="1" min="15" max="15" width="4.57"/>
    <col customWidth="1" min="16" max="16" width="8.71"/>
    <col customWidth="1" min="17" max="17" width="6.14"/>
    <col customWidth="1" hidden="1" min="18" max="20" width="8.71" outlineLevel="1"/>
    <col customWidth="1" hidden="1" min="21" max="21" width="16.14" outlineLevel="1"/>
    <col customWidth="1" hidden="1" min="22" max="22" width="8.71" outlineLevel="1"/>
    <col customWidth="1" hidden="1" min="23" max="23" width="3.86" outlineLevel="1"/>
    <col customWidth="1" hidden="1" min="24" max="26" width="8.71" outlineLevel="1"/>
    <col customWidth="1" min="27" max="27" width="7.71"/>
    <col customWidth="1" min="28" max="29" width="8.71"/>
    <col customWidth="1" min="30" max="30" width="5.57"/>
    <col customWidth="1" min="31" max="32" width="8.71"/>
    <col customWidth="1" min="33" max="33" width="6.0"/>
    <col customWidth="1" min="34" max="34" width="3.71"/>
    <col customWidth="1" min="35" max="35" width="10.43"/>
    <col customWidth="1" hidden="1" min="36" max="36" width="16.14" outlineLevel="1"/>
    <col customWidth="1" min="37" max="41" width="5.57"/>
    <col customWidth="1" min="42" max="46" width="5.86"/>
    <col customWidth="1" min="47" max="47" width="7.57"/>
  </cols>
  <sheetData>
    <row r="1">
      <c r="A1" s="155" t="str">
        <f>IFERROR(__xludf.DUMMYFUNCTION("IMPORTRANGE(id_parametros,""Parâmetros!A:AU"")"),"Parâmetros")</f>
        <v>Parâmetros</v>
      </c>
      <c r="B1" s="156"/>
      <c r="C1" s="46"/>
      <c r="D1" s="156" t="str">
        <f>IFERROR(__xludf.DUMMYFUNCTION("""COMPUTED_VALUE"""),"Notas")</f>
        <v>Notas</v>
      </c>
      <c r="E1" s="156"/>
      <c r="F1" s="46"/>
      <c r="G1" s="156" t="str">
        <f>IFERROR(__xludf.DUMMYFUNCTION("""COMPUTED_VALUE"""),"Orientadores")</f>
        <v>Orientadores</v>
      </c>
      <c r="H1" s="156"/>
      <c r="I1" s="156"/>
      <c r="J1" s="46"/>
      <c r="K1" s="156" t="str">
        <f>IFERROR(__xludf.DUMMYFUNCTION("""COMPUTED_VALUE"""),"Curso, Semestre e Disciplina")</f>
        <v>Curso, Semestre e Disciplina</v>
      </c>
      <c r="L1" s="156"/>
      <c r="M1" s="156"/>
      <c r="N1" s="156"/>
      <c r="O1" s="46"/>
      <c r="P1" s="157" t="str">
        <f>IFERROR(__xludf.DUMMYFUNCTION("""COMPUTED_VALUE"""),"Plano de Ensino")</f>
        <v>Plano de Ensino</v>
      </c>
      <c r="Q1" s="158"/>
      <c r="R1" s="159"/>
      <c r="S1" s="160"/>
      <c r="T1" s="159"/>
      <c r="U1" s="159"/>
      <c r="V1" s="159"/>
      <c r="W1" s="159"/>
      <c r="X1" s="159"/>
      <c r="Y1" s="159"/>
      <c r="Z1" s="159"/>
      <c r="AA1" s="159"/>
      <c r="AB1" s="158" t="str">
        <f>IFERROR(__xludf.DUMMYFUNCTION("""COMPUTED_VALUE"""),"Orientação e Avaliações")</f>
        <v>Orientação e Avaliações</v>
      </c>
      <c r="AC1" s="159"/>
      <c r="AD1" s="159"/>
      <c r="AE1" s="159"/>
      <c r="AF1" s="159"/>
      <c r="AG1" s="159"/>
      <c r="AH1" s="159"/>
      <c r="AI1" s="159"/>
      <c r="AJ1" s="159"/>
      <c r="AK1" s="161" t="str">
        <f>IFERROR(__xludf.DUMMYFUNCTION("""COMPUTED_VALUE"""),"Avaliação Documento")</f>
        <v>Avaliação Documento</v>
      </c>
      <c r="AL1" s="162"/>
      <c r="AM1" s="162"/>
      <c r="AN1" s="162"/>
      <c r="AO1" s="162"/>
      <c r="AP1" s="161" t="str">
        <f>IFERROR(__xludf.DUMMYFUNCTION("""COMPUTED_VALUE"""),"Artefatos de Software")</f>
        <v>Artefatos de Software</v>
      </c>
      <c r="AQ1" s="162"/>
      <c r="AR1" s="162"/>
      <c r="AS1" s="162"/>
      <c r="AT1" s="163"/>
      <c r="AU1" s="67"/>
    </row>
    <row r="2">
      <c r="A2" s="164" t="str">
        <f>IFERROR(__xludf.DUMMYFUNCTION("""COMPUTED_VALUE"""),"Parâmetro")</f>
        <v>Parâmetro</v>
      </c>
      <c r="B2" s="164" t="str">
        <f>IFERROR(__xludf.DUMMYFUNCTION("""COMPUTED_VALUE"""),"Valor")</f>
        <v>Valor</v>
      </c>
      <c r="C2" s="46"/>
      <c r="D2" s="164" t="str">
        <f>IFERROR(__xludf.DUMMYFUNCTION("""COMPUTED_VALUE"""),"Critério")</f>
        <v>Critério</v>
      </c>
      <c r="E2" s="164" t="str">
        <f>IFERROR(__xludf.DUMMYFUNCTION("""COMPUTED_VALUE"""),"Nota")</f>
        <v>Nota</v>
      </c>
      <c r="F2" s="46"/>
      <c r="G2" s="165" t="str">
        <f>IFERROR(__xludf.DUMMYFUNCTION("""COMPUTED_VALUE"""),"Orientador")</f>
        <v>Orientador</v>
      </c>
      <c r="H2" s="165" t="str">
        <f>IFERROR(__xludf.DUMMYFUNCTION("""COMPUTED_VALUE"""),"Nome")</f>
        <v>Nome</v>
      </c>
      <c r="I2" s="165" t="str">
        <f>IFERROR(__xludf.DUMMYFUNCTION("""COMPUTED_VALUE"""),"email")</f>
        <v>email</v>
      </c>
      <c r="J2" s="46"/>
      <c r="K2" s="164" t="str">
        <f>IFERROR(__xludf.DUMMYFUNCTION("""COMPUTED_VALUE"""),"CurSem")</f>
        <v>CurSem</v>
      </c>
      <c r="L2" s="164" t="str">
        <f>IFERROR(__xludf.DUMMYFUNCTION("""COMPUTED_VALUE"""),"Curso")</f>
        <v>Curso</v>
      </c>
      <c r="M2" s="164" t="str">
        <f>IFERROR(__xludf.DUMMYFUNCTION("""COMPUTED_VALUE"""),"Semestre")</f>
        <v>Semestre</v>
      </c>
      <c r="N2" s="164" t="str">
        <f>IFERROR(__xludf.DUMMYFUNCTION("""COMPUTED_VALUE"""),"Disciplina")</f>
        <v>Disciplina</v>
      </c>
      <c r="O2" s="46"/>
      <c r="P2" s="166" t="str">
        <f>IFERROR(__xludf.DUMMYFUNCTION("""COMPUTED_VALUE"""),"AC_Semana")</f>
        <v>AC_Semana</v>
      </c>
      <c r="Q2" s="167" t="str">
        <f>IFERROR(__xludf.DUMMYFUNCTION("""COMPUTED_VALUE"""),"Semana")</f>
        <v>Semana</v>
      </c>
      <c r="R2" s="167" t="str">
        <f>IFERROR(__xludf.DUMMYFUNCTION("""COMPUTED_VALUE"""),"AC")</f>
        <v>AC</v>
      </c>
      <c r="S2" s="168" t="str">
        <f>IFERROR(__xludf.DUMMYFUNCTION("""COMPUTED_VALUE"""),"Semana Grupo")</f>
        <v>Semana Grupo</v>
      </c>
      <c r="T2" s="167" t="str">
        <f>IFERROR(__xludf.DUMMYFUNCTION("""COMPUTED_VALUE"""),"Encontro")</f>
        <v>Encontro</v>
      </c>
      <c r="U2" s="167" t="str">
        <f>IFERROR(__xludf.DUMMYFUNCTION("""COMPUTED_VALUE"""),"Entregas")</f>
        <v>Entregas</v>
      </c>
      <c r="V2" s="167" t="str">
        <f>IFERROR(__xludf.DUMMYFUNCTION("""COMPUTED_VALUE"""),"2ª")</f>
        <v>2ª</v>
      </c>
      <c r="W2" s="167" t="str">
        <f>IFERROR(__xludf.DUMMYFUNCTION("""COMPUTED_VALUE"""),"3ª")</f>
        <v>3ª</v>
      </c>
      <c r="X2" s="167" t="str">
        <f>IFERROR(__xludf.DUMMYFUNCTION("""COMPUTED_VALUE"""),"4ª")</f>
        <v>4ª</v>
      </c>
      <c r="Y2" s="167" t="str">
        <f>IFERROR(__xludf.DUMMYFUNCTION("""COMPUTED_VALUE"""),"5ª")</f>
        <v>5ª</v>
      </c>
      <c r="Z2" s="167" t="str">
        <f>IFERROR(__xludf.DUMMYFUNCTION("""COMPUTED_VALUE"""),"6ª")</f>
        <v>6ª</v>
      </c>
      <c r="AA2" s="159"/>
      <c r="AB2" s="169" t="b">
        <f>IFERROR(__xludf.DUMMYFUNCTION("""COMPUTED_VALUE"""),FALSE)</f>
        <v>0</v>
      </c>
      <c r="AC2" s="169" t="str">
        <f>IFERROR(__xludf.DUMMYFUNCTION("""COMPUTED_VALUE"""),"Disciplina")</f>
        <v>Disciplina</v>
      </c>
      <c r="AD2" s="169" t="str">
        <f>IFERROR(__xludf.DUMMYFUNCTION("""COMPUTED_VALUE"""),"Curso")</f>
        <v>Curso</v>
      </c>
      <c r="AE2" s="169" t="str">
        <f>IFERROR(__xludf.DUMMYFUNCTION("""COMPUTED_VALUE"""),"Semestre")</f>
        <v>Semestre</v>
      </c>
      <c r="AF2" s="169" t="str">
        <f>IFERROR(__xludf.DUMMYFUNCTION("""COMPUTED_VALUE"""),"Turno")</f>
        <v>Turno</v>
      </c>
      <c r="AG2" s="169" t="str">
        <f>IFERROR(__xludf.DUMMYFUNCTION("""COMPUTED_VALUE"""),"Turma")</f>
        <v>Turma</v>
      </c>
      <c r="AH2" s="169" t="str">
        <f>IFERROR(__xludf.DUMMYFUNCTION("""COMPUTED_VALUE"""),"Dia")</f>
        <v>Dia</v>
      </c>
      <c r="AI2" s="169" t="str">
        <f>IFERROR(__xludf.DUMMYFUNCTION("""COMPUTED_VALUE"""),"Orientador")</f>
        <v>Orientador</v>
      </c>
      <c r="AJ2" s="170"/>
      <c r="AK2" s="171" t="str">
        <f>IFERROR(__xludf.DUMMYFUNCTION("""COMPUTED_VALUE"""),"AC1")</f>
        <v>AC1</v>
      </c>
      <c r="AL2" s="172" t="str">
        <f>IFERROR(__xludf.DUMMYFUNCTION("""COMPUTED_VALUE"""),"AC2")</f>
        <v>AC2</v>
      </c>
      <c r="AM2" s="172" t="str">
        <f>IFERROR(__xludf.DUMMYFUNCTION("""COMPUTED_VALUE"""),"AC3")</f>
        <v>AC3</v>
      </c>
      <c r="AN2" s="172" t="str">
        <f>IFERROR(__xludf.DUMMYFUNCTION("""COMPUTED_VALUE"""),"AC4")</f>
        <v>AC4</v>
      </c>
      <c r="AO2" s="172" t="str">
        <f>IFERROR(__xludf.DUMMYFUNCTION("""COMPUTED_VALUE"""),"AC5")</f>
        <v>AC5</v>
      </c>
      <c r="AP2" s="171" t="str">
        <f>IFERROR(__xludf.DUMMYFUNCTION("""COMPUTED_VALUE"""),"AC1")</f>
        <v>AC1</v>
      </c>
      <c r="AQ2" s="172" t="str">
        <f>IFERROR(__xludf.DUMMYFUNCTION("""COMPUTED_VALUE"""),"AC2")</f>
        <v>AC2</v>
      </c>
      <c r="AR2" s="172" t="str">
        <f>IFERROR(__xludf.DUMMYFUNCTION("""COMPUTED_VALUE"""),"AC3")</f>
        <v>AC3</v>
      </c>
      <c r="AS2" s="172" t="str">
        <f>IFERROR(__xludf.DUMMYFUNCTION("""COMPUTED_VALUE"""),"AC4")</f>
        <v>AC4</v>
      </c>
      <c r="AT2" s="173" t="str">
        <f>IFERROR(__xludf.DUMMYFUNCTION("""COMPUTED_VALUE"""),"AC5")</f>
        <v>AC5</v>
      </c>
      <c r="AU2" s="67"/>
    </row>
    <row r="3">
      <c r="A3" s="133" t="str">
        <f>IFERROR(__xludf.DUMMYFUNCTION("""COMPUTED_VALUE"""),"ano letivo")</f>
        <v>ano letivo</v>
      </c>
      <c r="B3" s="133">
        <f>IFERROR(__xludf.DUMMYFUNCTION("""COMPUTED_VALUE"""),2021.0)</f>
        <v>2021</v>
      </c>
      <c r="C3" s="46"/>
      <c r="D3" s="133" t="str">
        <f>IFERROR(__xludf.DUMMYFUNCTION("""COMPUTED_VALUE"""),"Nada")</f>
        <v>Nada</v>
      </c>
      <c r="E3" s="133">
        <f>IFERROR(__xludf.DUMMYFUNCTION("""COMPUTED_VALUE"""),0.0)</f>
        <v>0</v>
      </c>
      <c r="F3" s="46"/>
      <c r="G3" s="16" t="str">
        <f>IFERROR(__xludf.DUMMYFUNCTION("""COMPUTED_VALUE"""),"Renato Borba")</f>
        <v>Renato Borba</v>
      </c>
      <c r="H3" s="18" t="str">
        <f>IFERROR(__xludf.DUMMYFUNCTION("""COMPUTED_VALUE"""),"Renato Borba dos Santos")</f>
        <v>Renato Borba dos Santos</v>
      </c>
      <c r="I3" s="18" t="str">
        <f>IFERROR(__xludf.DUMMYFUNCTION("""COMPUTED_VALUE"""),"renato.borba@faculdadeimpacta.com.br")</f>
        <v>renato.borba@faculdadeimpacta.com.br</v>
      </c>
      <c r="J3" s="46"/>
      <c r="K3" s="134" t="str">
        <f>IFERROR(__xludf.DUMMYFUNCTION("""COMPUTED_VALUE"""),"ADS3")</f>
        <v>ADS3</v>
      </c>
      <c r="L3" s="18" t="str">
        <f>IFERROR(__xludf.DUMMYFUNCTION("""COMPUTED_VALUE"""),"ADS")</f>
        <v>ADS</v>
      </c>
      <c r="M3" s="174">
        <f>IFERROR(__xludf.DUMMYFUNCTION("""COMPUTED_VALUE"""),3.0)</f>
        <v>3</v>
      </c>
      <c r="N3" s="174" t="str">
        <f>IFERROR(__xludf.DUMMYFUNCTION("""COMPUTED_VALUE"""),"OPE1")</f>
        <v>OPE1</v>
      </c>
      <c r="O3" s="46"/>
      <c r="P3" s="175"/>
      <c r="Q3" s="176">
        <f>IFERROR(__xludf.DUMMYFUNCTION("""COMPUTED_VALUE"""),1.0)</f>
        <v>1</v>
      </c>
      <c r="R3" s="177" t="str">
        <f>IFERROR(__xludf.DUMMYFUNCTION("""COMPUTED_VALUE"""),"-")</f>
        <v>-</v>
      </c>
      <c r="S3" s="177" t="str">
        <f>IFERROR(__xludf.DUMMYFUNCTION("""COMPUTED_VALUE"""),"*")</f>
        <v>*</v>
      </c>
      <c r="T3" s="178"/>
      <c r="U3" s="179"/>
      <c r="V3" s="180">
        <f>IFERROR(__xludf.DUMMYFUNCTION("""COMPUTED_VALUE"""),44410.0)</f>
        <v>44410</v>
      </c>
      <c r="W3" s="180">
        <f>IFERROR(__xludf.DUMMYFUNCTION("""COMPUTED_VALUE"""),44411.0)</f>
        <v>44411</v>
      </c>
      <c r="X3" s="180">
        <f>IFERROR(__xludf.DUMMYFUNCTION("""COMPUTED_VALUE"""),44412.0)</f>
        <v>44412</v>
      </c>
      <c r="Y3" s="180">
        <f>IFERROR(__xludf.DUMMYFUNCTION("""COMPUTED_VALUE"""),44413.0)</f>
        <v>44413</v>
      </c>
      <c r="Z3" s="181">
        <f>IFERROR(__xludf.DUMMYFUNCTION("""COMPUTED_VALUE"""),44414.0)</f>
        <v>44414</v>
      </c>
      <c r="AA3" s="182"/>
      <c r="AB3" s="183" t="str">
        <f>IFERROR(__xludf.DUMMYFUNCTION("""COMPUTED_VALUE"""),"ADS 3A E")</f>
        <v>ADS 3A E</v>
      </c>
      <c r="AC3" s="177" t="str">
        <f>IFERROR(__xludf.DUMMYFUNCTION("""COMPUTED_VALUE"""),"OPE1")</f>
        <v>OPE1</v>
      </c>
      <c r="AD3" s="177" t="str">
        <f>IFERROR(__xludf.DUMMYFUNCTION("""COMPUTED_VALUE"""),"ADS")</f>
        <v>ADS</v>
      </c>
      <c r="AE3" s="177">
        <f>IFERROR(__xludf.DUMMYFUNCTION("""COMPUTED_VALUE"""),3.0)</f>
        <v>3</v>
      </c>
      <c r="AF3" s="177" t="str">
        <f>IFERROR(__xludf.DUMMYFUNCTION("""COMPUTED_VALUE"""),"EAD")</f>
        <v>EAD</v>
      </c>
      <c r="AG3" s="177" t="str">
        <f>IFERROR(__xludf.DUMMYFUNCTION("""COMPUTED_VALUE"""),"A")</f>
        <v>A</v>
      </c>
      <c r="AH3" s="177" t="str">
        <f>IFERROR(__xludf.DUMMYFUNCTION("""COMPUTED_VALUE"""),"-")</f>
        <v>-</v>
      </c>
      <c r="AI3" s="89" t="str">
        <f>IFERROR(__xludf.DUMMYFUNCTION("""COMPUTED_VALUE"""),"-")</f>
        <v>-</v>
      </c>
      <c r="AJ3" s="184"/>
      <c r="AK3" s="185" t="b">
        <f>IFERROR(__xludf.DUMMYFUNCTION("""COMPUTED_VALUE"""),FALSE)</f>
        <v>0</v>
      </c>
      <c r="AL3" s="186" t="b">
        <f>IFERROR(__xludf.DUMMYFUNCTION("""COMPUTED_VALUE"""),FALSE)</f>
        <v>0</v>
      </c>
      <c r="AM3" s="186" t="b">
        <f>IFERROR(__xludf.DUMMYFUNCTION("""COMPUTED_VALUE"""),FALSE)</f>
        <v>0</v>
      </c>
      <c r="AN3" s="186" t="b">
        <f>IFERROR(__xludf.DUMMYFUNCTION("""COMPUTED_VALUE"""),FALSE)</f>
        <v>0</v>
      </c>
      <c r="AO3" s="186" t="b">
        <f>IFERROR(__xludf.DUMMYFUNCTION("""COMPUTED_VALUE"""),TRUE)</f>
        <v>1</v>
      </c>
      <c r="AP3" s="185" t="b">
        <f>IFERROR(__xludf.DUMMYFUNCTION("""COMPUTED_VALUE"""),TRUE)</f>
        <v>1</v>
      </c>
      <c r="AQ3" s="186" t="b">
        <f>IFERROR(__xludf.DUMMYFUNCTION("""COMPUTED_VALUE"""),FALSE)</f>
        <v>0</v>
      </c>
      <c r="AR3" s="186" t="b">
        <f>IFERROR(__xludf.DUMMYFUNCTION("""COMPUTED_VALUE"""),TRUE)</f>
        <v>1</v>
      </c>
      <c r="AS3" s="186" t="b">
        <f>IFERROR(__xludf.DUMMYFUNCTION("""COMPUTED_VALUE"""),FALSE)</f>
        <v>0</v>
      </c>
      <c r="AT3" s="187" t="b">
        <f>IFERROR(__xludf.DUMMYFUNCTION("""COMPUTED_VALUE"""),TRUE)</f>
        <v>1</v>
      </c>
      <c r="AU3" s="67"/>
    </row>
    <row r="4">
      <c r="A4" s="133" t="str">
        <f>IFERROR(__xludf.DUMMYFUNCTION("""COMPUTED_VALUE"""),"semestre letivo")</f>
        <v>semestre letivo</v>
      </c>
      <c r="B4" s="133">
        <f>IFERROR(__xludf.DUMMYFUNCTION("""COMPUTED_VALUE"""),2.0)</f>
        <v>2</v>
      </c>
      <c r="C4" s="46"/>
      <c r="D4" s="133" t="str">
        <f>IFERROR(__xludf.DUMMYFUNCTION("""COMPUTED_VALUE"""),"Péssimo")</f>
        <v>Péssimo</v>
      </c>
      <c r="E4" s="133">
        <f>IFERROR(__xludf.DUMMYFUNCTION("""COMPUTED_VALUE"""),2.0)</f>
        <v>2</v>
      </c>
      <c r="F4" s="46"/>
      <c r="G4" s="16" t="str">
        <f>IFERROR(__xludf.DUMMYFUNCTION("""COMPUTED_VALUE"""),"Fernando Sousa")</f>
        <v>Fernando Sousa</v>
      </c>
      <c r="H4" s="18" t="str">
        <f>IFERROR(__xludf.DUMMYFUNCTION("""COMPUTED_VALUE"""),"Fernando Sequeira Sousa")</f>
        <v>Fernando Sequeira Sousa</v>
      </c>
      <c r="I4" s="18" t="str">
        <f>IFERROR(__xludf.DUMMYFUNCTION("""COMPUTED_VALUE"""),"fernando.sousa@faculdadeimpacta.com.br")</f>
        <v>fernando.sousa@faculdadeimpacta.com.br</v>
      </c>
      <c r="J4" s="46"/>
      <c r="K4" s="134" t="str">
        <f>IFERROR(__xludf.DUMMYFUNCTION("""COMPUTED_VALUE"""),"BD3")</f>
        <v>BD3</v>
      </c>
      <c r="L4" s="18" t="str">
        <f>IFERROR(__xludf.DUMMYFUNCTION("""COMPUTED_VALUE"""),"BD")</f>
        <v>BD</v>
      </c>
      <c r="M4" s="174">
        <f>IFERROR(__xludf.DUMMYFUNCTION("""COMPUTED_VALUE"""),3.0)</f>
        <v>3</v>
      </c>
      <c r="N4" s="174" t="str">
        <f>IFERROR(__xludf.DUMMYFUNCTION("""COMPUTED_VALUE"""),"OPE1")</f>
        <v>OPE1</v>
      </c>
      <c r="O4" s="46"/>
      <c r="P4" s="188" t="str">
        <f>IFERROR(__xludf.DUMMYFUNCTION("""COMPUTED_VALUE"""),"11")</f>
        <v>11</v>
      </c>
      <c r="Q4" s="176">
        <f>IFERROR(__xludf.DUMMYFUNCTION("""COMPUTED_VALUE"""),2.0)</f>
        <v>2</v>
      </c>
      <c r="R4" s="177">
        <f>IFERROR(__xludf.DUMMYFUNCTION("""COMPUTED_VALUE"""),1.0)</f>
        <v>1</v>
      </c>
      <c r="S4" s="177">
        <f>IFERROR(__xludf.DUMMYFUNCTION("""COMPUTED_VALUE"""),1.0)</f>
        <v>1</v>
      </c>
      <c r="T4" s="189" t="str">
        <f>IFERROR(__xludf.DUMMYFUNCTION("""COMPUTED_VALUE"""),"1º")</f>
        <v>1º</v>
      </c>
      <c r="U4" s="190" t="str">
        <f>IFERROR(__xludf.DUMMYFUNCTION("""COMPUTED_VALUE"""),"Orientação e Acompanhamento do projeto e dos artefatos")</f>
        <v>Orientação e Acompanhamento do projeto e dos artefatos</v>
      </c>
      <c r="V4" s="191">
        <f>IFERROR(__xludf.DUMMYFUNCTION("""COMPUTED_VALUE"""),44417.0)</f>
        <v>44417</v>
      </c>
      <c r="W4" s="191">
        <f>IFERROR(__xludf.DUMMYFUNCTION("""COMPUTED_VALUE"""),44418.0)</f>
        <v>44418</v>
      </c>
      <c r="X4" s="191">
        <f>IFERROR(__xludf.DUMMYFUNCTION("""COMPUTED_VALUE"""),44419.0)</f>
        <v>44419</v>
      </c>
      <c r="Y4" s="191">
        <f>IFERROR(__xludf.DUMMYFUNCTION("""COMPUTED_VALUE"""),44420.0)</f>
        <v>44420</v>
      </c>
      <c r="Z4" s="191">
        <f>IFERROR(__xludf.DUMMYFUNCTION("""COMPUTED_VALUE"""),44421.0)</f>
        <v>44421</v>
      </c>
      <c r="AA4" s="182"/>
      <c r="AB4" s="183" t="str">
        <f>IFERROR(__xludf.DUMMYFUNCTION("""COMPUTED_VALUE"""),"ADS 3B E")</f>
        <v>ADS 3B E</v>
      </c>
      <c r="AC4" s="177" t="str">
        <f>IFERROR(__xludf.DUMMYFUNCTION("""COMPUTED_VALUE"""),"OPE1")</f>
        <v>OPE1</v>
      </c>
      <c r="AD4" s="177" t="str">
        <f>IFERROR(__xludf.DUMMYFUNCTION("""COMPUTED_VALUE"""),"ADS")</f>
        <v>ADS</v>
      </c>
      <c r="AE4" s="177">
        <f>IFERROR(__xludf.DUMMYFUNCTION("""COMPUTED_VALUE"""),3.0)</f>
        <v>3</v>
      </c>
      <c r="AF4" s="177" t="str">
        <f>IFERROR(__xludf.DUMMYFUNCTION("""COMPUTED_VALUE"""),"EAD")</f>
        <v>EAD</v>
      </c>
      <c r="AG4" s="177" t="str">
        <f>IFERROR(__xludf.DUMMYFUNCTION("""COMPUTED_VALUE"""),"B")</f>
        <v>B</v>
      </c>
      <c r="AH4" s="177" t="str">
        <f>IFERROR(__xludf.DUMMYFUNCTION("""COMPUTED_VALUE"""),"-")</f>
        <v>-</v>
      </c>
      <c r="AI4" s="89" t="str">
        <f>IFERROR(__xludf.DUMMYFUNCTION("""COMPUTED_VALUE"""),"-")</f>
        <v>-</v>
      </c>
      <c r="AJ4" s="192"/>
      <c r="AK4" s="185" t="b">
        <f>IFERROR(__xludf.DUMMYFUNCTION("""COMPUTED_VALUE"""),FALSE)</f>
        <v>0</v>
      </c>
      <c r="AL4" s="186" t="b">
        <f>IFERROR(__xludf.DUMMYFUNCTION("""COMPUTED_VALUE"""),FALSE)</f>
        <v>0</v>
      </c>
      <c r="AM4" s="186" t="b">
        <f>IFERROR(__xludf.DUMMYFUNCTION("""COMPUTED_VALUE"""),FALSE)</f>
        <v>0</v>
      </c>
      <c r="AN4" s="186" t="b">
        <f>IFERROR(__xludf.DUMMYFUNCTION("""COMPUTED_VALUE"""),FALSE)</f>
        <v>0</v>
      </c>
      <c r="AO4" s="186" t="b">
        <f>IFERROR(__xludf.DUMMYFUNCTION("""COMPUTED_VALUE"""),TRUE)</f>
        <v>1</v>
      </c>
      <c r="AP4" s="185" t="b">
        <f>IFERROR(__xludf.DUMMYFUNCTION("""COMPUTED_VALUE"""),TRUE)</f>
        <v>1</v>
      </c>
      <c r="AQ4" s="186" t="b">
        <f>IFERROR(__xludf.DUMMYFUNCTION("""COMPUTED_VALUE"""),FALSE)</f>
        <v>0</v>
      </c>
      <c r="AR4" s="186" t="b">
        <f>IFERROR(__xludf.DUMMYFUNCTION("""COMPUTED_VALUE"""),TRUE)</f>
        <v>1</v>
      </c>
      <c r="AS4" s="186" t="b">
        <f>IFERROR(__xludf.DUMMYFUNCTION("""COMPUTED_VALUE"""),FALSE)</f>
        <v>0</v>
      </c>
      <c r="AT4" s="187" t="b">
        <f>IFERROR(__xludf.DUMMYFUNCTION("""COMPUTED_VALUE"""),TRUE)</f>
        <v>1</v>
      </c>
      <c r="AU4" s="67"/>
    </row>
    <row r="5">
      <c r="A5" s="46"/>
      <c r="B5" s="46"/>
      <c r="C5" s="46"/>
      <c r="D5" s="18" t="str">
        <f>IFERROR(__xludf.DUMMYFUNCTION("""COMPUTED_VALUE"""),"Ruim")</f>
        <v>Ruim</v>
      </c>
      <c r="E5" s="18">
        <f>IFERROR(__xludf.DUMMYFUNCTION("""COMPUTED_VALUE"""),4.0)</f>
        <v>4</v>
      </c>
      <c r="F5" s="46"/>
      <c r="G5" s="16" t="str">
        <f>IFERROR(__xludf.DUMMYFUNCTION("""COMPUTED_VALUE"""),"Fabio Furia")</f>
        <v>Fabio Furia</v>
      </c>
      <c r="H5" s="18" t="str">
        <f>IFERROR(__xludf.DUMMYFUNCTION("""COMPUTED_VALUE"""),"Fabio Furia Silva")</f>
        <v>Fabio Furia Silva</v>
      </c>
      <c r="I5" s="18" t="str">
        <f>IFERROR(__xludf.DUMMYFUNCTION("""COMPUTED_VALUE"""),"fabio.furia@faculdadeimpacta.com.br")</f>
        <v>fabio.furia@faculdadeimpacta.com.br</v>
      </c>
      <c r="J5" s="46"/>
      <c r="K5" s="134" t="str">
        <f>IFERROR(__xludf.DUMMYFUNCTION("""COMPUTED_VALUE"""),"GTI3")</f>
        <v>GTI3</v>
      </c>
      <c r="L5" s="18" t="str">
        <f>IFERROR(__xludf.DUMMYFUNCTION("""COMPUTED_VALUE"""),"GTI")</f>
        <v>GTI</v>
      </c>
      <c r="M5" s="174">
        <f>IFERROR(__xludf.DUMMYFUNCTION("""COMPUTED_VALUE"""),3.0)</f>
        <v>3</v>
      </c>
      <c r="N5" s="174" t="str">
        <f>IFERROR(__xludf.DUMMYFUNCTION("""COMPUTED_VALUE"""),"OPE1")</f>
        <v>OPE1</v>
      </c>
      <c r="O5" s="46"/>
      <c r="P5" s="188" t="str">
        <f>IFERROR(__xludf.DUMMYFUNCTION("""COMPUTED_VALUE"""),"12")</f>
        <v>12</v>
      </c>
      <c r="Q5" s="176">
        <f>IFERROR(__xludf.DUMMYFUNCTION("""COMPUTED_VALUE"""),3.0)</f>
        <v>3</v>
      </c>
      <c r="R5" s="177">
        <f>IFERROR(__xludf.DUMMYFUNCTION("""COMPUTED_VALUE"""),1.0)</f>
        <v>1</v>
      </c>
      <c r="S5" s="177">
        <f>IFERROR(__xludf.DUMMYFUNCTION("""COMPUTED_VALUE"""),2.0)</f>
        <v>2</v>
      </c>
      <c r="T5" s="189" t="str">
        <f>IFERROR(__xludf.DUMMYFUNCTION("""COMPUTED_VALUE"""),"1º")</f>
        <v>1º</v>
      </c>
      <c r="U5" s="193"/>
      <c r="V5" s="191">
        <f>IFERROR(__xludf.DUMMYFUNCTION("""COMPUTED_VALUE"""),44424.0)</f>
        <v>44424</v>
      </c>
      <c r="W5" s="191">
        <f>IFERROR(__xludf.DUMMYFUNCTION("""COMPUTED_VALUE"""),44425.0)</f>
        <v>44425</v>
      </c>
      <c r="X5" s="191"/>
      <c r="Y5" s="191">
        <f>IFERROR(__xludf.DUMMYFUNCTION("""COMPUTED_VALUE"""),44427.0)</f>
        <v>44427</v>
      </c>
      <c r="Z5" s="191">
        <f>IFERROR(__xludf.DUMMYFUNCTION("""COMPUTED_VALUE"""),44428.0)</f>
        <v>44428</v>
      </c>
      <c r="AA5" s="182"/>
      <c r="AB5" s="183" t="str">
        <f>IFERROR(__xludf.DUMMYFUNCTION("""COMPUTED_VALUE"""),"ADS 4A E")</f>
        <v>ADS 4A E</v>
      </c>
      <c r="AC5" s="177" t="str">
        <f>IFERROR(__xludf.DUMMYFUNCTION("""COMPUTED_VALUE"""),"OPE2")</f>
        <v>OPE2</v>
      </c>
      <c r="AD5" s="177" t="str">
        <f>IFERROR(__xludf.DUMMYFUNCTION("""COMPUTED_VALUE"""),"ADS")</f>
        <v>ADS</v>
      </c>
      <c r="AE5" s="177">
        <f>IFERROR(__xludf.DUMMYFUNCTION("""COMPUTED_VALUE"""),4.0)</f>
        <v>4</v>
      </c>
      <c r="AF5" s="177" t="str">
        <f>IFERROR(__xludf.DUMMYFUNCTION("""COMPUTED_VALUE"""),"EAD")</f>
        <v>EAD</v>
      </c>
      <c r="AG5" s="177" t="str">
        <f>IFERROR(__xludf.DUMMYFUNCTION("""COMPUTED_VALUE"""),"A")</f>
        <v>A</v>
      </c>
      <c r="AH5" s="177" t="str">
        <f>IFERROR(__xludf.DUMMYFUNCTION("""COMPUTED_VALUE"""),"2ª")</f>
        <v>2ª</v>
      </c>
      <c r="AI5" s="89" t="str">
        <f>IFERROR(__xludf.DUMMYFUNCTION("""COMPUTED_VALUE"""),"Rafael Máximo")</f>
        <v>Rafael Máximo</v>
      </c>
      <c r="AJ5" s="194"/>
      <c r="AK5" s="185" t="b">
        <f>IFERROR(__xludf.DUMMYFUNCTION("""COMPUTED_VALUE"""),FALSE)</f>
        <v>0</v>
      </c>
      <c r="AL5" s="186" t="b">
        <f>IFERROR(__xludf.DUMMYFUNCTION("""COMPUTED_VALUE"""),TRUE)</f>
        <v>1</v>
      </c>
      <c r="AM5" s="186" t="b">
        <f>IFERROR(__xludf.DUMMYFUNCTION("""COMPUTED_VALUE"""),TRUE)</f>
        <v>1</v>
      </c>
      <c r="AN5" s="186" t="b">
        <f>IFERROR(__xludf.DUMMYFUNCTION("""COMPUTED_VALUE"""),TRUE)</f>
        <v>1</v>
      </c>
      <c r="AO5" s="186" t="b">
        <f>IFERROR(__xludf.DUMMYFUNCTION("""COMPUTED_VALUE"""),TRUE)</f>
        <v>1</v>
      </c>
      <c r="AP5" s="185" t="b">
        <f>IFERROR(__xludf.DUMMYFUNCTION("""COMPUTED_VALUE"""),FALSE)</f>
        <v>0</v>
      </c>
      <c r="AQ5" s="186" t="b">
        <f>IFERROR(__xludf.DUMMYFUNCTION("""COMPUTED_VALUE"""),TRUE)</f>
        <v>1</v>
      </c>
      <c r="AR5" s="186" t="b">
        <f>IFERROR(__xludf.DUMMYFUNCTION("""COMPUTED_VALUE"""),FALSE)</f>
        <v>0</v>
      </c>
      <c r="AS5" s="186" t="b">
        <f>IFERROR(__xludf.DUMMYFUNCTION("""COMPUTED_VALUE"""),FALSE)</f>
        <v>0</v>
      </c>
      <c r="AT5" s="187" t="b">
        <f>IFERROR(__xludf.DUMMYFUNCTION("""COMPUTED_VALUE"""),FALSE)</f>
        <v>0</v>
      </c>
      <c r="AU5" s="67"/>
    </row>
    <row r="6">
      <c r="A6" s="46"/>
      <c r="B6" s="46"/>
      <c r="C6" s="46"/>
      <c r="D6" s="18" t="str">
        <f>IFERROR(__xludf.DUMMYFUNCTION("""COMPUTED_VALUE"""),"Razoável")</f>
        <v>Razoável</v>
      </c>
      <c r="E6" s="18">
        <f>IFERROR(__xludf.DUMMYFUNCTION("""COMPUTED_VALUE"""),6.0)</f>
        <v>6</v>
      </c>
      <c r="F6" s="46"/>
      <c r="G6" s="16" t="str">
        <f>IFERROR(__xludf.DUMMYFUNCTION("""COMPUTED_VALUE"""),"Gilberto Pereira")</f>
        <v>Gilberto Pereira</v>
      </c>
      <c r="H6" s="18" t="str">
        <f>IFERROR(__xludf.DUMMYFUNCTION("""COMPUTED_VALUE"""),"Gilberto Alves Pereira")</f>
        <v>Gilberto Alves Pereira</v>
      </c>
      <c r="I6" s="18" t="str">
        <f>IFERROR(__xludf.DUMMYFUNCTION("""COMPUTED_VALUE"""),"gilberto.pereira@faculdadeimpacta.com.br")</f>
        <v>gilberto.pereira@faculdadeimpacta.com.br</v>
      </c>
      <c r="J6" s="46"/>
      <c r="K6" s="134" t="str">
        <f>IFERROR(__xludf.DUMMYFUNCTION("""COMPUTED_VALUE"""),"SI3")</f>
        <v>SI3</v>
      </c>
      <c r="L6" s="18" t="str">
        <f>IFERROR(__xludf.DUMMYFUNCTION("""COMPUTED_VALUE"""),"SI")</f>
        <v>SI</v>
      </c>
      <c r="M6" s="174">
        <f>IFERROR(__xludf.DUMMYFUNCTION("""COMPUTED_VALUE"""),3.0)</f>
        <v>3</v>
      </c>
      <c r="N6" s="174" t="str">
        <f>IFERROR(__xludf.DUMMYFUNCTION("""COMPUTED_VALUE"""),"OPE1")</f>
        <v>OPE1</v>
      </c>
      <c r="O6" s="46"/>
      <c r="P6" s="188" t="str">
        <f>IFERROR(__xludf.DUMMYFUNCTION("""COMPUTED_VALUE"""),"13")</f>
        <v>13</v>
      </c>
      <c r="Q6" s="176">
        <f>IFERROR(__xludf.DUMMYFUNCTION("""COMPUTED_VALUE"""),4.0)</f>
        <v>4</v>
      </c>
      <c r="R6" s="177">
        <f>IFERROR(__xludf.DUMMYFUNCTION("""COMPUTED_VALUE"""),1.0)</f>
        <v>1</v>
      </c>
      <c r="S6" s="177">
        <f>IFERROR(__xludf.DUMMYFUNCTION("""COMPUTED_VALUE"""),3.0)</f>
        <v>3</v>
      </c>
      <c r="T6" s="189" t="str">
        <f>IFERROR(__xludf.DUMMYFUNCTION("""COMPUTED_VALUE"""),"1º ou plantão")</f>
        <v>1º ou plantão</v>
      </c>
      <c r="U6" s="195"/>
      <c r="V6" s="196">
        <f>IFERROR(__xludf.DUMMYFUNCTION("""COMPUTED_VALUE"""),44431.0)</f>
        <v>44431</v>
      </c>
      <c r="W6" s="180">
        <f>IFERROR(__xludf.DUMMYFUNCTION("""COMPUTED_VALUE"""),44432.0)</f>
        <v>44432</v>
      </c>
      <c r="X6" s="180">
        <f>IFERROR(__xludf.DUMMYFUNCTION("""COMPUTED_VALUE"""),44433.0)</f>
        <v>44433</v>
      </c>
      <c r="Y6" s="191">
        <f>IFERROR(__xludf.DUMMYFUNCTION("""COMPUTED_VALUE"""),44434.0)</f>
        <v>44434</v>
      </c>
      <c r="Z6" s="191">
        <f>IFERROR(__xludf.DUMMYFUNCTION("""COMPUTED_VALUE"""),44435.0)</f>
        <v>44435</v>
      </c>
      <c r="AA6" s="182"/>
      <c r="AB6" s="183" t="str">
        <f>IFERROR(__xludf.DUMMYFUNCTION("""COMPUTED_VALUE"""),"ADS 4B E")</f>
        <v>ADS 4B E</v>
      </c>
      <c r="AC6" s="177" t="str">
        <f>IFERROR(__xludf.DUMMYFUNCTION("""COMPUTED_VALUE"""),"OPE2")</f>
        <v>OPE2</v>
      </c>
      <c r="AD6" s="177" t="str">
        <f>IFERROR(__xludf.DUMMYFUNCTION("""COMPUTED_VALUE"""),"ADS")</f>
        <v>ADS</v>
      </c>
      <c r="AE6" s="177">
        <f>IFERROR(__xludf.DUMMYFUNCTION("""COMPUTED_VALUE"""),4.0)</f>
        <v>4</v>
      </c>
      <c r="AF6" s="177" t="str">
        <f>IFERROR(__xludf.DUMMYFUNCTION("""COMPUTED_VALUE"""),"EAD")</f>
        <v>EAD</v>
      </c>
      <c r="AG6" s="177" t="str">
        <f>IFERROR(__xludf.DUMMYFUNCTION("""COMPUTED_VALUE"""),"A")</f>
        <v>A</v>
      </c>
      <c r="AH6" s="177" t="str">
        <f>IFERROR(__xludf.DUMMYFUNCTION("""COMPUTED_VALUE"""),"3ª")</f>
        <v>3ª</v>
      </c>
      <c r="AI6" s="89" t="str">
        <f>IFERROR(__xludf.DUMMYFUNCTION("""COMPUTED_VALUE"""),"Victor Stafusa")</f>
        <v>Victor Stafusa</v>
      </c>
      <c r="AJ6" s="184"/>
      <c r="AK6" s="185" t="b">
        <f>IFERROR(__xludf.DUMMYFUNCTION("""COMPUTED_VALUE"""),FALSE)</f>
        <v>0</v>
      </c>
      <c r="AL6" s="186" t="b">
        <f>IFERROR(__xludf.DUMMYFUNCTION("""COMPUTED_VALUE"""),TRUE)</f>
        <v>1</v>
      </c>
      <c r="AM6" s="186" t="b">
        <f>IFERROR(__xludf.DUMMYFUNCTION("""COMPUTED_VALUE"""),TRUE)</f>
        <v>1</v>
      </c>
      <c r="AN6" s="186" t="b">
        <f>IFERROR(__xludf.DUMMYFUNCTION("""COMPUTED_VALUE"""),TRUE)</f>
        <v>1</v>
      </c>
      <c r="AO6" s="186" t="b">
        <f>IFERROR(__xludf.DUMMYFUNCTION("""COMPUTED_VALUE"""),TRUE)</f>
        <v>1</v>
      </c>
      <c r="AP6" s="185" t="b">
        <f>IFERROR(__xludf.DUMMYFUNCTION("""COMPUTED_VALUE"""),FALSE)</f>
        <v>0</v>
      </c>
      <c r="AQ6" s="186" t="b">
        <f>IFERROR(__xludf.DUMMYFUNCTION("""COMPUTED_VALUE"""),TRUE)</f>
        <v>1</v>
      </c>
      <c r="AR6" s="186" t="b">
        <f>IFERROR(__xludf.DUMMYFUNCTION("""COMPUTED_VALUE"""),FALSE)</f>
        <v>0</v>
      </c>
      <c r="AS6" s="186" t="b">
        <f>IFERROR(__xludf.DUMMYFUNCTION("""COMPUTED_VALUE"""),FALSE)</f>
        <v>0</v>
      </c>
      <c r="AT6" s="187" t="b">
        <f>IFERROR(__xludf.DUMMYFUNCTION("""COMPUTED_VALUE"""),FALSE)</f>
        <v>0</v>
      </c>
      <c r="AU6" s="67"/>
    </row>
    <row r="7">
      <c r="A7" s="46"/>
      <c r="B7" s="46"/>
      <c r="C7" s="46"/>
      <c r="D7" s="18" t="str">
        <f>IFERROR(__xludf.DUMMYFUNCTION("""COMPUTED_VALUE"""),"Bom")</f>
        <v>Bom</v>
      </c>
      <c r="E7" s="18">
        <f>IFERROR(__xludf.DUMMYFUNCTION("""COMPUTED_VALUE"""),8.0)</f>
        <v>8</v>
      </c>
      <c r="F7" s="46"/>
      <c r="G7" s="197" t="str">
        <f>IFERROR(__xludf.DUMMYFUNCTION("""COMPUTED_VALUE"""),"Márcia Kondo")</f>
        <v>Márcia Kondo</v>
      </c>
      <c r="H7" s="18" t="str">
        <f>IFERROR(__xludf.DUMMYFUNCTION("""COMPUTED_VALUE"""),"Marcia Narumi Shiraishi Kondo")</f>
        <v>Marcia Narumi Shiraishi Kondo</v>
      </c>
      <c r="I7" s="18" t="str">
        <f>IFERROR(__xludf.DUMMYFUNCTION("""COMPUTED_VALUE"""),"marcia.kondo@faculdadeimpacta.com.br")</f>
        <v>marcia.kondo@faculdadeimpacta.com.br</v>
      </c>
      <c r="J7" s="46"/>
      <c r="K7" s="134" t="str">
        <f>IFERROR(__xludf.DUMMYFUNCTION("""COMPUTED_VALUE"""),"ADS4")</f>
        <v>ADS4</v>
      </c>
      <c r="L7" s="18" t="str">
        <f>IFERROR(__xludf.DUMMYFUNCTION("""COMPUTED_VALUE"""),"ADS")</f>
        <v>ADS</v>
      </c>
      <c r="M7" s="174">
        <f>IFERROR(__xludf.DUMMYFUNCTION("""COMPUTED_VALUE"""),4.0)</f>
        <v>4</v>
      </c>
      <c r="N7" s="174" t="str">
        <f>IFERROR(__xludf.DUMMYFUNCTION("""COMPUTED_VALUE"""),"OPE2")</f>
        <v>OPE2</v>
      </c>
      <c r="O7" s="46"/>
      <c r="P7" s="188" t="str">
        <f>IFERROR(__xludf.DUMMYFUNCTION("""COMPUTED_VALUE"""),"21")</f>
        <v>21</v>
      </c>
      <c r="Q7" s="176">
        <f>IFERROR(__xludf.DUMMYFUNCTION("""COMPUTED_VALUE"""),5.0)</f>
        <v>5</v>
      </c>
      <c r="R7" s="177">
        <f>IFERROR(__xludf.DUMMYFUNCTION("""COMPUTED_VALUE"""),2.0)</f>
        <v>2</v>
      </c>
      <c r="S7" s="177">
        <f>IFERROR(__xludf.DUMMYFUNCTION("""COMPUTED_VALUE"""),1.0)</f>
        <v>1</v>
      </c>
      <c r="T7" s="189" t="str">
        <f>IFERROR(__xludf.DUMMYFUNCTION("""COMPUTED_VALUE"""),"2º")</f>
        <v>2º</v>
      </c>
      <c r="U7" s="190" t="str">
        <f>IFERROR(__xludf.DUMMYFUNCTION("""COMPUTED_VALUE"""),"Orientação e Acompanhamento do projeto e dos artefatos")</f>
        <v>Orientação e Acompanhamento do projeto e dos artefatos</v>
      </c>
      <c r="V7" s="180">
        <f>IFERROR(__xludf.DUMMYFUNCTION("""COMPUTED_VALUE"""),44438.0)</f>
        <v>44438</v>
      </c>
      <c r="W7" s="191">
        <f>IFERROR(__xludf.DUMMYFUNCTION("""COMPUTED_VALUE"""),44439.0)</f>
        <v>44439</v>
      </c>
      <c r="X7" s="191">
        <f>IFERROR(__xludf.DUMMYFUNCTION("""COMPUTED_VALUE"""),44440.0)</f>
        <v>44440</v>
      </c>
      <c r="Y7" s="180">
        <f>IFERROR(__xludf.DUMMYFUNCTION("""COMPUTED_VALUE"""),44441.0)</f>
        <v>44441</v>
      </c>
      <c r="Z7" s="180">
        <f>IFERROR(__xludf.DUMMYFUNCTION("""COMPUTED_VALUE"""),44442.0)</f>
        <v>44442</v>
      </c>
      <c r="AA7" s="182"/>
      <c r="AB7" s="183" t="str">
        <f>IFERROR(__xludf.DUMMYFUNCTION("""COMPUTED_VALUE"""),"ADS 3A M")</f>
        <v>ADS 3A M</v>
      </c>
      <c r="AC7" s="177" t="str">
        <f>IFERROR(__xludf.DUMMYFUNCTION("""COMPUTED_VALUE"""),"OPE1")</f>
        <v>OPE1</v>
      </c>
      <c r="AD7" s="177" t="str">
        <f>IFERROR(__xludf.DUMMYFUNCTION("""COMPUTED_VALUE"""),"ADS")</f>
        <v>ADS</v>
      </c>
      <c r="AE7" s="177">
        <f>IFERROR(__xludf.DUMMYFUNCTION("""COMPUTED_VALUE"""),3.0)</f>
        <v>3</v>
      </c>
      <c r="AF7" s="177" t="str">
        <f>IFERROR(__xludf.DUMMYFUNCTION("""COMPUTED_VALUE"""),"Matutino")</f>
        <v>Matutino</v>
      </c>
      <c r="AG7" s="177" t="str">
        <f>IFERROR(__xludf.DUMMYFUNCTION("""COMPUTED_VALUE"""),"A")</f>
        <v>A</v>
      </c>
      <c r="AH7" s="177" t="str">
        <f>IFERROR(__xludf.DUMMYFUNCTION("""COMPUTED_VALUE"""),"-")</f>
        <v>-</v>
      </c>
      <c r="AI7" s="89" t="str">
        <f>IFERROR(__xludf.DUMMYFUNCTION("""COMPUTED_VALUE"""),"-")</f>
        <v>-</v>
      </c>
      <c r="AJ7" s="198"/>
      <c r="AK7" s="185" t="b">
        <f>IFERROR(__xludf.DUMMYFUNCTION("""COMPUTED_VALUE"""),FALSE)</f>
        <v>0</v>
      </c>
      <c r="AL7" s="186" t="b">
        <f>IFERROR(__xludf.DUMMYFUNCTION("""COMPUTED_VALUE"""),FALSE)</f>
        <v>0</v>
      </c>
      <c r="AM7" s="186" t="b">
        <f>IFERROR(__xludf.DUMMYFUNCTION("""COMPUTED_VALUE"""),FALSE)</f>
        <v>0</v>
      </c>
      <c r="AN7" s="186" t="b">
        <f>IFERROR(__xludf.DUMMYFUNCTION("""COMPUTED_VALUE"""),FALSE)</f>
        <v>0</v>
      </c>
      <c r="AO7" s="186" t="b">
        <f>IFERROR(__xludf.DUMMYFUNCTION("""COMPUTED_VALUE"""),FALSE)</f>
        <v>0</v>
      </c>
      <c r="AP7" s="185" t="b">
        <f>IFERROR(__xludf.DUMMYFUNCTION("""COMPUTED_VALUE"""),TRUE)</f>
        <v>1</v>
      </c>
      <c r="AQ7" s="186" t="b">
        <f>IFERROR(__xludf.DUMMYFUNCTION("""COMPUTED_VALUE"""),TRUE)</f>
        <v>1</v>
      </c>
      <c r="AR7" s="186" t="b">
        <f>IFERROR(__xludf.DUMMYFUNCTION("""COMPUTED_VALUE"""),TRUE)</f>
        <v>1</v>
      </c>
      <c r="AS7" s="186" t="b">
        <f>IFERROR(__xludf.DUMMYFUNCTION("""COMPUTED_VALUE"""),TRUE)</f>
        <v>1</v>
      </c>
      <c r="AT7" s="187" t="b">
        <f>IFERROR(__xludf.DUMMYFUNCTION("""COMPUTED_VALUE"""),TRUE)</f>
        <v>1</v>
      </c>
      <c r="AU7" s="67"/>
    </row>
    <row r="8">
      <c r="A8" s="46"/>
      <c r="B8" s="46"/>
      <c r="C8" s="46"/>
      <c r="D8" s="18" t="str">
        <f>IFERROR(__xludf.DUMMYFUNCTION("""COMPUTED_VALUE"""),"Ótimo")</f>
        <v>Ótimo</v>
      </c>
      <c r="E8" s="18">
        <f>IFERROR(__xludf.DUMMYFUNCTION("""COMPUTED_VALUE"""),10.0)</f>
        <v>10</v>
      </c>
      <c r="F8" s="46"/>
      <c r="G8" s="16" t="str">
        <f>IFERROR(__xludf.DUMMYFUNCTION("""COMPUTED_VALUE"""),"Rafael Máximo")</f>
        <v>Rafael Máximo</v>
      </c>
      <c r="H8" s="18" t="str">
        <f>IFERROR(__xludf.DUMMYFUNCTION("""COMPUTED_VALUE"""),"Rafael Maximo Carreira Ribeiro")</f>
        <v>Rafael Maximo Carreira Ribeiro</v>
      </c>
      <c r="I8" s="18" t="str">
        <f>IFERROR(__xludf.DUMMYFUNCTION("""COMPUTED_VALUE"""),"rafael.ribeiro@faculdadeimpacta.com.br")</f>
        <v>rafael.ribeiro@faculdadeimpacta.com.br</v>
      </c>
      <c r="J8" s="46"/>
      <c r="K8" s="134" t="str">
        <f>IFERROR(__xludf.DUMMYFUNCTION("""COMPUTED_VALUE"""),"BD4")</f>
        <v>BD4</v>
      </c>
      <c r="L8" s="18" t="str">
        <f>IFERROR(__xludf.DUMMYFUNCTION("""COMPUTED_VALUE"""),"BD")</f>
        <v>BD</v>
      </c>
      <c r="M8" s="174">
        <f>IFERROR(__xludf.DUMMYFUNCTION("""COMPUTED_VALUE"""),4.0)</f>
        <v>4</v>
      </c>
      <c r="N8" s="174" t="str">
        <f>IFERROR(__xludf.DUMMYFUNCTION("""COMPUTED_VALUE"""),"OPE2")</f>
        <v>OPE2</v>
      </c>
      <c r="O8" s="46"/>
      <c r="P8" s="188" t="str">
        <f>IFERROR(__xludf.DUMMYFUNCTION("""COMPUTED_VALUE"""),"22")</f>
        <v>22</v>
      </c>
      <c r="Q8" s="176">
        <f>IFERROR(__xludf.DUMMYFUNCTION("""COMPUTED_VALUE"""),6.0)</f>
        <v>6</v>
      </c>
      <c r="R8" s="177">
        <f>IFERROR(__xludf.DUMMYFUNCTION("""COMPUTED_VALUE"""),2.0)</f>
        <v>2</v>
      </c>
      <c r="S8" s="177">
        <f>IFERROR(__xludf.DUMMYFUNCTION("""COMPUTED_VALUE"""),2.0)</f>
        <v>2</v>
      </c>
      <c r="T8" s="189" t="str">
        <f>IFERROR(__xludf.DUMMYFUNCTION("""COMPUTED_VALUE"""),"2º")</f>
        <v>2º</v>
      </c>
      <c r="U8" s="193"/>
      <c r="V8" s="191"/>
      <c r="W8" s="199"/>
      <c r="X8" s="199">
        <f>IFERROR(__xludf.DUMMYFUNCTION("""COMPUTED_VALUE"""),44447.0)</f>
        <v>44447</v>
      </c>
      <c r="Y8" s="191">
        <f>IFERROR(__xludf.DUMMYFUNCTION("""COMPUTED_VALUE"""),44448.0)</f>
        <v>44448</v>
      </c>
      <c r="Z8" s="191">
        <f>IFERROR(__xludf.DUMMYFUNCTION("""COMPUTED_VALUE"""),44449.0)</f>
        <v>44449</v>
      </c>
      <c r="AA8" s="182"/>
      <c r="AB8" s="183" t="str">
        <f>IFERROR(__xludf.DUMMYFUNCTION("""COMPUTED_VALUE"""),"SI 3A M")</f>
        <v>SI 3A M</v>
      </c>
      <c r="AC8" s="177" t="str">
        <f>IFERROR(__xludf.DUMMYFUNCTION("""COMPUTED_VALUE"""),"OPE1")</f>
        <v>OPE1</v>
      </c>
      <c r="AD8" s="177" t="str">
        <f>IFERROR(__xludf.DUMMYFUNCTION("""COMPUTED_VALUE"""),"SI")</f>
        <v>SI</v>
      </c>
      <c r="AE8" s="177">
        <f>IFERROR(__xludf.DUMMYFUNCTION("""COMPUTED_VALUE"""),3.0)</f>
        <v>3</v>
      </c>
      <c r="AF8" s="177" t="str">
        <f>IFERROR(__xludf.DUMMYFUNCTION("""COMPUTED_VALUE"""),"Matutino")</f>
        <v>Matutino</v>
      </c>
      <c r="AG8" s="177" t="str">
        <f>IFERROR(__xludf.DUMMYFUNCTION("""COMPUTED_VALUE"""),"A")</f>
        <v>A</v>
      </c>
      <c r="AH8" s="177" t="str">
        <f>IFERROR(__xludf.DUMMYFUNCTION("""COMPUTED_VALUE"""),"-")</f>
        <v>-</v>
      </c>
      <c r="AI8" s="89" t="str">
        <f>IFERROR(__xludf.DUMMYFUNCTION("""COMPUTED_VALUE"""),"-")</f>
        <v>-</v>
      </c>
      <c r="AJ8" s="192"/>
      <c r="AK8" s="185" t="b">
        <f>IFERROR(__xludf.DUMMYFUNCTION("""COMPUTED_VALUE"""),FALSE)</f>
        <v>0</v>
      </c>
      <c r="AL8" s="186" t="b">
        <f>IFERROR(__xludf.DUMMYFUNCTION("""COMPUTED_VALUE"""),FALSE)</f>
        <v>0</v>
      </c>
      <c r="AM8" s="186" t="b">
        <f>IFERROR(__xludf.DUMMYFUNCTION("""COMPUTED_VALUE"""),FALSE)</f>
        <v>0</v>
      </c>
      <c r="AN8" s="186" t="b">
        <f>IFERROR(__xludf.DUMMYFUNCTION("""COMPUTED_VALUE"""),FALSE)</f>
        <v>0</v>
      </c>
      <c r="AO8" s="186" t="b">
        <f>IFERROR(__xludf.DUMMYFUNCTION("""COMPUTED_VALUE"""),FALSE)</f>
        <v>0</v>
      </c>
      <c r="AP8" s="185" t="b">
        <f>IFERROR(__xludf.DUMMYFUNCTION("""COMPUTED_VALUE"""),TRUE)</f>
        <v>1</v>
      </c>
      <c r="AQ8" s="186" t="b">
        <f>IFERROR(__xludf.DUMMYFUNCTION("""COMPUTED_VALUE"""),TRUE)</f>
        <v>1</v>
      </c>
      <c r="AR8" s="186" t="b">
        <f>IFERROR(__xludf.DUMMYFUNCTION("""COMPUTED_VALUE"""),TRUE)</f>
        <v>1</v>
      </c>
      <c r="AS8" s="186" t="b">
        <f>IFERROR(__xludf.DUMMYFUNCTION("""COMPUTED_VALUE"""),TRUE)</f>
        <v>1</v>
      </c>
      <c r="AT8" s="187" t="b">
        <f>IFERROR(__xludf.DUMMYFUNCTION("""COMPUTED_VALUE"""),TRUE)</f>
        <v>1</v>
      </c>
      <c r="AU8" s="67"/>
    </row>
    <row r="9">
      <c r="A9" s="46"/>
      <c r="B9" s="46"/>
      <c r="C9" s="46"/>
      <c r="D9" s="46"/>
      <c r="E9" s="46"/>
      <c r="F9" s="46"/>
      <c r="G9" s="16" t="str">
        <f>IFERROR(__xludf.DUMMYFUNCTION("""COMPUTED_VALUE"""),"Rodrigo Müller")</f>
        <v>Rodrigo Müller</v>
      </c>
      <c r="H9" s="18" t="str">
        <f>IFERROR(__xludf.DUMMYFUNCTION("""COMPUTED_VALUE"""),"Rodrigo Müller de Carvalho")</f>
        <v>Rodrigo Müller de Carvalho</v>
      </c>
      <c r="I9" s="18" t="str">
        <f>IFERROR(__xludf.DUMMYFUNCTION("""COMPUTED_VALUE"""),"rodrigo.carvalho@faculdadeimpacta.com.br")</f>
        <v>rodrigo.carvalho@faculdadeimpacta.com.br</v>
      </c>
      <c r="J9" s="46"/>
      <c r="K9" s="134" t="str">
        <f>IFERROR(__xludf.DUMMYFUNCTION("""COMPUTED_VALUE"""),"GTI4")</f>
        <v>GTI4</v>
      </c>
      <c r="L9" s="18" t="str">
        <f>IFERROR(__xludf.DUMMYFUNCTION("""COMPUTED_VALUE"""),"GTI")</f>
        <v>GTI</v>
      </c>
      <c r="M9" s="174">
        <f>IFERROR(__xludf.DUMMYFUNCTION("""COMPUTED_VALUE"""),4.0)</f>
        <v>4</v>
      </c>
      <c r="N9" s="174" t="str">
        <f>IFERROR(__xludf.DUMMYFUNCTION("""COMPUTED_VALUE"""),"OPE2")</f>
        <v>OPE2</v>
      </c>
      <c r="O9" s="46"/>
      <c r="P9" s="188" t="str">
        <f>IFERROR(__xludf.DUMMYFUNCTION("""COMPUTED_VALUE"""),"23")</f>
        <v>23</v>
      </c>
      <c r="Q9" s="176">
        <f>IFERROR(__xludf.DUMMYFUNCTION("""COMPUTED_VALUE"""),7.0)</f>
        <v>7</v>
      </c>
      <c r="R9" s="177">
        <f>IFERROR(__xludf.DUMMYFUNCTION("""COMPUTED_VALUE"""),2.0)</f>
        <v>2</v>
      </c>
      <c r="S9" s="177">
        <f>IFERROR(__xludf.DUMMYFUNCTION("""COMPUTED_VALUE"""),3.0)</f>
        <v>3</v>
      </c>
      <c r="T9" s="189" t="str">
        <f>IFERROR(__xludf.DUMMYFUNCTION("""COMPUTED_VALUE"""),"2º ou plantão")</f>
        <v>2º ou plantão</v>
      </c>
      <c r="U9" s="195"/>
      <c r="V9" s="191">
        <f>IFERROR(__xludf.DUMMYFUNCTION("""COMPUTED_VALUE"""),44452.0)</f>
        <v>44452</v>
      </c>
      <c r="W9" s="180">
        <f>IFERROR(__xludf.DUMMYFUNCTION("""COMPUTED_VALUE"""),44453.0)</f>
        <v>44453</v>
      </c>
      <c r="X9" s="180">
        <f>IFERROR(__xludf.DUMMYFUNCTION("""COMPUTED_VALUE"""),44454.0)</f>
        <v>44454</v>
      </c>
      <c r="Y9" s="191">
        <f>IFERROR(__xludf.DUMMYFUNCTION("""COMPUTED_VALUE"""),44455.0)</f>
        <v>44455</v>
      </c>
      <c r="Z9" s="191">
        <f>IFERROR(__xludf.DUMMYFUNCTION("""COMPUTED_VALUE"""),44456.0)</f>
        <v>44456</v>
      </c>
      <c r="AA9" s="182"/>
      <c r="AB9" s="183" t="str">
        <f>IFERROR(__xludf.DUMMYFUNCTION("""COMPUTED_VALUE"""),"ADS 4A M")</f>
        <v>ADS 4A M</v>
      </c>
      <c r="AC9" s="177" t="str">
        <f>IFERROR(__xludf.DUMMYFUNCTION("""COMPUTED_VALUE"""),"OPE2")</f>
        <v>OPE2</v>
      </c>
      <c r="AD9" s="177" t="str">
        <f>IFERROR(__xludf.DUMMYFUNCTION("""COMPUTED_VALUE"""),"ADS")</f>
        <v>ADS</v>
      </c>
      <c r="AE9" s="177">
        <f>IFERROR(__xludf.DUMMYFUNCTION("""COMPUTED_VALUE"""),4.0)</f>
        <v>4</v>
      </c>
      <c r="AF9" s="177" t="str">
        <f>IFERROR(__xludf.DUMMYFUNCTION("""COMPUTED_VALUE"""),"Matutino")</f>
        <v>Matutino</v>
      </c>
      <c r="AG9" s="177" t="str">
        <f>IFERROR(__xludf.DUMMYFUNCTION("""COMPUTED_VALUE"""),"A")</f>
        <v>A</v>
      </c>
      <c r="AH9" s="177" t="str">
        <f>IFERROR(__xludf.DUMMYFUNCTION("""COMPUTED_VALUE"""),"3ª")</f>
        <v>3ª</v>
      </c>
      <c r="AI9" s="200" t="str">
        <f>IFERROR(__xludf.DUMMYFUNCTION("""COMPUTED_VALUE"""),"Leonardo Takuno")</f>
        <v>Leonardo Takuno</v>
      </c>
      <c r="AJ9" s="184"/>
      <c r="AK9" s="185" t="b">
        <f>IFERROR(__xludf.DUMMYFUNCTION("""COMPUTED_VALUE"""),FALSE)</f>
        <v>0</v>
      </c>
      <c r="AL9" s="186" t="b">
        <f>IFERROR(__xludf.DUMMYFUNCTION("""COMPUTED_VALUE"""),TRUE)</f>
        <v>1</v>
      </c>
      <c r="AM9" s="186" t="b">
        <f>IFERROR(__xludf.DUMMYFUNCTION("""COMPUTED_VALUE"""),TRUE)</f>
        <v>1</v>
      </c>
      <c r="AN9" s="186" t="b">
        <f>IFERROR(__xludf.DUMMYFUNCTION("""COMPUTED_VALUE"""),TRUE)</f>
        <v>1</v>
      </c>
      <c r="AO9" s="186" t="b">
        <f>IFERROR(__xludf.DUMMYFUNCTION("""COMPUTED_VALUE"""),TRUE)</f>
        <v>1</v>
      </c>
      <c r="AP9" s="185" t="b">
        <f>IFERROR(__xludf.DUMMYFUNCTION("""COMPUTED_VALUE"""),FALSE)</f>
        <v>0</v>
      </c>
      <c r="AQ9" s="186" t="b">
        <f>IFERROR(__xludf.DUMMYFUNCTION("""COMPUTED_VALUE"""),TRUE)</f>
        <v>1</v>
      </c>
      <c r="AR9" s="186" t="b">
        <f>IFERROR(__xludf.DUMMYFUNCTION("""COMPUTED_VALUE"""),FALSE)</f>
        <v>0</v>
      </c>
      <c r="AS9" s="186" t="b">
        <f>IFERROR(__xludf.DUMMYFUNCTION("""COMPUTED_VALUE"""),FALSE)</f>
        <v>0</v>
      </c>
      <c r="AT9" s="187" t="b">
        <f>IFERROR(__xludf.DUMMYFUNCTION("""COMPUTED_VALUE"""),FALSE)</f>
        <v>0</v>
      </c>
      <c r="AU9" s="67"/>
    </row>
    <row r="10">
      <c r="A10" s="46"/>
      <c r="B10" s="46"/>
      <c r="C10" s="46"/>
      <c r="D10" s="46"/>
      <c r="E10" s="46"/>
      <c r="F10" s="46"/>
      <c r="G10" s="16" t="str">
        <f>IFERROR(__xludf.DUMMYFUNCTION("""COMPUTED_VALUE"""),"Victor Stafusa")</f>
        <v>Victor Stafusa</v>
      </c>
      <c r="H10" s="18" t="str">
        <f>IFERROR(__xludf.DUMMYFUNCTION("""COMPUTED_VALUE"""),"Victor Williams Stafusa da Silva")</f>
        <v>Victor Williams Stafusa da Silva</v>
      </c>
      <c r="I10" s="18" t="str">
        <f>IFERROR(__xludf.DUMMYFUNCTION("""COMPUTED_VALUE"""),"victor.silva@faculdadeimpacta.com.br")</f>
        <v>victor.silva@faculdadeimpacta.com.br</v>
      </c>
      <c r="J10" s="46"/>
      <c r="K10" s="134" t="str">
        <f>IFERROR(__xludf.DUMMYFUNCTION("""COMPUTED_VALUE"""),"SI4")</f>
        <v>SI4</v>
      </c>
      <c r="L10" s="18" t="str">
        <f>IFERROR(__xludf.DUMMYFUNCTION("""COMPUTED_VALUE"""),"SI")</f>
        <v>SI</v>
      </c>
      <c r="M10" s="174">
        <f>IFERROR(__xludf.DUMMYFUNCTION("""COMPUTED_VALUE"""),4.0)</f>
        <v>4</v>
      </c>
      <c r="N10" s="174" t="str">
        <f>IFERROR(__xludf.DUMMYFUNCTION("""COMPUTED_VALUE"""),"OPE2")</f>
        <v>OPE2</v>
      </c>
      <c r="O10" s="46"/>
      <c r="P10" s="188" t="str">
        <f>IFERROR(__xludf.DUMMYFUNCTION("""COMPUTED_VALUE"""),"31")</f>
        <v>31</v>
      </c>
      <c r="Q10" s="176">
        <f>IFERROR(__xludf.DUMMYFUNCTION("""COMPUTED_VALUE"""),8.0)</f>
        <v>8</v>
      </c>
      <c r="R10" s="177">
        <f>IFERROR(__xludf.DUMMYFUNCTION("""COMPUTED_VALUE"""),3.0)</f>
        <v>3</v>
      </c>
      <c r="S10" s="177">
        <f>IFERROR(__xludf.DUMMYFUNCTION("""COMPUTED_VALUE"""),1.0)</f>
        <v>1</v>
      </c>
      <c r="T10" s="189" t="str">
        <f>IFERROR(__xludf.DUMMYFUNCTION("""COMPUTED_VALUE"""),"3º")</f>
        <v>3º</v>
      </c>
      <c r="U10" s="32" t="str">
        <f>IFERROR(__xludf.DUMMYFUNCTION("""COMPUTED_VALUE"""),"Orientação e Acompanhamento do projeto e dos artefatos")</f>
        <v>Orientação e Acompanhamento do projeto e dos artefatos</v>
      </c>
      <c r="V10" s="191">
        <f>IFERROR(__xludf.DUMMYFUNCTION("""COMPUTED_VALUE"""),44459.0)</f>
        <v>44459</v>
      </c>
      <c r="W10" s="180">
        <f>IFERROR(__xludf.DUMMYFUNCTION("""COMPUTED_VALUE"""),44460.0)</f>
        <v>44460</v>
      </c>
      <c r="X10" s="180">
        <f>IFERROR(__xludf.DUMMYFUNCTION("""COMPUTED_VALUE"""),44461.0)</f>
        <v>44461</v>
      </c>
      <c r="Y10" s="180">
        <f>IFERROR(__xludf.DUMMYFUNCTION("""COMPUTED_VALUE"""),44462.0)</f>
        <v>44462</v>
      </c>
      <c r="Z10" s="191">
        <f>IFERROR(__xludf.DUMMYFUNCTION("""COMPUTED_VALUE"""),44463.0)</f>
        <v>44463</v>
      </c>
      <c r="AA10" s="182"/>
      <c r="AB10" s="183" t="str">
        <f>IFERROR(__xludf.DUMMYFUNCTION("""COMPUTED_VALUE"""),"SI 4A M")</f>
        <v>SI 4A M</v>
      </c>
      <c r="AC10" s="177" t="str">
        <f>IFERROR(__xludf.DUMMYFUNCTION("""COMPUTED_VALUE"""),"OPE2")</f>
        <v>OPE2</v>
      </c>
      <c r="AD10" s="177" t="str">
        <f>IFERROR(__xludf.DUMMYFUNCTION("""COMPUTED_VALUE"""),"SI")</f>
        <v>SI</v>
      </c>
      <c r="AE10" s="177">
        <f>IFERROR(__xludf.DUMMYFUNCTION("""COMPUTED_VALUE"""),4.0)</f>
        <v>4</v>
      </c>
      <c r="AF10" s="177" t="str">
        <f>IFERROR(__xludf.DUMMYFUNCTION("""COMPUTED_VALUE"""),"Matutino")</f>
        <v>Matutino</v>
      </c>
      <c r="AG10" s="177" t="str">
        <f>IFERROR(__xludf.DUMMYFUNCTION("""COMPUTED_VALUE"""),"A")</f>
        <v>A</v>
      </c>
      <c r="AH10" s="177" t="str">
        <f>IFERROR(__xludf.DUMMYFUNCTION("""COMPUTED_VALUE"""),"3ª")</f>
        <v>3ª</v>
      </c>
      <c r="AI10" s="200" t="str">
        <f>IFERROR(__xludf.DUMMYFUNCTION("""COMPUTED_VALUE"""),"Leonardo Takuno")</f>
        <v>Leonardo Takuno</v>
      </c>
      <c r="AJ10" s="198"/>
      <c r="AK10" s="185" t="b">
        <f>IFERROR(__xludf.DUMMYFUNCTION("""COMPUTED_VALUE"""),FALSE)</f>
        <v>0</v>
      </c>
      <c r="AL10" s="186" t="b">
        <f>IFERROR(__xludf.DUMMYFUNCTION("""COMPUTED_VALUE"""),TRUE)</f>
        <v>1</v>
      </c>
      <c r="AM10" s="186" t="b">
        <f>IFERROR(__xludf.DUMMYFUNCTION("""COMPUTED_VALUE"""),TRUE)</f>
        <v>1</v>
      </c>
      <c r="AN10" s="186" t="b">
        <f>IFERROR(__xludf.DUMMYFUNCTION("""COMPUTED_VALUE"""),TRUE)</f>
        <v>1</v>
      </c>
      <c r="AO10" s="186" t="b">
        <f>IFERROR(__xludf.DUMMYFUNCTION("""COMPUTED_VALUE"""),TRUE)</f>
        <v>1</v>
      </c>
      <c r="AP10" s="185" t="b">
        <f>IFERROR(__xludf.DUMMYFUNCTION("""COMPUTED_VALUE"""),FALSE)</f>
        <v>0</v>
      </c>
      <c r="AQ10" s="186" t="b">
        <f>IFERROR(__xludf.DUMMYFUNCTION("""COMPUTED_VALUE"""),TRUE)</f>
        <v>1</v>
      </c>
      <c r="AR10" s="186" t="b">
        <f>IFERROR(__xludf.DUMMYFUNCTION("""COMPUTED_VALUE"""),FALSE)</f>
        <v>0</v>
      </c>
      <c r="AS10" s="186" t="b">
        <f>IFERROR(__xludf.DUMMYFUNCTION("""COMPUTED_VALUE"""),FALSE)</f>
        <v>0</v>
      </c>
      <c r="AT10" s="187" t="b">
        <f>IFERROR(__xludf.DUMMYFUNCTION("""COMPUTED_VALUE"""),FALSE)</f>
        <v>0</v>
      </c>
      <c r="AU10" s="67"/>
    </row>
    <row r="11">
      <c r="A11" s="46"/>
      <c r="B11" s="46"/>
      <c r="C11" s="46"/>
      <c r="D11" s="46"/>
      <c r="E11" s="46"/>
      <c r="F11" s="46"/>
      <c r="G11" s="16" t="str">
        <f>IFERROR(__xludf.DUMMYFUNCTION("""COMPUTED_VALUE"""),"Leonardo Takuno")</f>
        <v>Leonardo Takuno</v>
      </c>
      <c r="H11" s="18" t="str">
        <f>IFERROR(__xludf.DUMMYFUNCTION("""COMPUTED_VALUE"""),"Leonardo Massayuki Takuno")</f>
        <v>Leonardo Massayuki Takuno</v>
      </c>
      <c r="I11" s="18" t="str">
        <f>IFERROR(__xludf.DUMMYFUNCTION("""COMPUTED_VALUE"""),"leonardo.takuno@faculdadeimpacta.com.br")</f>
        <v>leonardo.takuno@faculdadeimpacta.com.br</v>
      </c>
      <c r="J11" s="46"/>
      <c r="K11" s="134" t="str">
        <f>IFERROR(__xludf.DUMMYFUNCTION("""COMPUTED_VALUE"""),"SI7")</f>
        <v>SI7</v>
      </c>
      <c r="L11" s="18" t="str">
        <f>IFERROR(__xludf.DUMMYFUNCTION("""COMPUTED_VALUE"""),"SI")</f>
        <v>SI</v>
      </c>
      <c r="M11" s="174">
        <f>IFERROR(__xludf.DUMMYFUNCTION("""COMPUTED_VALUE"""),7.0)</f>
        <v>7</v>
      </c>
      <c r="N11" s="174" t="str">
        <f>IFERROR(__xludf.DUMMYFUNCTION("""COMPUTED_VALUE"""),"TCC1")</f>
        <v>TCC1</v>
      </c>
      <c r="O11" s="46"/>
      <c r="P11" s="188" t="str">
        <f>IFERROR(__xludf.DUMMYFUNCTION("""COMPUTED_VALUE"""),"32")</f>
        <v>32</v>
      </c>
      <c r="Q11" s="176">
        <f>IFERROR(__xludf.DUMMYFUNCTION("""COMPUTED_VALUE"""),9.0)</f>
        <v>9</v>
      </c>
      <c r="R11" s="177">
        <f>IFERROR(__xludf.DUMMYFUNCTION("""COMPUTED_VALUE"""),3.0)</f>
        <v>3</v>
      </c>
      <c r="S11" s="177">
        <f>IFERROR(__xludf.DUMMYFUNCTION("""COMPUTED_VALUE"""),2.0)</f>
        <v>2</v>
      </c>
      <c r="T11" s="189" t="str">
        <f>IFERROR(__xludf.DUMMYFUNCTION("""COMPUTED_VALUE"""),"3º")</f>
        <v>3º</v>
      </c>
      <c r="U11" s="193"/>
      <c r="V11" s="180">
        <f>IFERROR(__xludf.DUMMYFUNCTION("""COMPUTED_VALUE"""),44466.0)</f>
        <v>44466</v>
      </c>
      <c r="W11" s="191">
        <f>IFERROR(__xludf.DUMMYFUNCTION("""COMPUTED_VALUE"""),44467.0)</f>
        <v>44467</v>
      </c>
      <c r="X11" s="191">
        <f>IFERROR(__xludf.DUMMYFUNCTION("""COMPUTED_VALUE"""),44468.0)</f>
        <v>44468</v>
      </c>
      <c r="Y11" s="180">
        <f>IFERROR(__xludf.DUMMYFUNCTION("""COMPUTED_VALUE"""),44469.0)</f>
        <v>44469</v>
      </c>
      <c r="Z11" s="180">
        <f>IFERROR(__xludf.DUMMYFUNCTION("""COMPUTED_VALUE"""),44470.0)</f>
        <v>44470</v>
      </c>
      <c r="AA11" s="182"/>
      <c r="AB11" s="183" t="str">
        <f>IFERROR(__xludf.DUMMYFUNCTION("""COMPUTED_VALUE"""),"BD 3A M")</f>
        <v>BD 3A M</v>
      </c>
      <c r="AC11" s="177" t="str">
        <f>IFERROR(__xludf.DUMMYFUNCTION("""COMPUTED_VALUE"""),"OPE1")</f>
        <v>OPE1</v>
      </c>
      <c r="AD11" s="177" t="str">
        <f>IFERROR(__xludf.DUMMYFUNCTION("""COMPUTED_VALUE"""),"BD")</f>
        <v>BD</v>
      </c>
      <c r="AE11" s="177">
        <f>IFERROR(__xludf.DUMMYFUNCTION("""COMPUTED_VALUE"""),3.0)</f>
        <v>3</v>
      </c>
      <c r="AF11" s="177" t="str">
        <f>IFERROR(__xludf.DUMMYFUNCTION("""COMPUTED_VALUE"""),"Matutino")</f>
        <v>Matutino</v>
      </c>
      <c r="AG11" s="177" t="str">
        <f>IFERROR(__xludf.DUMMYFUNCTION("""COMPUTED_VALUE"""),"A")</f>
        <v>A</v>
      </c>
      <c r="AH11" s="177" t="str">
        <f>IFERROR(__xludf.DUMMYFUNCTION("""COMPUTED_VALUE"""),"-")</f>
        <v>-</v>
      </c>
      <c r="AI11" s="200" t="str">
        <f>IFERROR(__xludf.DUMMYFUNCTION("""COMPUTED_VALUE"""),"-")</f>
        <v>-</v>
      </c>
      <c r="AJ11" s="198"/>
      <c r="AK11" s="185" t="b">
        <f>IFERROR(__xludf.DUMMYFUNCTION("""COMPUTED_VALUE"""),FALSE)</f>
        <v>0</v>
      </c>
      <c r="AL11" s="186" t="b">
        <f>IFERROR(__xludf.DUMMYFUNCTION("""COMPUTED_VALUE"""),FALSE)</f>
        <v>0</v>
      </c>
      <c r="AM11" s="186" t="b">
        <f>IFERROR(__xludf.DUMMYFUNCTION("""COMPUTED_VALUE"""),FALSE)</f>
        <v>0</v>
      </c>
      <c r="AN11" s="186" t="b">
        <f>IFERROR(__xludf.DUMMYFUNCTION("""COMPUTED_VALUE"""),FALSE)</f>
        <v>0</v>
      </c>
      <c r="AO11" s="186" t="b">
        <f>IFERROR(__xludf.DUMMYFUNCTION("""COMPUTED_VALUE"""),FALSE)</f>
        <v>0</v>
      </c>
      <c r="AP11" s="185" t="b">
        <f>IFERROR(__xludf.DUMMYFUNCTION("""COMPUTED_VALUE"""),TRUE)</f>
        <v>1</v>
      </c>
      <c r="AQ11" s="186" t="b">
        <f>IFERROR(__xludf.DUMMYFUNCTION("""COMPUTED_VALUE"""),TRUE)</f>
        <v>1</v>
      </c>
      <c r="AR11" s="186" t="b">
        <f>IFERROR(__xludf.DUMMYFUNCTION("""COMPUTED_VALUE"""),TRUE)</f>
        <v>1</v>
      </c>
      <c r="AS11" s="186" t="b">
        <f>IFERROR(__xludf.DUMMYFUNCTION("""COMPUTED_VALUE"""),TRUE)</f>
        <v>1</v>
      </c>
      <c r="AT11" s="187" t="b">
        <f>IFERROR(__xludf.DUMMYFUNCTION("""COMPUTED_VALUE"""),TRUE)</f>
        <v>1</v>
      </c>
      <c r="AU11" s="67"/>
    </row>
    <row r="12">
      <c r="A12" s="46"/>
      <c r="B12" s="46"/>
      <c r="C12" s="46"/>
      <c r="D12" s="46"/>
      <c r="E12" s="46"/>
      <c r="F12" s="46"/>
      <c r="G12" s="16"/>
      <c r="H12" s="18"/>
      <c r="I12" s="18"/>
      <c r="J12" s="46"/>
      <c r="K12" s="134" t="str">
        <f>IFERROR(__xludf.DUMMYFUNCTION("""COMPUTED_VALUE"""),"SI8")</f>
        <v>SI8</v>
      </c>
      <c r="L12" s="18" t="str">
        <f>IFERROR(__xludf.DUMMYFUNCTION("""COMPUTED_VALUE"""),"SI")</f>
        <v>SI</v>
      </c>
      <c r="M12" s="174">
        <f>IFERROR(__xludf.DUMMYFUNCTION("""COMPUTED_VALUE"""),8.0)</f>
        <v>8</v>
      </c>
      <c r="N12" s="174" t="str">
        <f>IFERROR(__xludf.DUMMYFUNCTION("""COMPUTED_VALUE"""),"TCC2")</f>
        <v>TCC2</v>
      </c>
      <c r="O12" s="46"/>
      <c r="P12" s="188" t="str">
        <f>IFERROR(__xludf.DUMMYFUNCTION("""COMPUTED_VALUE"""),"33")</f>
        <v>33</v>
      </c>
      <c r="Q12" s="176">
        <f>IFERROR(__xludf.DUMMYFUNCTION("""COMPUTED_VALUE"""),10.0)</f>
        <v>10</v>
      </c>
      <c r="R12" s="177">
        <f>IFERROR(__xludf.DUMMYFUNCTION("""COMPUTED_VALUE"""),3.0)</f>
        <v>3</v>
      </c>
      <c r="S12" s="177">
        <f>IFERROR(__xludf.DUMMYFUNCTION("""COMPUTED_VALUE"""),3.0)</f>
        <v>3</v>
      </c>
      <c r="T12" s="189" t="str">
        <f>IFERROR(__xludf.DUMMYFUNCTION("""COMPUTED_VALUE"""),"3º ou plantão")</f>
        <v>3º ou plantão</v>
      </c>
      <c r="U12" s="195"/>
      <c r="V12" s="191">
        <f>IFERROR(__xludf.DUMMYFUNCTION("""COMPUTED_VALUE"""),44473.0)</f>
        <v>44473</v>
      </c>
      <c r="W12" s="191">
        <f>IFERROR(__xludf.DUMMYFUNCTION("""COMPUTED_VALUE"""),44474.0)</f>
        <v>44474</v>
      </c>
      <c r="X12" s="191">
        <f>IFERROR(__xludf.DUMMYFUNCTION("""COMPUTED_VALUE"""),44475.0)</f>
        <v>44475</v>
      </c>
      <c r="Y12" s="191">
        <f>IFERROR(__xludf.DUMMYFUNCTION("""COMPUTED_VALUE"""),44476.0)</f>
        <v>44476</v>
      </c>
      <c r="Z12" s="191">
        <f>IFERROR(__xludf.DUMMYFUNCTION("""COMPUTED_VALUE"""),44477.0)</f>
        <v>44477</v>
      </c>
      <c r="AA12" s="182"/>
      <c r="AB12" s="183" t="str">
        <f>IFERROR(__xludf.DUMMYFUNCTION("""COMPUTED_VALUE"""),"BD 3B N")</f>
        <v>BD 3B N</v>
      </c>
      <c r="AC12" s="177" t="str">
        <f>IFERROR(__xludf.DUMMYFUNCTION("""COMPUTED_VALUE"""),"OPE1")</f>
        <v>OPE1</v>
      </c>
      <c r="AD12" s="177" t="str">
        <f>IFERROR(__xludf.DUMMYFUNCTION("""COMPUTED_VALUE"""),"BD")</f>
        <v>BD</v>
      </c>
      <c r="AE12" s="177">
        <f>IFERROR(__xludf.DUMMYFUNCTION("""COMPUTED_VALUE"""),3.0)</f>
        <v>3</v>
      </c>
      <c r="AF12" s="177" t="str">
        <f>IFERROR(__xludf.DUMMYFUNCTION("""COMPUTED_VALUE"""),"Noite")</f>
        <v>Noite</v>
      </c>
      <c r="AG12" s="177" t="str">
        <f>IFERROR(__xludf.DUMMYFUNCTION("""COMPUTED_VALUE"""),"B")</f>
        <v>B</v>
      </c>
      <c r="AH12" s="177" t="str">
        <f>IFERROR(__xludf.DUMMYFUNCTION("""COMPUTED_VALUE"""),"-")</f>
        <v>-</v>
      </c>
      <c r="AI12" s="200" t="str">
        <f>IFERROR(__xludf.DUMMYFUNCTION("""COMPUTED_VALUE"""),"-")</f>
        <v>-</v>
      </c>
      <c r="AJ12" s="192"/>
      <c r="AK12" s="185" t="b">
        <f>IFERROR(__xludf.DUMMYFUNCTION("""COMPUTED_VALUE"""),FALSE)</f>
        <v>0</v>
      </c>
      <c r="AL12" s="186" t="b">
        <f>IFERROR(__xludf.DUMMYFUNCTION("""COMPUTED_VALUE"""),FALSE)</f>
        <v>0</v>
      </c>
      <c r="AM12" s="186" t="b">
        <f>IFERROR(__xludf.DUMMYFUNCTION("""COMPUTED_VALUE"""),FALSE)</f>
        <v>0</v>
      </c>
      <c r="AN12" s="186" t="b">
        <f>IFERROR(__xludf.DUMMYFUNCTION("""COMPUTED_VALUE"""),FALSE)</f>
        <v>0</v>
      </c>
      <c r="AO12" s="186" t="b">
        <f>IFERROR(__xludf.DUMMYFUNCTION("""COMPUTED_VALUE"""),FALSE)</f>
        <v>0</v>
      </c>
      <c r="AP12" s="185" t="b">
        <f>IFERROR(__xludf.DUMMYFUNCTION("""COMPUTED_VALUE"""),TRUE)</f>
        <v>1</v>
      </c>
      <c r="AQ12" s="186" t="b">
        <f>IFERROR(__xludf.DUMMYFUNCTION("""COMPUTED_VALUE"""),TRUE)</f>
        <v>1</v>
      </c>
      <c r="AR12" s="186" t="b">
        <f>IFERROR(__xludf.DUMMYFUNCTION("""COMPUTED_VALUE"""),TRUE)</f>
        <v>1</v>
      </c>
      <c r="AS12" s="186" t="b">
        <f>IFERROR(__xludf.DUMMYFUNCTION("""COMPUTED_VALUE"""),TRUE)</f>
        <v>1</v>
      </c>
      <c r="AT12" s="187" t="b">
        <f>IFERROR(__xludf.DUMMYFUNCTION("""COMPUTED_VALUE"""),TRUE)</f>
        <v>1</v>
      </c>
      <c r="AU12" s="67"/>
    </row>
    <row r="13">
      <c r="A13" s="46"/>
      <c r="B13" s="46"/>
      <c r="C13" s="46"/>
      <c r="D13" s="46"/>
      <c r="E13" s="46"/>
      <c r="F13" s="46"/>
      <c r="G13" s="16"/>
      <c r="H13" s="18"/>
      <c r="I13" s="18"/>
      <c r="J13" s="46"/>
      <c r="K13" s="46"/>
      <c r="L13" s="46"/>
      <c r="M13" s="46"/>
      <c r="N13" s="46"/>
      <c r="O13" s="46"/>
      <c r="P13" s="188" t="str">
        <f>IFERROR(__xludf.DUMMYFUNCTION("""COMPUTED_VALUE"""),"41")</f>
        <v>41</v>
      </c>
      <c r="Q13" s="176">
        <f>IFERROR(__xludf.DUMMYFUNCTION("""COMPUTED_VALUE"""),11.0)</f>
        <v>11</v>
      </c>
      <c r="R13" s="177">
        <f>IFERROR(__xludf.DUMMYFUNCTION("""COMPUTED_VALUE"""),4.0)</f>
        <v>4</v>
      </c>
      <c r="S13" s="177">
        <f>IFERROR(__xludf.DUMMYFUNCTION("""COMPUTED_VALUE"""),1.0)</f>
        <v>1</v>
      </c>
      <c r="T13" s="189" t="str">
        <f>IFERROR(__xludf.DUMMYFUNCTION("""COMPUTED_VALUE"""),"4º")</f>
        <v>4º</v>
      </c>
      <c r="U13" s="201" t="str">
        <f>IFERROR(__xludf.DUMMYFUNCTION("""COMPUTED_VALUE"""),"Orientação e Acompanhamento do projeto e dos artefatos")</f>
        <v>Orientação e Acompanhamento do projeto e dos artefatos</v>
      </c>
      <c r="V13" s="199"/>
      <c r="W13" s="191"/>
      <c r="X13" s="191">
        <f>IFERROR(__xludf.DUMMYFUNCTION("""COMPUTED_VALUE"""),44482.0)</f>
        <v>44482</v>
      </c>
      <c r="Y13" s="199">
        <f>IFERROR(__xludf.DUMMYFUNCTION("""COMPUTED_VALUE"""),44483.0)</f>
        <v>44483</v>
      </c>
      <c r="Z13" s="191">
        <f>IFERROR(__xludf.DUMMYFUNCTION("""COMPUTED_VALUE"""),44484.0)</f>
        <v>44484</v>
      </c>
      <c r="AA13" s="182"/>
      <c r="AB13" s="183" t="str">
        <f>IFERROR(__xludf.DUMMYFUNCTION("""COMPUTED_VALUE"""),"BD 4A N")</f>
        <v>BD 4A N</v>
      </c>
      <c r="AC13" s="177" t="str">
        <f>IFERROR(__xludf.DUMMYFUNCTION("""COMPUTED_VALUE"""),"OPE2")</f>
        <v>OPE2</v>
      </c>
      <c r="AD13" s="177" t="str">
        <f>IFERROR(__xludf.DUMMYFUNCTION("""COMPUTED_VALUE"""),"BD")</f>
        <v>BD</v>
      </c>
      <c r="AE13" s="177">
        <f>IFERROR(__xludf.DUMMYFUNCTION("""COMPUTED_VALUE"""),4.0)</f>
        <v>4</v>
      </c>
      <c r="AF13" s="177" t="str">
        <f>IFERROR(__xludf.DUMMYFUNCTION("""COMPUTED_VALUE"""),"Noite")</f>
        <v>Noite</v>
      </c>
      <c r="AG13" s="177" t="str">
        <f>IFERROR(__xludf.DUMMYFUNCTION("""COMPUTED_VALUE"""),"A")</f>
        <v>A</v>
      </c>
      <c r="AH13" s="177" t="str">
        <f>IFERROR(__xludf.DUMMYFUNCTION("""COMPUTED_VALUE"""),"2ª")</f>
        <v>2ª</v>
      </c>
      <c r="AI13" s="89" t="str">
        <f>IFERROR(__xludf.DUMMYFUNCTION("""COMPUTED_VALUE"""),"Rodrigo Müller")</f>
        <v>Rodrigo Müller</v>
      </c>
      <c r="AJ13" s="194"/>
      <c r="AK13" s="185" t="b">
        <f>IFERROR(__xludf.DUMMYFUNCTION("""COMPUTED_VALUE"""),FALSE)</f>
        <v>0</v>
      </c>
      <c r="AL13" s="186" t="b">
        <f>IFERROR(__xludf.DUMMYFUNCTION("""COMPUTED_VALUE"""),TRUE)</f>
        <v>1</v>
      </c>
      <c r="AM13" s="186" t="b">
        <f>IFERROR(__xludf.DUMMYFUNCTION("""COMPUTED_VALUE"""),FALSE)</f>
        <v>0</v>
      </c>
      <c r="AN13" s="186" t="b">
        <f>IFERROR(__xludf.DUMMYFUNCTION("""COMPUTED_VALUE"""),TRUE)</f>
        <v>1</v>
      </c>
      <c r="AO13" s="186" t="b">
        <f>IFERROR(__xludf.DUMMYFUNCTION("""COMPUTED_VALUE"""),TRUE)</f>
        <v>1</v>
      </c>
      <c r="AP13" s="185" t="b">
        <f>IFERROR(__xludf.DUMMYFUNCTION("""COMPUTED_VALUE"""),FALSE)</f>
        <v>0</v>
      </c>
      <c r="AQ13" s="186" t="b">
        <f>IFERROR(__xludf.DUMMYFUNCTION("""COMPUTED_VALUE"""),TRUE)</f>
        <v>1</v>
      </c>
      <c r="AR13" s="186" t="b">
        <f>IFERROR(__xludf.DUMMYFUNCTION("""COMPUTED_VALUE"""),FALSE)</f>
        <v>0</v>
      </c>
      <c r="AS13" s="186" t="b">
        <f>IFERROR(__xludf.DUMMYFUNCTION("""COMPUTED_VALUE"""),FALSE)</f>
        <v>0</v>
      </c>
      <c r="AT13" s="187" t="b">
        <f>IFERROR(__xludf.DUMMYFUNCTION("""COMPUTED_VALUE"""),FALSE)</f>
        <v>0</v>
      </c>
      <c r="AU13" s="67"/>
    </row>
    <row r="14">
      <c r="A14" s="46"/>
      <c r="B14" s="46"/>
      <c r="C14" s="46"/>
      <c r="D14" s="46"/>
      <c r="E14" s="46"/>
      <c r="F14" s="46"/>
      <c r="G14" s="16"/>
      <c r="H14" s="67"/>
      <c r="I14" s="67"/>
      <c r="J14" s="46"/>
      <c r="K14" s="46"/>
      <c r="L14" s="46"/>
      <c r="M14" s="46"/>
      <c r="N14" s="46"/>
      <c r="O14" s="46"/>
      <c r="P14" s="188" t="str">
        <f>IFERROR(__xludf.DUMMYFUNCTION("""COMPUTED_VALUE"""),"42")</f>
        <v>42</v>
      </c>
      <c r="Q14" s="176">
        <f>IFERROR(__xludf.DUMMYFUNCTION("""COMPUTED_VALUE"""),12.0)</f>
        <v>12</v>
      </c>
      <c r="R14" s="177">
        <f>IFERROR(__xludf.DUMMYFUNCTION("""COMPUTED_VALUE"""),4.0)</f>
        <v>4</v>
      </c>
      <c r="S14" s="177">
        <f>IFERROR(__xludf.DUMMYFUNCTION("""COMPUTED_VALUE"""),2.0)</f>
        <v>2</v>
      </c>
      <c r="T14" s="189" t="str">
        <f>IFERROR(__xludf.DUMMYFUNCTION("""COMPUTED_VALUE"""),"4º")</f>
        <v>4º</v>
      </c>
      <c r="U14" s="193"/>
      <c r="V14" s="180">
        <f>IFERROR(__xludf.DUMMYFUNCTION("""COMPUTED_VALUE"""),44487.0)</f>
        <v>44487</v>
      </c>
      <c r="W14" s="180">
        <f>IFERROR(__xludf.DUMMYFUNCTION("""COMPUTED_VALUE"""),44488.0)</f>
        <v>44488</v>
      </c>
      <c r="X14" s="180">
        <f>IFERROR(__xludf.DUMMYFUNCTION("""COMPUTED_VALUE"""),44489.0)</f>
        <v>44489</v>
      </c>
      <c r="Y14" s="180">
        <f>IFERROR(__xludf.DUMMYFUNCTION("""COMPUTED_VALUE"""),44490.0)</f>
        <v>44490</v>
      </c>
      <c r="Z14" s="180">
        <f>IFERROR(__xludf.DUMMYFUNCTION("""COMPUTED_VALUE"""),44491.0)</f>
        <v>44491</v>
      </c>
      <c r="AA14" s="182"/>
      <c r="AB14" s="183" t="str">
        <f>IFERROR(__xludf.DUMMYFUNCTION("""COMPUTED_VALUE"""),"BD 4A M")</f>
        <v>BD 4A M</v>
      </c>
      <c r="AC14" s="177" t="str">
        <f>IFERROR(__xludf.DUMMYFUNCTION("""COMPUTED_VALUE"""),"OPE2")</f>
        <v>OPE2</v>
      </c>
      <c r="AD14" s="177" t="str">
        <f>IFERROR(__xludf.DUMMYFUNCTION("""COMPUTED_VALUE"""),"BD")</f>
        <v>BD</v>
      </c>
      <c r="AE14" s="177">
        <f>IFERROR(__xludf.DUMMYFUNCTION("""COMPUTED_VALUE"""),4.0)</f>
        <v>4</v>
      </c>
      <c r="AF14" s="177" t="str">
        <f>IFERROR(__xludf.DUMMYFUNCTION("""COMPUTED_VALUE"""),"Matutino")</f>
        <v>Matutino</v>
      </c>
      <c r="AG14" s="177" t="str">
        <f>IFERROR(__xludf.DUMMYFUNCTION("""COMPUTED_VALUE"""),"A")</f>
        <v>A</v>
      </c>
      <c r="AH14" s="177" t="str">
        <f>IFERROR(__xludf.DUMMYFUNCTION("""COMPUTED_VALUE"""),"-")</f>
        <v>-</v>
      </c>
      <c r="AI14" s="89" t="str">
        <f>IFERROR(__xludf.DUMMYFUNCTION("""COMPUTED_VALUE"""),"-")</f>
        <v>-</v>
      </c>
      <c r="AJ14" s="194"/>
      <c r="AK14" s="185" t="b">
        <f>IFERROR(__xludf.DUMMYFUNCTION("""COMPUTED_VALUE"""),FALSE)</f>
        <v>0</v>
      </c>
      <c r="AL14" s="186" t="b">
        <f>IFERROR(__xludf.DUMMYFUNCTION("""COMPUTED_VALUE"""),TRUE)</f>
        <v>1</v>
      </c>
      <c r="AM14" s="186" t="b">
        <f>IFERROR(__xludf.DUMMYFUNCTION("""COMPUTED_VALUE"""),FALSE)</f>
        <v>0</v>
      </c>
      <c r="AN14" s="186" t="b">
        <f>IFERROR(__xludf.DUMMYFUNCTION("""COMPUTED_VALUE"""),TRUE)</f>
        <v>1</v>
      </c>
      <c r="AO14" s="186" t="b">
        <f>IFERROR(__xludf.DUMMYFUNCTION("""COMPUTED_VALUE"""),TRUE)</f>
        <v>1</v>
      </c>
      <c r="AP14" s="185" t="b">
        <f>IFERROR(__xludf.DUMMYFUNCTION("""COMPUTED_VALUE"""),FALSE)</f>
        <v>0</v>
      </c>
      <c r="AQ14" s="186" t="b">
        <f>IFERROR(__xludf.DUMMYFUNCTION("""COMPUTED_VALUE"""),TRUE)</f>
        <v>1</v>
      </c>
      <c r="AR14" s="186" t="b">
        <f>IFERROR(__xludf.DUMMYFUNCTION("""COMPUTED_VALUE"""),FALSE)</f>
        <v>0</v>
      </c>
      <c r="AS14" s="186" t="b">
        <f>IFERROR(__xludf.DUMMYFUNCTION("""COMPUTED_VALUE"""),FALSE)</f>
        <v>0</v>
      </c>
      <c r="AT14" s="187" t="b">
        <f>IFERROR(__xludf.DUMMYFUNCTION("""COMPUTED_VALUE"""),FALSE)</f>
        <v>0</v>
      </c>
      <c r="AU14" s="67"/>
    </row>
    <row r="15">
      <c r="A15" s="46"/>
      <c r="B15" s="46"/>
      <c r="C15" s="46"/>
      <c r="D15" s="46"/>
      <c r="E15" s="46"/>
      <c r="F15" s="46"/>
      <c r="G15" s="16"/>
      <c r="H15" s="18"/>
      <c r="I15" s="18"/>
      <c r="J15" s="46"/>
      <c r="K15" s="46"/>
      <c r="L15" s="46"/>
      <c r="M15" s="46"/>
      <c r="N15" s="46"/>
      <c r="O15" s="46"/>
      <c r="P15" s="188" t="str">
        <f>IFERROR(__xludf.DUMMYFUNCTION("""COMPUTED_VALUE"""),"43")</f>
        <v>43</v>
      </c>
      <c r="Q15" s="176">
        <f>IFERROR(__xludf.DUMMYFUNCTION("""COMPUTED_VALUE"""),13.0)</f>
        <v>13</v>
      </c>
      <c r="R15" s="177">
        <f>IFERROR(__xludf.DUMMYFUNCTION("""COMPUTED_VALUE"""),4.0)</f>
        <v>4</v>
      </c>
      <c r="S15" s="177">
        <f>IFERROR(__xludf.DUMMYFUNCTION("""COMPUTED_VALUE"""),3.0)</f>
        <v>3</v>
      </c>
      <c r="T15" s="189" t="str">
        <f>IFERROR(__xludf.DUMMYFUNCTION("""COMPUTED_VALUE"""),"4º ou plantão")</f>
        <v>4º ou plantão</v>
      </c>
      <c r="U15" s="195"/>
      <c r="V15" s="191">
        <f>IFERROR(__xludf.DUMMYFUNCTION("""COMPUTED_VALUE"""),44494.0)</f>
        <v>44494</v>
      </c>
      <c r="W15" s="191">
        <f>IFERROR(__xludf.DUMMYFUNCTION("""COMPUTED_VALUE"""),44495.0)</f>
        <v>44495</v>
      </c>
      <c r="X15" s="191">
        <f>IFERROR(__xludf.DUMMYFUNCTION("""COMPUTED_VALUE"""),44496.0)</f>
        <v>44496</v>
      </c>
      <c r="Y15" s="191">
        <f>IFERROR(__xludf.DUMMYFUNCTION("""COMPUTED_VALUE"""),44497.0)</f>
        <v>44497</v>
      </c>
      <c r="Z15" s="191">
        <f>IFERROR(__xludf.DUMMYFUNCTION("""COMPUTED_VALUE"""),44498.0)</f>
        <v>44498</v>
      </c>
      <c r="AA15" s="182"/>
      <c r="AB15" s="183" t="str">
        <f>IFERROR(__xludf.DUMMYFUNCTION("""COMPUTED_VALUE"""),"ADS 3B N")</f>
        <v>ADS 3B N</v>
      </c>
      <c r="AC15" s="177" t="str">
        <f>IFERROR(__xludf.DUMMYFUNCTION("""COMPUTED_VALUE"""),"OPE1")</f>
        <v>OPE1</v>
      </c>
      <c r="AD15" s="177" t="str">
        <f>IFERROR(__xludf.DUMMYFUNCTION("""COMPUTED_VALUE"""),"ADS")</f>
        <v>ADS</v>
      </c>
      <c r="AE15" s="177">
        <f>IFERROR(__xludf.DUMMYFUNCTION("""COMPUTED_VALUE"""),3.0)</f>
        <v>3</v>
      </c>
      <c r="AF15" s="177" t="str">
        <f>IFERROR(__xludf.DUMMYFUNCTION("""COMPUTED_VALUE"""),"Noite")</f>
        <v>Noite</v>
      </c>
      <c r="AG15" s="177" t="str">
        <f>IFERROR(__xludf.DUMMYFUNCTION("""COMPUTED_VALUE"""),"B")</f>
        <v>B</v>
      </c>
      <c r="AH15" s="177" t="str">
        <f>IFERROR(__xludf.DUMMYFUNCTION("""COMPUTED_VALUE"""),"-")</f>
        <v>-</v>
      </c>
      <c r="AI15" s="89" t="str">
        <f>IFERROR(__xludf.DUMMYFUNCTION("""COMPUTED_VALUE"""),"-")</f>
        <v>-</v>
      </c>
      <c r="AJ15" s="194"/>
      <c r="AK15" s="185" t="b">
        <f>IFERROR(__xludf.DUMMYFUNCTION("""COMPUTED_VALUE"""),FALSE)</f>
        <v>0</v>
      </c>
      <c r="AL15" s="186" t="b">
        <f>IFERROR(__xludf.DUMMYFUNCTION("""COMPUTED_VALUE"""),FALSE)</f>
        <v>0</v>
      </c>
      <c r="AM15" s="186" t="b">
        <f>IFERROR(__xludf.DUMMYFUNCTION("""COMPUTED_VALUE"""),FALSE)</f>
        <v>0</v>
      </c>
      <c r="AN15" s="186" t="b">
        <f>IFERROR(__xludf.DUMMYFUNCTION("""COMPUTED_VALUE"""),FALSE)</f>
        <v>0</v>
      </c>
      <c r="AO15" s="186" t="b">
        <f>IFERROR(__xludf.DUMMYFUNCTION("""COMPUTED_VALUE"""),FALSE)</f>
        <v>0</v>
      </c>
      <c r="AP15" s="185" t="b">
        <f>IFERROR(__xludf.DUMMYFUNCTION("""COMPUTED_VALUE"""),FALSE)</f>
        <v>0</v>
      </c>
      <c r="AQ15" s="186" t="b">
        <f>IFERROR(__xludf.DUMMYFUNCTION("""COMPUTED_VALUE"""),FALSE)</f>
        <v>0</v>
      </c>
      <c r="AR15" s="186" t="b">
        <f>IFERROR(__xludf.DUMMYFUNCTION("""COMPUTED_VALUE"""),FALSE)</f>
        <v>0</v>
      </c>
      <c r="AS15" s="186" t="b">
        <f>IFERROR(__xludf.DUMMYFUNCTION("""COMPUTED_VALUE"""),FALSE)</f>
        <v>0</v>
      </c>
      <c r="AT15" s="187" t="b">
        <f>IFERROR(__xludf.DUMMYFUNCTION("""COMPUTED_VALUE"""),FALSE)</f>
        <v>0</v>
      </c>
      <c r="AU15" s="67"/>
    </row>
    <row r="16">
      <c r="A16" s="46"/>
      <c r="B16" s="46"/>
      <c r="C16" s="46"/>
      <c r="D16" s="46"/>
      <c r="E16" s="46"/>
      <c r="F16" s="67"/>
      <c r="G16" s="16"/>
      <c r="H16" s="18"/>
      <c r="I16" s="18"/>
      <c r="J16" s="67"/>
      <c r="K16" s="46"/>
      <c r="L16" s="46"/>
      <c r="M16" s="46"/>
      <c r="N16" s="46"/>
      <c r="O16" s="67"/>
      <c r="P16" s="202" t="str">
        <f>IFERROR(__xludf.DUMMYFUNCTION("""COMPUTED_VALUE"""),"")</f>
        <v/>
      </c>
      <c r="Q16" s="176">
        <f>IFERROR(__xludf.DUMMYFUNCTION("""COMPUTED_VALUE"""),14.0)</f>
        <v>14</v>
      </c>
      <c r="R16" s="177"/>
      <c r="S16" s="177"/>
      <c r="T16" s="189" t="str">
        <f>IFERROR(__xludf.DUMMYFUNCTION("""COMPUTED_VALUE"""),"Enade")</f>
        <v>Enade</v>
      </c>
      <c r="U16" s="32" t="str">
        <f>IFERROR(__xludf.DUMMYFUNCTION("""COMPUTED_VALUE"""),"ENADE")</f>
        <v>ENADE</v>
      </c>
      <c r="V16" s="191"/>
      <c r="W16" s="191"/>
      <c r="X16" s="191"/>
      <c r="Y16" s="191"/>
      <c r="Z16" s="191"/>
      <c r="AA16" s="182"/>
      <c r="AB16" s="183" t="str">
        <f>IFERROR(__xludf.DUMMYFUNCTION("""COMPUTED_VALUE"""),"ADS 3C N")</f>
        <v>ADS 3C N</v>
      </c>
      <c r="AC16" s="177" t="str">
        <f>IFERROR(__xludf.DUMMYFUNCTION("""COMPUTED_VALUE"""),"OPE1")</f>
        <v>OPE1</v>
      </c>
      <c r="AD16" s="177" t="str">
        <f>IFERROR(__xludf.DUMMYFUNCTION("""COMPUTED_VALUE"""),"ADS")</f>
        <v>ADS</v>
      </c>
      <c r="AE16" s="177">
        <f>IFERROR(__xludf.DUMMYFUNCTION("""COMPUTED_VALUE"""),3.0)</f>
        <v>3</v>
      </c>
      <c r="AF16" s="177" t="str">
        <f>IFERROR(__xludf.DUMMYFUNCTION("""COMPUTED_VALUE"""),"Noite")</f>
        <v>Noite</v>
      </c>
      <c r="AG16" s="177" t="str">
        <f>IFERROR(__xludf.DUMMYFUNCTION("""COMPUTED_VALUE"""),"C")</f>
        <v>C</v>
      </c>
      <c r="AH16" s="177" t="str">
        <f>IFERROR(__xludf.DUMMYFUNCTION("""COMPUTED_VALUE"""),"-")</f>
        <v>-</v>
      </c>
      <c r="AI16" s="89" t="str">
        <f>IFERROR(__xludf.DUMMYFUNCTION("""COMPUTED_VALUE"""),"-")</f>
        <v>-</v>
      </c>
      <c r="AJ16" s="184"/>
      <c r="AK16" s="185" t="b">
        <f>IFERROR(__xludf.DUMMYFUNCTION("""COMPUTED_VALUE"""),FALSE)</f>
        <v>0</v>
      </c>
      <c r="AL16" s="186" t="b">
        <f>IFERROR(__xludf.DUMMYFUNCTION("""COMPUTED_VALUE"""),FALSE)</f>
        <v>0</v>
      </c>
      <c r="AM16" s="186" t="b">
        <f>IFERROR(__xludf.DUMMYFUNCTION("""COMPUTED_VALUE"""),FALSE)</f>
        <v>0</v>
      </c>
      <c r="AN16" s="186" t="b">
        <f>IFERROR(__xludf.DUMMYFUNCTION("""COMPUTED_VALUE"""),FALSE)</f>
        <v>0</v>
      </c>
      <c r="AO16" s="186" t="b">
        <f>IFERROR(__xludf.DUMMYFUNCTION("""COMPUTED_VALUE"""),FALSE)</f>
        <v>0</v>
      </c>
      <c r="AP16" s="185" t="b">
        <f>IFERROR(__xludf.DUMMYFUNCTION("""COMPUTED_VALUE"""),FALSE)</f>
        <v>0</v>
      </c>
      <c r="AQ16" s="186" t="b">
        <f>IFERROR(__xludf.DUMMYFUNCTION("""COMPUTED_VALUE"""),FALSE)</f>
        <v>0</v>
      </c>
      <c r="AR16" s="186" t="b">
        <f>IFERROR(__xludf.DUMMYFUNCTION("""COMPUTED_VALUE"""),FALSE)</f>
        <v>0</v>
      </c>
      <c r="AS16" s="186" t="b">
        <f>IFERROR(__xludf.DUMMYFUNCTION("""COMPUTED_VALUE"""),FALSE)</f>
        <v>0</v>
      </c>
      <c r="AT16" s="187" t="b">
        <f>IFERROR(__xludf.DUMMYFUNCTION("""COMPUTED_VALUE"""),FALSE)</f>
        <v>0</v>
      </c>
      <c r="AU16" s="67"/>
    </row>
    <row r="17">
      <c r="A17" s="46"/>
      <c r="B17" s="46"/>
      <c r="C17" s="46"/>
      <c r="D17" s="46"/>
      <c r="E17" s="46"/>
      <c r="F17" s="67"/>
      <c r="G17" s="46"/>
      <c r="H17" s="67"/>
      <c r="I17" s="67"/>
      <c r="J17" s="67"/>
      <c r="K17" s="67"/>
      <c r="L17" s="67"/>
      <c r="M17" s="67"/>
      <c r="N17" s="67"/>
      <c r="O17" s="67"/>
      <c r="P17" s="202" t="str">
        <f>IFERROR(__xludf.DUMMYFUNCTION("""COMPUTED_VALUE"""),"")</f>
        <v/>
      </c>
      <c r="Q17" s="176">
        <f>IFERROR(__xludf.DUMMYFUNCTION("""COMPUTED_VALUE"""),15.0)</f>
        <v>15</v>
      </c>
      <c r="R17" s="177"/>
      <c r="S17" s="177"/>
      <c r="T17" s="189" t="str">
        <f>IFERROR(__xludf.DUMMYFUNCTION("""COMPUTED_VALUE"""),"Enade")</f>
        <v>Enade</v>
      </c>
      <c r="U17" s="195"/>
      <c r="V17" s="191"/>
      <c r="W17" s="191"/>
      <c r="X17" s="191"/>
      <c r="Y17" s="89"/>
      <c r="Z17" s="89"/>
      <c r="AA17" s="182"/>
      <c r="AB17" s="183" t="str">
        <f>IFERROR(__xludf.DUMMYFUNCTION("""COMPUTED_VALUE"""),"SI 3B N")</f>
        <v>SI 3B N</v>
      </c>
      <c r="AC17" s="177" t="str">
        <f>IFERROR(__xludf.DUMMYFUNCTION("""COMPUTED_VALUE"""),"OPE1")</f>
        <v>OPE1</v>
      </c>
      <c r="AD17" s="177" t="str">
        <f>IFERROR(__xludf.DUMMYFUNCTION("""COMPUTED_VALUE"""),"SI")</f>
        <v>SI</v>
      </c>
      <c r="AE17" s="177">
        <f>IFERROR(__xludf.DUMMYFUNCTION("""COMPUTED_VALUE"""),3.0)</f>
        <v>3</v>
      </c>
      <c r="AF17" s="177" t="str">
        <f>IFERROR(__xludf.DUMMYFUNCTION("""COMPUTED_VALUE"""),"Noite")</f>
        <v>Noite</v>
      </c>
      <c r="AG17" s="177" t="str">
        <f>IFERROR(__xludf.DUMMYFUNCTION("""COMPUTED_VALUE"""),"B")</f>
        <v>B</v>
      </c>
      <c r="AH17" s="177" t="str">
        <f>IFERROR(__xludf.DUMMYFUNCTION("""COMPUTED_VALUE"""),"-")</f>
        <v>-</v>
      </c>
      <c r="AI17" s="89" t="str">
        <f>IFERROR(__xludf.DUMMYFUNCTION("""COMPUTED_VALUE"""),"-")</f>
        <v>-</v>
      </c>
      <c r="AJ17" s="198"/>
      <c r="AK17" s="185" t="b">
        <f>IFERROR(__xludf.DUMMYFUNCTION("""COMPUTED_VALUE"""),FALSE)</f>
        <v>0</v>
      </c>
      <c r="AL17" s="186" t="b">
        <f>IFERROR(__xludf.DUMMYFUNCTION("""COMPUTED_VALUE"""),FALSE)</f>
        <v>0</v>
      </c>
      <c r="AM17" s="186" t="b">
        <f>IFERROR(__xludf.DUMMYFUNCTION("""COMPUTED_VALUE"""),FALSE)</f>
        <v>0</v>
      </c>
      <c r="AN17" s="186" t="b">
        <f>IFERROR(__xludf.DUMMYFUNCTION("""COMPUTED_VALUE"""),FALSE)</f>
        <v>0</v>
      </c>
      <c r="AO17" s="186" t="b">
        <f>IFERROR(__xludf.DUMMYFUNCTION("""COMPUTED_VALUE"""),TRUE)</f>
        <v>1</v>
      </c>
      <c r="AP17" s="185" t="b">
        <f>IFERROR(__xludf.DUMMYFUNCTION("""COMPUTED_VALUE"""),FALSE)</f>
        <v>0</v>
      </c>
      <c r="AQ17" s="186" t="b">
        <f>IFERROR(__xludf.DUMMYFUNCTION("""COMPUTED_VALUE"""),FALSE)</f>
        <v>0</v>
      </c>
      <c r="AR17" s="186" t="b">
        <f>IFERROR(__xludf.DUMMYFUNCTION("""COMPUTED_VALUE"""),FALSE)</f>
        <v>0</v>
      </c>
      <c r="AS17" s="186" t="b">
        <f>IFERROR(__xludf.DUMMYFUNCTION("""COMPUTED_VALUE"""),FALSE)</f>
        <v>0</v>
      </c>
      <c r="AT17" s="187" t="b">
        <f>IFERROR(__xludf.DUMMYFUNCTION("""COMPUTED_VALUE"""),FALSE)</f>
        <v>0</v>
      </c>
      <c r="AU17" s="67"/>
    </row>
    <row r="18">
      <c r="A18" s="67"/>
      <c r="B18" s="67"/>
      <c r="C18" s="67"/>
      <c r="D18" s="67"/>
      <c r="E18" s="67"/>
      <c r="F18" s="67"/>
      <c r="G18" s="46"/>
      <c r="H18" s="67"/>
      <c r="I18" s="67"/>
      <c r="J18" s="67"/>
      <c r="K18" s="67"/>
      <c r="L18" s="67"/>
      <c r="M18" s="67"/>
      <c r="N18" s="67"/>
      <c r="O18" s="67"/>
      <c r="P18" s="202" t="str">
        <f>IFERROR(__xludf.DUMMYFUNCTION("""COMPUTED_VALUE"""),"51")</f>
        <v>51</v>
      </c>
      <c r="Q18" s="176">
        <f>IFERROR(__xludf.DUMMYFUNCTION("""COMPUTED_VALUE"""),16.0)</f>
        <v>16</v>
      </c>
      <c r="R18" s="177">
        <f>IFERROR(__xludf.DUMMYFUNCTION("""COMPUTED_VALUE"""),5.0)</f>
        <v>5</v>
      </c>
      <c r="S18" s="177">
        <f>IFERROR(__xludf.DUMMYFUNCTION("""COMPUTED_VALUE"""),1.0)</f>
        <v>1</v>
      </c>
      <c r="T18" s="189" t="str">
        <f>IFERROR(__xludf.DUMMYFUNCTION("""COMPUTED_VALUE"""),"4º")</f>
        <v>4º</v>
      </c>
      <c r="U18" s="89" t="str">
        <f>IFERROR(__xludf.DUMMYFUNCTION("""COMPUTED_VALUE"""),"Orientação e Acompanhamento do projeto e dos artefatos")</f>
        <v>Orientação e Acompanhamento do projeto e dos artefatos</v>
      </c>
      <c r="V18" s="203"/>
      <c r="W18" s="203">
        <f>IFERROR(__xludf.DUMMYFUNCTION("""COMPUTED_VALUE"""),44516.0)</f>
        <v>44516</v>
      </c>
      <c r="X18" s="203">
        <f>IFERROR(__xludf.DUMMYFUNCTION("""COMPUTED_VALUE"""),44517.0)</f>
        <v>44517</v>
      </c>
      <c r="Y18" s="204">
        <f>IFERROR(__xludf.DUMMYFUNCTION("""COMPUTED_VALUE"""),44518.0)</f>
        <v>44518</v>
      </c>
      <c r="Z18" s="204">
        <f>IFERROR(__xludf.DUMMYFUNCTION("""COMPUTED_VALUE"""),44519.0)</f>
        <v>44519</v>
      </c>
      <c r="AA18" s="182"/>
      <c r="AB18" s="183" t="str">
        <f>IFERROR(__xludf.DUMMYFUNCTION("""COMPUTED_VALUE"""),"ADS 4A N")</f>
        <v>ADS 4A N</v>
      </c>
      <c r="AC18" s="177" t="str">
        <f>IFERROR(__xludf.DUMMYFUNCTION("""COMPUTED_VALUE"""),"OPE2")</f>
        <v>OPE2</v>
      </c>
      <c r="AD18" s="177" t="str">
        <f>IFERROR(__xludf.DUMMYFUNCTION("""COMPUTED_VALUE"""),"ADS")</f>
        <v>ADS</v>
      </c>
      <c r="AE18" s="177">
        <f>IFERROR(__xludf.DUMMYFUNCTION("""COMPUTED_VALUE"""),4.0)</f>
        <v>4</v>
      </c>
      <c r="AF18" s="177" t="str">
        <f>IFERROR(__xludf.DUMMYFUNCTION("""COMPUTED_VALUE"""),"Noite")</f>
        <v>Noite</v>
      </c>
      <c r="AG18" s="177" t="str">
        <f>IFERROR(__xludf.DUMMYFUNCTION("""COMPUTED_VALUE"""),"A")</f>
        <v>A</v>
      </c>
      <c r="AH18" s="177" t="str">
        <f>IFERROR(__xludf.DUMMYFUNCTION("""COMPUTED_VALUE"""),"5ª")</f>
        <v>5ª</v>
      </c>
      <c r="AI18" s="89" t="str">
        <f>IFERROR(__xludf.DUMMYFUNCTION("""COMPUTED_VALUE"""),"Victor Stafusa")</f>
        <v>Victor Stafusa</v>
      </c>
      <c r="AJ18" s="192"/>
      <c r="AK18" s="185" t="b">
        <f>IFERROR(__xludf.DUMMYFUNCTION("""COMPUTED_VALUE"""),FALSE)</f>
        <v>0</v>
      </c>
      <c r="AL18" s="186" t="b">
        <f>IFERROR(__xludf.DUMMYFUNCTION("""COMPUTED_VALUE"""),TRUE)</f>
        <v>1</v>
      </c>
      <c r="AM18" s="186" t="b">
        <f>IFERROR(__xludf.DUMMYFUNCTION("""COMPUTED_VALUE"""),TRUE)</f>
        <v>1</v>
      </c>
      <c r="AN18" s="186" t="b">
        <f>IFERROR(__xludf.DUMMYFUNCTION("""COMPUTED_VALUE"""),TRUE)</f>
        <v>1</v>
      </c>
      <c r="AO18" s="186" t="b">
        <f>IFERROR(__xludf.DUMMYFUNCTION("""COMPUTED_VALUE"""),TRUE)</f>
        <v>1</v>
      </c>
      <c r="AP18" s="185" t="b">
        <f>IFERROR(__xludf.DUMMYFUNCTION("""COMPUTED_VALUE"""),FALSE)</f>
        <v>0</v>
      </c>
      <c r="AQ18" s="186" t="b">
        <f>IFERROR(__xludf.DUMMYFUNCTION("""COMPUTED_VALUE"""),TRUE)</f>
        <v>1</v>
      </c>
      <c r="AR18" s="186" t="b">
        <f>IFERROR(__xludf.DUMMYFUNCTION("""COMPUTED_VALUE"""),FALSE)</f>
        <v>0</v>
      </c>
      <c r="AS18" s="186" t="b">
        <f>IFERROR(__xludf.DUMMYFUNCTION("""COMPUTED_VALUE"""),FALSE)</f>
        <v>0</v>
      </c>
      <c r="AT18" s="187" t="b">
        <f>IFERROR(__xludf.DUMMYFUNCTION("""COMPUTED_VALUE"""),FALSE)</f>
        <v>0</v>
      </c>
      <c r="AU18" s="67"/>
    </row>
    <row r="19">
      <c r="A19" s="67"/>
      <c r="B19" s="67"/>
      <c r="C19" s="67"/>
      <c r="D19" s="67"/>
      <c r="E19" s="67"/>
      <c r="F19" s="67"/>
      <c r="G19" s="46"/>
      <c r="H19" s="67"/>
      <c r="I19" s="67"/>
      <c r="J19" s="67"/>
      <c r="K19" s="67"/>
      <c r="L19" s="67"/>
      <c r="M19" s="67"/>
      <c r="N19" s="67"/>
      <c r="O19" s="67"/>
      <c r="P19" s="202" t="str">
        <f>IFERROR(__xludf.DUMMYFUNCTION("""COMPUTED_VALUE"""),"52")</f>
        <v>52</v>
      </c>
      <c r="Q19" s="176">
        <f>IFERROR(__xludf.DUMMYFUNCTION("""COMPUTED_VALUE"""),17.0)</f>
        <v>17</v>
      </c>
      <c r="R19" s="177">
        <f>IFERROR(__xludf.DUMMYFUNCTION("""COMPUTED_VALUE"""),5.0)</f>
        <v>5</v>
      </c>
      <c r="S19" s="177">
        <f>IFERROR(__xludf.DUMMYFUNCTION("""COMPUTED_VALUE"""),2.0)</f>
        <v>2</v>
      </c>
      <c r="T19" s="205" t="str">
        <f>IFERROR(__xludf.DUMMYFUNCTION("""COMPUTED_VALUE"""),"4º")</f>
        <v>4º</v>
      </c>
      <c r="U19" s="205"/>
      <c r="V19" s="206">
        <f>IFERROR(__xludf.DUMMYFUNCTION("""COMPUTED_VALUE"""),44522.0)</f>
        <v>44522</v>
      </c>
      <c r="W19" s="206">
        <f>IFERROR(__xludf.DUMMYFUNCTION("""COMPUTED_VALUE"""),44523.0)</f>
        <v>44523</v>
      </c>
      <c r="X19" s="206">
        <f>IFERROR(__xludf.DUMMYFUNCTION("""COMPUTED_VALUE"""),44524.0)</f>
        <v>44524</v>
      </c>
      <c r="Y19" s="207">
        <f>IFERROR(__xludf.DUMMYFUNCTION("""COMPUTED_VALUE"""),44525.0)</f>
        <v>44525</v>
      </c>
      <c r="Z19" s="207">
        <f>IFERROR(__xludf.DUMMYFUNCTION("""COMPUTED_VALUE"""),44526.0)</f>
        <v>44526</v>
      </c>
      <c r="AA19" s="182"/>
      <c r="AB19" s="183" t="str">
        <f>IFERROR(__xludf.DUMMYFUNCTION("""COMPUTED_VALUE"""),"ADS 4B N")</f>
        <v>ADS 4B N</v>
      </c>
      <c r="AC19" s="177" t="str">
        <f>IFERROR(__xludf.DUMMYFUNCTION("""COMPUTED_VALUE"""),"OPE2")</f>
        <v>OPE2</v>
      </c>
      <c r="AD19" s="177" t="str">
        <f>IFERROR(__xludf.DUMMYFUNCTION("""COMPUTED_VALUE"""),"ADS")</f>
        <v>ADS</v>
      </c>
      <c r="AE19" s="177">
        <f>IFERROR(__xludf.DUMMYFUNCTION("""COMPUTED_VALUE"""),4.0)</f>
        <v>4</v>
      </c>
      <c r="AF19" s="177" t="str">
        <f>IFERROR(__xludf.DUMMYFUNCTION("""COMPUTED_VALUE"""),"Noite")</f>
        <v>Noite</v>
      </c>
      <c r="AG19" s="177" t="str">
        <f>IFERROR(__xludf.DUMMYFUNCTION("""COMPUTED_VALUE"""),"B")</f>
        <v>B</v>
      </c>
      <c r="AH19" s="177" t="str">
        <f>IFERROR(__xludf.DUMMYFUNCTION("""COMPUTED_VALUE"""),"6ª")</f>
        <v>6ª</v>
      </c>
      <c r="AI19" s="89" t="str">
        <f>IFERROR(__xludf.DUMMYFUNCTION("""COMPUTED_VALUE"""),"Fernando Sousa")</f>
        <v>Fernando Sousa</v>
      </c>
      <c r="AJ19" s="184"/>
      <c r="AK19" s="185" t="b">
        <f>IFERROR(__xludf.DUMMYFUNCTION("""COMPUTED_VALUE"""),FALSE)</f>
        <v>0</v>
      </c>
      <c r="AL19" s="186" t="b">
        <f>IFERROR(__xludf.DUMMYFUNCTION("""COMPUTED_VALUE"""),TRUE)</f>
        <v>1</v>
      </c>
      <c r="AM19" s="186" t="b">
        <f>IFERROR(__xludf.DUMMYFUNCTION("""COMPUTED_VALUE"""),TRUE)</f>
        <v>1</v>
      </c>
      <c r="AN19" s="186" t="b">
        <f>IFERROR(__xludf.DUMMYFUNCTION("""COMPUTED_VALUE"""),TRUE)</f>
        <v>1</v>
      </c>
      <c r="AO19" s="186" t="b">
        <f>IFERROR(__xludf.DUMMYFUNCTION("""COMPUTED_VALUE"""),TRUE)</f>
        <v>1</v>
      </c>
      <c r="AP19" s="185" t="b">
        <f>IFERROR(__xludf.DUMMYFUNCTION("""COMPUTED_VALUE"""),FALSE)</f>
        <v>0</v>
      </c>
      <c r="AQ19" s="186" t="b">
        <f>IFERROR(__xludf.DUMMYFUNCTION("""COMPUTED_VALUE"""),TRUE)</f>
        <v>1</v>
      </c>
      <c r="AR19" s="186" t="b">
        <f>IFERROR(__xludf.DUMMYFUNCTION("""COMPUTED_VALUE"""),FALSE)</f>
        <v>0</v>
      </c>
      <c r="AS19" s="186" t="b">
        <f>IFERROR(__xludf.DUMMYFUNCTION("""COMPUTED_VALUE"""),FALSE)</f>
        <v>0</v>
      </c>
      <c r="AT19" s="187" t="b">
        <f>IFERROR(__xludf.DUMMYFUNCTION("""COMPUTED_VALUE"""),FALSE)</f>
        <v>0</v>
      </c>
      <c r="AU19" s="67"/>
    </row>
    <row r="20">
      <c r="A20" s="67"/>
      <c r="B20" s="67"/>
      <c r="C20" s="67"/>
      <c r="D20" s="67"/>
      <c r="E20" s="67"/>
      <c r="F20" s="67"/>
      <c r="G20" s="46"/>
      <c r="H20" s="67"/>
      <c r="I20" s="67"/>
      <c r="J20" s="67"/>
      <c r="K20" s="67"/>
      <c r="L20" s="67"/>
      <c r="M20" s="67"/>
      <c r="N20" s="67"/>
      <c r="O20" s="67"/>
      <c r="P20" s="202" t="str">
        <f>IFERROR(__xludf.DUMMYFUNCTION("""COMPUTED_VALUE"""),"53")</f>
        <v>53</v>
      </c>
      <c r="Q20" s="176">
        <f>IFERROR(__xludf.DUMMYFUNCTION("""COMPUTED_VALUE"""),18.0)</f>
        <v>18</v>
      </c>
      <c r="R20" s="177">
        <f>IFERROR(__xludf.DUMMYFUNCTION("""COMPUTED_VALUE"""),5.0)</f>
        <v>5</v>
      </c>
      <c r="S20" s="177">
        <f>IFERROR(__xludf.DUMMYFUNCTION("""COMPUTED_VALUE"""),3.0)</f>
        <v>3</v>
      </c>
      <c r="T20" s="178" t="str">
        <f>IFERROR(__xludf.DUMMYFUNCTION("""COMPUTED_VALUE"""),"4º ou plantão")</f>
        <v>4º ou plantão</v>
      </c>
      <c r="U20" s="179"/>
      <c r="V20" s="180">
        <f>IFERROR(__xludf.DUMMYFUNCTION("""COMPUTED_VALUE"""),44529.0)</f>
        <v>44529</v>
      </c>
      <c r="W20" s="191">
        <f>IFERROR(__xludf.DUMMYFUNCTION("""COMPUTED_VALUE"""),44530.0)</f>
        <v>44530</v>
      </c>
      <c r="X20" s="191">
        <f>IFERROR(__xludf.DUMMYFUNCTION("""COMPUTED_VALUE"""),44531.0)</f>
        <v>44531</v>
      </c>
      <c r="Y20" s="206">
        <f>IFERROR(__xludf.DUMMYFUNCTION("""COMPUTED_VALUE"""),44532.0)</f>
        <v>44532</v>
      </c>
      <c r="Z20" s="206">
        <f>IFERROR(__xludf.DUMMYFUNCTION("""COMPUTED_VALUE"""),44533.0)</f>
        <v>44533</v>
      </c>
      <c r="AA20" s="182"/>
      <c r="AB20" s="183" t="str">
        <f>IFERROR(__xludf.DUMMYFUNCTION("""COMPUTED_VALUE"""),"SI 4A N")</f>
        <v>SI 4A N</v>
      </c>
      <c r="AC20" s="177" t="str">
        <f>IFERROR(__xludf.DUMMYFUNCTION("""COMPUTED_VALUE"""),"OPE2")</f>
        <v>OPE2</v>
      </c>
      <c r="AD20" s="177" t="str">
        <f>IFERROR(__xludf.DUMMYFUNCTION("""COMPUTED_VALUE"""),"SI")</f>
        <v>SI</v>
      </c>
      <c r="AE20" s="177">
        <f>IFERROR(__xludf.DUMMYFUNCTION("""COMPUTED_VALUE"""),4.0)</f>
        <v>4</v>
      </c>
      <c r="AF20" s="177" t="str">
        <f>IFERROR(__xludf.DUMMYFUNCTION("""COMPUTED_VALUE"""),"Noite")</f>
        <v>Noite</v>
      </c>
      <c r="AG20" s="177" t="str">
        <f>IFERROR(__xludf.DUMMYFUNCTION("""COMPUTED_VALUE"""),"B")</f>
        <v>B</v>
      </c>
      <c r="AH20" s="177" t="str">
        <f>IFERROR(__xludf.DUMMYFUNCTION("""COMPUTED_VALUE"""),"4ª")</f>
        <v>4ª</v>
      </c>
      <c r="AI20" s="89" t="str">
        <f>IFERROR(__xludf.DUMMYFUNCTION("""COMPUTED_VALUE"""),"Victor Stafusa")</f>
        <v>Victor Stafusa</v>
      </c>
      <c r="AJ20" s="192"/>
      <c r="AK20" s="185" t="b">
        <f>IFERROR(__xludf.DUMMYFUNCTION("""COMPUTED_VALUE"""),FALSE)</f>
        <v>0</v>
      </c>
      <c r="AL20" s="186" t="b">
        <f>IFERROR(__xludf.DUMMYFUNCTION("""COMPUTED_VALUE"""),TRUE)</f>
        <v>1</v>
      </c>
      <c r="AM20" s="186" t="b">
        <f>IFERROR(__xludf.DUMMYFUNCTION("""COMPUTED_VALUE"""),TRUE)</f>
        <v>1</v>
      </c>
      <c r="AN20" s="186" t="b">
        <f>IFERROR(__xludf.DUMMYFUNCTION("""COMPUTED_VALUE"""),TRUE)</f>
        <v>1</v>
      </c>
      <c r="AO20" s="186" t="b">
        <f>IFERROR(__xludf.DUMMYFUNCTION("""COMPUTED_VALUE"""),TRUE)</f>
        <v>1</v>
      </c>
      <c r="AP20" s="185" t="b">
        <f>IFERROR(__xludf.DUMMYFUNCTION("""COMPUTED_VALUE"""),FALSE)</f>
        <v>0</v>
      </c>
      <c r="AQ20" s="186" t="b">
        <f>IFERROR(__xludf.DUMMYFUNCTION("""COMPUTED_VALUE"""),TRUE)</f>
        <v>1</v>
      </c>
      <c r="AR20" s="186" t="b">
        <f>IFERROR(__xludf.DUMMYFUNCTION("""COMPUTED_VALUE"""),FALSE)</f>
        <v>0</v>
      </c>
      <c r="AS20" s="186" t="b">
        <f>IFERROR(__xludf.DUMMYFUNCTION("""COMPUTED_VALUE"""),FALSE)</f>
        <v>0</v>
      </c>
      <c r="AT20" s="187" t="b">
        <f>IFERROR(__xludf.DUMMYFUNCTION("""COMPUTED_VALUE"""),FALSE)</f>
        <v>0</v>
      </c>
      <c r="AU20" s="67"/>
    </row>
    <row r="21" ht="15.75" customHeight="1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46"/>
      <c r="O21" s="67"/>
      <c r="P21" s="202"/>
      <c r="Q21" s="176">
        <f>IFERROR(__xludf.DUMMYFUNCTION("""COMPUTED_VALUE"""),19.0)</f>
        <v>19</v>
      </c>
      <c r="R21" s="177"/>
      <c r="S21" s="177"/>
      <c r="T21" s="178"/>
      <c r="U21" s="179"/>
      <c r="V21" s="191">
        <f>IFERROR(__xludf.DUMMYFUNCTION("""COMPUTED_VALUE"""),44536.0)</f>
        <v>44536</v>
      </c>
      <c r="W21" s="191">
        <f>IFERROR(__xludf.DUMMYFUNCTION("""COMPUTED_VALUE"""),44537.0)</f>
        <v>44537</v>
      </c>
      <c r="X21" s="191">
        <f>IFERROR(__xludf.DUMMYFUNCTION("""COMPUTED_VALUE"""),44538.0)</f>
        <v>44538</v>
      </c>
      <c r="Y21" s="191">
        <f>IFERROR(__xludf.DUMMYFUNCTION("""COMPUTED_VALUE"""),44539.0)</f>
        <v>44539</v>
      </c>
      <c r="Z21" s="191">
        <f>IFERROR(__xludf.DUMMYFUNCTION("""COMPUTED_VALUE"""),44540.0)</f>
        <v>44540</v>
      </c>
      <c r="AA21" s="182"/>
      <c r="AB21" s="183" t="str">
        <f>IFERROR(__xludf.DUMMYFUNCTION("""COMPUTED_VALUE"""),"GTI 3A N")</f>
        <v>GTI 3A N</v>
      </c>
      <c r="AC21" s="208" t="str">
        <f>IFERROR(__xludf.DUMMYFUNCTION("""COMPUTED_VALUE"""),"OPE1")</f>
        <v>OPE1</v>
      </c>
      <c r="AD21" s="177" t="str">
        <f>IFERROR(__xludf.DUMMYFUNCTION("""COMPUTED_VALUE"""),"GTI")</f>
        <v>GTI</v>
      </c>
      <c r="AE21" s="177">
        <f>IFERROR(__xludf.DUMMYFUNCTION("""COMPUTED_VALUE"""),3.0)</f>
        <v>3</v>
      </c>
      <c r="AF21" s="177" t="str">
        <f>IFERROR(__xludf.DUMMYFUNCTION("""COMPUTED_VALUE"""),"Noite")</f>
        <v>Noite</v>
      </c>
      <c r="AG21" s="177" t="str">
        <f>IFERROR(__xludf.DUMMYFUNCTION("""COMPUTED_VALUE"""),"A")</f>
        <v>A</v>
      </c>
      <c r="AH21" s="177" t="str">
        <f>IFERROR(__xludf.DUMMYFUNCTION("""COMPUTED_VALUE"""),"-")</f>
        <v>-</v>
      </c>
      <c r="AI21" s="89" t="str">
        <f>IFERROR(__xludf.DUMMYFUNCTION("""COMPUTED_VALUE"""),"-")</f>
        <v>-</v>
      </c>
      <c r="AJ21" s="209"/>
      <c r="AK21" s="185" t="b">
        <f>IFERROR(__xludf.DUMMYFUNCTION("""COMPUTED_VALUE"""),FALSE)</f>
        <v>0</v>
      </c>
      <c r="AL21" s="186" t="b">
        <f>IFERROR(__xludf.DUMMYFUNCTION("""COMPUTED_VALUE"""),FALSE)</f>
        <v>0</v>
      </c>
      <c r="AM21" s="186" t="b">
        <f>IFERROR(__xludf.DUMMYFUNCTION("""COMPUTED_VALUE"""),FALSE)</f>
        <v>0</v>
      </c>
      <c r="AN21" s="186" t="b">
        <f>IFERROR(__xludf.DUMMYFUNCTION("""COMPUTED_VALUE"""),FALSE)</f>
        <v>0</v>
      </c>
      <c r="AO21" s="186" t="b">
        <f>IFERROR(__xludf.DUMMYFUNCTION("""COMPUTED_VALUE"""),FALSE)</f>
        <v>0</v>
      </c>
      <c r="AP21" s="185" t="b">
        <f>IFERROR(__xludf.DUMMYFUNCTION("""COMPUTED_VALUE"""),FALSE)</f>
        <v>0</v>
      </c>
      <c r="AQ21" s="186" t="b">
        <f>IFERROR(__xludf.DUMMYFUNCTION("""COMPUTED_VALUE"""),FALSE)</f>
        <v>0</v>
      </c>
      <c r="AR21" s="186" t="b">
        <f>IFERROR(__xludf.DUMMYFUNCTION("""COMPUTED_VALUE"""),FALSE)</f>
        <v>0</v>
      </c>
      <c r="AS21" s="186" t="b">
        <f>IFERROR(__xludf.DUMMYFUNCTION("""COMPUTED_VALUE"""),FALSE)</f>
        <v>0</v>
      </c>
      <c r="AT21" s="187" t="b">
        <f>IFERROR(__xludf.DUMMYFUNCTION("""COMPUTED_VALUE"""),FALSE)</f>
        <v>0</v>
      </c>
      <c r="AU21" s="67"/>
    </row>
    <row r="22" ht="15.75" customHeight="1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46"/>
      <c r="O22" s="67"/>
      <c r="P22" s="202"/>
      <c r="Q22" s="176">
        <f>IFERROR(__xludf.DUMMYFUNCTION("""COMPUTED_VALUE"""),20.0)</f>
        <v>20</v>
      </c>
      <c r="R22" s="177"/>
      <c r="S22" s="177"/>
      <c r="T22" s="178" t="str">
        <f>IFERROR(__xludf.DUMMYFUNCTION("""COMPUTED_VALUE"""),"Simpacta")</f>
        <v>Simpacta</v>
      </c>
      <c r="U22" s="179"/>
      <c r="V22" s="191">
        <f>IFERROR(__xludf.DUMMYFUNCTION("""COMPUTED_VALUE"""),44543.0)</f>
        <v>44543</v>
      </c>
      <c r="W22" s="191">
        <f>IFERROR(__xludf.DUMMYFUNCTION("""COMPUTED_VALUE"""),44544.0)</f>
        <v>44544</v>
      </c>
      <c r="X22" s="191">
        <f>IFERROR(__xludf.DUMMYFUNCTION("""COMPUTED_VALUE"""),44545.0)</f>
        <v>44545</v>
      </c>
      <c r="Y22" s="191">
        <f>IFERROR(__xludf.DUMMYFUNCTION("""COMPUTED_VALUE"""),44546.0)</f>
        <v>44546</v>
      </c>
      <c r="Z22" s="191">
        <f>IFERROR(__xludf.DUMMYFUNCTION("""COMPUTED_VALUE"""),44547.0)</f>
        <v>44547</v>
      </c>
      <c r="AA22" s="182"/>
      <c r="AB22" s="183" t="str">
        <f>IFERROR(__xludf.DUMMYFUNCTION("""COMPUTED_VALUE"""),"GTI 4A N")</f>
        <v>GTI 4A N</v>
      </c>
      <c r="AC22" s="208" t="str">
        <f>IFERROR(__xludf.DUMMYFUNCTION("""COMPUTED_VALUE"""),"OPE2")</f>
        <v>OPE2</v>
      </c>
      <c r="AD22" s="177" t="str">
        <f>IFERROR(__xludf.DUMMYFUNCTION("""COMPUTED_VALUE"""),"GTI")</f>
        <v>GTI</v>
      </c>
      <c r="AE22" s="177">
        <f>IFERROR(__xludf.DUMMYFUNCTION("""COMPUTED_VALUE"""),4.0)</f>
        <v>4</v>
      </c>
      <c r="AF22" s="177" t="str">
        <f>IFERROR(__xludf.DUMMYFUNCTION("""COMPUTED_VALUE"""),"Noite")</f>
        <v>Noite</v>
      </c>
      <c r="AG22" s="177" t="str">
        <f>IFERROR(__xludf.DUMMYFUNCTION("""COMPUTED_VALUE"""),"A")</f>
        <v>A</v>
      </c>
      <c r="AH22" s="177" t="str">
        <f>IFERROR(__xludf.DUMMYFUNCTION("""COMPUTED_VALUE"""),"2ª")</f>
        <v>2ª</v>
      </c>
      <c r="AI22" s="89" t="str">
        <f>IFERROR(__xludf.DUMMYFUNCTION("""COMPUTED_VALUE"""),"Renato Borba")</f>
        <v>Renato Borba</v>
      </c>
      <c r="AJ22" s="209"/>
      <c r="AK22" s="185" t="b">
        <f>IFERROR(__xludf.DUMMYFUNCTION("""COMPUTED_VALUE"""),FALSE)</f>
        <v>0</v>
      </c>
      <c r="AL22" s="186" t="b">
        <f>IFERROR(__xludf.DUMMYFUNCTION("""COMPUTED_VALUE"""),TRUE)</f>
        <v>1</v>
      </c>
      <c r="AM22" s="186" t="b">
        <f>IFERROR(__xludf.DUMMYFUNCTION("""COMPUTED_VALUE"""),TRUE)</f>
        <v>1</v>
      </c>
      <c r="AN22" s="186" t="b">
        <f>IFERROR(__xludf.DUMMYFUNCTION("""COMPUTED_VALUE"""),TRUE)</f>
        <v>1</v>
      </c>
      <c r="AO22" s="186" t="b">
        <f>IFERROR(__xludf.DUMMYFUNCTION("""COMPUTED_VALUE"""),TRUE)</f>
        <v>1</v>
      </c>
      <c r="AP22" s="185" t="b">
        <f>IFERROR(__xludf.DUMMYFUNCTION("""COMPUTED_VALUE"""),FALSE)</f>
        <v>0</v>
      </c>
      <c r="AQ22" s="186" t="b">
        <f>IFERROR(__xludf.DUMMYFUNCTION("""COMPUTED_VALUE"""),TRUE)</f>
        <v>1</v>
      </c>
      <c r="AR22" s="186" t="b">
        <f>IFERROR(__xludf.DUMMYFUNCTION("""COMPUTED_VALUE"""),TRUE)</f>
        <v>1</v>
      </c>
      <c r="AS22" s="186" t="b">
        <f>IFERROR(__xludf.DUMMYFUNCTION("""COMPUTED_VALUE"""),TRUE)</f>
        <v>1</v>
      </c>
      <c r="AT22" s="187" t="b">
        <f>IFERROR(__xludf.DUMMYFUNCTION("""COMPUTED_VALUE"""),FALSE)</f>
        <v>0</v>
      </c>
      <c r="AU22" s="67"/>
    </row>
    <row r="23" ht="15.75" customHeight="1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46"/>
      <c r="O23" s="67"/>
      <c r="P23" s="210"/>
      <c r="Q23" s="209">
        <f>IFERROR(__xludf.DUMMYFUNCTION("""COMPUTED_VALUE"""),21.0)</f>
        <v>21</v>
      </c>
      <c r="R23" s="209"/>
      <c r="S23" s="209"/>
      <c r="T23" s="209" t="str">
        <f>IFERROR(__xludf.DUMMYFUNCTION("""COMPUTED_VALUE"""),"Encerra")</f>
        <v>Encerra</v>
      </c>
      <c r="U23" s="209"/>
      <c r="V23" s="211">
        <f>IFERROR(__xludf.DUMMYFUNCTION("""COMPUTED_VALUE"""),44550.0)</f>
        <v>44550</v>
      </c>
      <c r="W23" s="211">
        <f>IFERROR(__xludf.DUMMYFUNCTION("""COMPUTED_VALUE"""),44551.0)</f>
        <v>44551</v>
      </c>
      <c r="X23" s="211">
        <f>IFERROR(__xludf.DUMMYFUNCTION("""COMPUTED_VALUE"""),44552.0)</f>
        <v>44552</v>
      </c>
      <c r="Y23" s="209"/>
      <c r="Z23" s="209"/>
      <c r="AA23" s="182"/>
      <c r="AB23" s="183" t="str">
        <f>IFERROR(__xludf.DUMMYFUNCTION("""COMPUTED_VALUE"""),"SI 7A N")</f>
        <v>SI 7A N</v>
      </c>
      <c r="AC23" s="208" t="str">
        <f>IFERROR(__xludf.DUMMYFUNCTION("""COMPUTED_VALUE"""),"TCC1")</f>
        <v>TCC1</v>
      </c>
      <c r="AD23" s="177" t="str">
        <f>IFERROR(__xludf.DUMMYFUNCTION("""COMPUTED_VALUE"""),"SI")</f>
        <v>SI</v>
      </c>
      <c r="AE23" s="177">
        <f>IFERROR(__xludf.DUMMYFUNCTION("""COMPUTED_VALUE"""),7.0)</f>
        <v>7</v>
      </c>
      <c r="AF23" s="177" t="str">
        <f>IFERROR(__xludf.DUMMYFUNCTION("""COMPUTED_VALUE"""),"Noite")</f>
        <v>Noite</v>
      </c>
      <c r="AG23" s="177" t="str">
        <f>IFERROR(__xludf.DUMMYFUNCTION("""COMPUTED_VALUE"""),"A")</f>
        <v>A</v>
      </c>
      <c r="AH23" s="177" t="str">
        <f>IFERROR(__xludf.DUMMYFUNCTION("""COMPUTED_VALUE"""),"4ª")</f>
        <v>4ª</v>
      </c>
      <c r="AI23" s="89" t="str">
        <f>IFERROR(__xludf.DUMMYFUNCTION("""COMPUTED_VALUE"""),"Gilberto Pereira")</f>
        <v>Gilberto Pereira</v>
      </c>
      <c r="AJ23" s="209"/>
      <c r="AK23" s="185" t="b">
        <f>IFERROR(__xludf.DUMMYFUNCTION("""COMPUTED_VALUE"""),FALSE)</f>
        <v>0</v>
      </c>
      <c r="AL23" s="186" t="b">
        <f>IFERROR(__xludf.DUMMYFUNCTION("""COMPUTED_VALUE"""),TRUE)</f>
        <v>1</v>
      </c>
      <c r="AM23" s="186" t="b">
        <f>IFERROR(__xludf.DUMMYFUNCTION("""COMPUTED_VALUE"""),TRUE)</f>
        <v>1</v>
      </c>
      <c r="AN23" s="186" t="b">
        <f>IFERROR(__xludf.DUMMYFUNCTION("""COMPUTED_VALUE"""),TRUE)</f>
        <v>1</v>
      </c>
      <c r="AO23" s="186" t="b">
        <f>IFERROR(__xludf.DUMMYFUNCTION("""COMPUTED_VALUE"""),TRUE)</f>
        <v>1</v>
      </c>
      <c r="AP23" s="185" t="b">
        <f>IFERROR(__xludf.DUMMYFUNCTION("""COMPUTED_VALUE"""),TRUE)</f>
        <v>1</v>
      </c>
      <c r="AQ23" s="186" t="b">
        <f>IFERROR(__xludf.DUMMYFUNCTION("""COMPUTED_VALUE"""),TRUE)</f>
        <v>1</v>
      </c>
      <c r="AR23" s="186" t="b">
        <f>IFERROR(__xludf.DUMMYFUNCTION("""COMPUTED_VALUE"""),TRUE)</f>
        <v>1</v>
      </c>
      <c r="AS23" s="186" t="b">
        <f>IFERROR(__xludf.DUMMYFUNCTION("""COMPUTED_VALUE"""),TRUE)</f>
        <v>1</v>
      </c>
      <c r="AT23" s="187" t="b">
        <f>IFERROR(__xludf.DUMMYFUNCTION("""COMPUTED_VALUE"""),FALSE)</f>
        <v>0</v>
      </c>
      <c r="AU23" s="67"/>
    </row>
    <row r="24" ht="15.75" customHeight="1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209"/>
      <c r="R24" s="210"/>
      <c r="U24" s="209"/>
      <c r="V24" s="209"/>
      <c r="W24" s="209"/>
      <c r="X24" s="209"/>
      <c r="Y24" s="209"/>
      <c r="Z24" s="209"/>
      <c r="AA24" s="67"/>
      <c r="AB24" s="183" t="str">
        <f>IFERROR(__xludf.DUMMYFUNCTION("""COMPUTED_VALUE"""),"SI 7B N")</f>
        <v>SI 7B N</v>
      </c>
      <c r="AC24" s="208" t="str">
        <f>IFERROR(__xludf.DUMMYFUNCTION("""COMPUTED_VALUE"""),"TCC1")</f>
        <v>TCC1</v>
      </c>
      <c r="AD24" s="177" t="str">
        <f>IFERROR(__xludf.DUMMYFUNCTION("""COMPUTED_VALUE"""),"SI")</f>
        <v>SI</v>
      </c>
      <c r="AE24" s="177">
        <f>IFERROR(__xludf.DUMMYFUNCTION("""COMPUTED_VALUE"""),7.0)</f>
        <v>7</v>
      </c>
      <c r="AF24" s="177" t="str">
        <f>IFERROR(__xludf.DUMMYFUNCTION("""COMPUTED_VALUE"""),"Noite")</f>
        <v>Noite</v>
      </c>
      <c r="AG24" s="177" t="str">
        <f>IFERROR(__xludf.DUMMYFUNCTION("""COMPUTED_VALUE"""),"B")</f>
        <v>B</v>
      </c>
      <c r="AH24" s="177" t="str">
        <f>IFERROR(__xludf.DUMMYFUNCTION("""COMPUTED_VALUE"""),"-")</f>
        <v>-</v>
      </c>
      <c r="AI24" s="89" t="str">
        <f>IFERROR(__xludf.DUMMYFUNCTION("""COMPUTED_VALUE"""),"-")</f>
        <v>-</v>
      </c>
      <c r="AJ24" s="209"/>
      <c r="AK24" s="185" t="b">
        <f>IFERROR(__xludf.DUMMYFUNCTION("""COMPUTED_VALUE"""),FALSE)</f>
        <v>0</v>
      </c>
      <c r="AL24" s="186" t="b">
        <f>IFERROR(__xludf.DUMMYFUNCTION("""COMPUTED_VALUE"""),TRUE)</f>
        <v>1</v>
      </c>
      <c r="AM24" s="186" t="b">
        <f>IFERROR(__xludf.DUMMYFUNCTION("""COMPUTED_VALUE"""),TRUE)</f>
        <v>1</v>
      </c>
      <c r="AN24" s="186" t="b">
        <f>IFERROR(__xludf.DUMMYFUNCTION("""COMPUTED_VALUE"""),TRUE)</f>
        <v>1</v>
      </c>
      <c r="AO24" s="186" t="b">
        <f>IFERROR(__xludf.DUMMYFUNCTION("""COMPUTED_VALUE"""),TRUE)</f>
        <v>1</v>
      </c>
      <c r="AP24" s="185" t="b">
        <f>IFERROR(__xludf.DUMMYFUNCTION("""COMPUTED_VALUE"""),TRUE)</f>
        <v>1</v>
      </c>
      <c r="AQ24" s="186" t="b">
        <f>IFERROR(__xludf.DUMMYFUNCTION("""COMPUTED_VALUE"""),TRUE)</f>
        <v>1</v>
      </c>
      <c r="AR24" s="186" t="b">
        <f>IFERROR(__xludf.DUMMYFUNCTION("""COMPUTED_VALUE"""),TRUE)</f>
        <v>1</v>
      </c>
      <c r="AS24" s="186" t="b">
        <f>IFERROR(__xludf.DUMMYFUNCTION("""COMPUTED_VALUE"""),TRUE)</f>
        <v>1</v>
      </c>
      <c r="AT24" s="187" t="b">
        <f>IFERROR(__xludf.DUMMYFUNCTION("""COMPUTED_VALUE"""),FALSE)</f>
        <v>0</v>
      </c>
      <c r="AU24" s="67"/>
    </row>
    <row r="25" ht="15.75" customHeight="1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209"/>
      <c r="R25" s="212" t="str">
        <f>IFERROR(__xludf.DUMMYFUNCTION("""COMPUTED_VALUE"""),"Observações:")</f>
        <v>Observações:</v>
      </c>
      <c r="S25" s="213"/>
      <c r="T25" s="213"/>
      <c r="U25" s="162"/>
      <c r="V25" s="213"/>
      <c r="W25" s="213"/>
      <c r="X25" s="213"/>
      <c r="Y25" s="213"/>
      <c r="Z25" s="214"/>
      <c r="AA25" s="67"/>
      <c r="AB25" s="183" t="str">
        <f>IFERROR(__xludf.DUMMYFUNCTION("""COMPUTED_VALUE"""),"SI 8A N")</f>
        <v>SI 8A N</v>
      </c>
      <c r="AC25" s="208" t="str">
        <f>IFERROR(__xludf.DUMMYFUNCTION("""COMPUTED_VALUE"""),"TCC2")</f>
        <v>TCC2</v>
      </c>
      <c r="AD25" s="177" t="str">
        <f>IFERROR(__xludf.DUMMYFUNCTION("""COMPUTED_VALUE"""),"SI")</f>
        <v>SI</v>
      </c>
      <c r="AE25" s="177">
        <f>IFERROR(__xludf.DUMMYFUNCTION("""COMPUTED_VALUE"""),8.0)</f>
        <v>8</v>
      </c>
      <c r="AF25" s="177" t="str">
        <f>IFERROR(__xludf.DUMMYFUNCTION("""COMPUTED_VALUE"""),"Noite")</f>
        <v>Noite</v>
      </c>
      <c r="AG25" s="177" t="str">
        <f>IFERROR(__xludf.DUMMYFUNCTION("""COMPUTED_VALUE"""),"A")</f>
        <v>A</v>
      </c>
      <c r="AH25" s="177" t="str">
        <f>IFERROR(__xludf.DUMMYFUNCTION("""COMPUTED_VALUE"""),"2ª")</f>
        <v>2ª</v>
      </c>
      <c r="AI25" s="89" t="str">
        <f>IFERROR(__xludf.DUMMYFUNCTION("""COMPUTED_VALUE"""),"Gilberto Pereira")</f>
        <v>Gilberto Pereira</v>
      </c>
      <c r="AJ25" s="209"/>
      <c r="AK25" s="185" t="b">
        <f>IFERROR(__xludf.DUMMYFUNCTION("""COMPUTED_VALUE"""),TRUE)</f>
        <v>1</v>
      </c>
      <c r="AL25" s="186" t="b">
        <f>IFERROR(__xludf.DUMMYFUNCTION("""COMPUTED_VALUE"""),TRUE)</f>
        <v>1</v>
      </c>
      <c r="AM25" s="186" t="b">
        <f>IFERROR(__xludf.DUMMYFUNCTION("""COMPUTED_VALUE"""),TRUE)</f>
        <v>1</v>
      </c>
      <c r="AN25" s="186" t="b">
        <f>IFERROR(__xludf.DUMMYFUNCTION("""COMPUTED_VALUE"""),TRUE)</f>
        <v>1</v>
      </c>
      <c r="AO25" s="186" t="b">
        <f>IFERROR(__xludf.DUMMYFUNCTION("""COMPUTED_VALUE"""),TRUE)</f>
        <v>1</v>
      </c>
      <c r="AP25" s="185" t="b">
        <f>IFERROR(__xludf.DUMMYFUNCTION("""COMPUTED_VALUE"""),FALSE)</f>
        <v>0</v>
      </c>
      <c r="AQ25" s="186" t="b">
        <f>IFERROR(__xludf.DUMMYFUNCTION("""COMPUTED_VALUE"""),FALSE)</f>
        <v>0</v>
      </c>
      <c r="AR25" s="186" t="b">
        <f>IFERROR(__xludf.DUMMYFUNCTION("""COMPUTED_VALUE"""),FALSE)</f>
        <v>0</v>
      </c>
      <c r="AS25" s="186" t="b">
        <f>IFERROR(__xludf.DUMMYFUNCTION("""COMPUTED_VALUE"""),FALSE)</f>
        <v>0</v>
      </c>
      <c r="AT25" s="187" t="b">
        <f>IFERROR(__xludf.DUMMYFUNCTION("""COMPUTED_VALUE"""),FALSE)</f>
        <v>0</v>
      </c>
      <c r="AU25" s="67"/>
    </row>
    <row r="26" ht="15.75" customHeight="1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209"/>
      <c r="R26" s="215">
        <f>IFERROR(__xludf.DUMMYFUNCTION("""COMPUTED_VALUE"""),1.0)</f>
        <v>1</v>
      </c>
      <c r="S26" s="209"/>
      <c r="T26" s="209" t="str">
        <f>IFERROR(__xludf.DUMMYFUNCTION("""COMPUTED_VALUE"""),"Somente OPE1 e TCC1")</f>
        <v>Somente OPE1 e TCC1</v>
      </c>
      <c r="V26" s="209"/>
      <c r="W26" s="209"/>
      <c r="X26" s="209"/>
      <c r="Y26" s="209"/>
      <c r="Z26" s="214"/>
      <c r="AA26" s="67"/>
      <c r="AB26" s="183" t="str">
        <f>IFERROR(__xludf.DUMMYFUNCTION("""COMPUTED_VALUE"""),"SI 8B N")</f>
        <v>SI 8B N</v>
      </c>
      <c r="AC26" s="208" t="str">
        <f>IFERROR(__xludf.DUMMYFUNCTION("""COMPUTED_VALUE"""),"TCC2")</f>
        <v>TCC2</v>
      </c>
      <c r="AD26" s="177" t="str">
        <f>IFERROR(__xludf.DUMMYFUNCTION("""COMPUTED_VALUE"""),"SI")</f>
        <v>SI</v>
      </c>
      <c r="AE26" s="177">
        <f>IFERROR(__xludf.DUMMYFUNCTION("""COMPUTED_VALUE"""),8.0)</f>
        <v>8</v>
      </c>
      <c r="AF26" s="177" t="str">
        <f>IFERROR(__xludf.DUMMYFUNCTION("""COMPUTED_VALUE"""),"Noite")</f>
        <v>Noite</v>
      </c>
      <c r="AG26" s="177" t="str">
        <f>IFERROR(__xludf.DUMMYFUNCTION("""COMPUTED_VALUE"""),"B")</f>
        <v>B</v>
      </c>
      <c r="AH26" s="177" t="str">
        <f>IFERROR(__xludf.DUMMYFUNCTION("""COMPUTED_VALUE"""),"6ª")</f>
        <v>6ª</v>
      </c>
      <c r="AI26" s="89" t="str">
        <f>IFERROR(__xludf.DUMMYFUNCTION("""COMPUTED_VALUE"""),"Márcia Kondo")</f>
        <v>Márcia Kondo</v>
      </c>
      <c r="AJ26" s="209"/>
      <c r="AK26" s="185" t="b">
        <f>IFERROR(__xludf.DUMMYFUNCTION("""COMPUTED_VALUE"""),TRUE)</f>
        <v>1</v>
      </c>
      <c r="AL26" s="186" t="b">
        <f>IFERROR(__xludf.DUMMYFUNCTION("""COMPUTED_VALUE"""),TRUE)</f>
        <v>1</v>
      </c>
      <c r="AM26" s="186" t="b">
        <f>IFERROR(__xludf.DUMMYFUNCTION("""COMPUTED_VALUE"""),TRUE)</f>
        <v>1</v>
      </c>
      <c r="AN26" s="186" t="b">
        <f>IFERROR(__xludf.DUMMYFUNCTION("""COMPUTED_VALUE"""),TRUE)</f>
        <v>1</v>
      </c>
      <c r="AO26" s="186" t="b">
        <f>IFERROR(__xludf.DUMMYFUNCTION("""COMPUTED_VALUE"""),TRUE)</f>
        <v>1</v>
      </c>
      <c r="AP26" s="185" t="b">
        <f>IFERROR(__xludf.DUMMYFUNCTION("""COMPUTED_VALUE"""),FALSE)</f>
        <v>0</v>
      </c>
      <c r="AQ26" s="186" t="b">
        <f>IFERROR(__xludf.DUMMYFUNCTION("""COMPUTED_VALUE"""),FALSE)</f>
        <v>0</v>
      </c>
      <c r="AR26" s="186" t="b">
        <f>IFERROR(__xludf.DUMMYFUNCTION("""COMPUTED_VALUE"""),FALSE)</f>
        <v>0</v>
      </c>
      <c r="AS26" s="186" t="b">
        <f>IFERROR(__xludf.DUMMYFUNCTION("""COMPUTED_VALUE"""),FALSE)</f>
        <v>0</v>
      </c>
      <c r="AT26" s="187" t="b">
        <f>IFERROR(__xludf.DUMMYFUNCTION("""COMPUTED_VALUE"""),FALSE)</f>
        <v>0</v>
      </c>
      <c r="AU26" s="67"/>
    </row>
    <row r="27" ht="15.75" customHeight="1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209"/>
      <c r="R27" s="215">
        <f>IFERROR(__xludf.DUMMYFUNCTION("""COMPUTED_VALUE"""),2.0)</f>
        <v>2</v>
      </c>
      <c r="S27" s="209"/>
      <c r="T27" s="209" t="str">
        <f>IFERROR(__xludf.DUMMYFUNCTION("""COMPUTED_VALUE"""),"Somente OPE2 e TCC2")</f>
        <v>Somente OPE2 e TCC2</v>
      </c>
      <c r="W27" s="209"/>
      <c r="X27" s="209"/>
      <c r="Y27" s="209"/>
      <c r="Z27" s="214"/>
      <c r="AA27" s="67"/>
      <c r="AB27" s="67" t="str">
        <f>IFERROR(__xludf.DUMMYFUNCTION("""COMPUTED_VALUE"""),"")</f>
        <v/>
      </c>
      <c r="AC27" s="67">
        <f>IFERROR(__xludf.DUMMYFUNCTION("""COMPUTED_VALUE"""),24.0)</f>
        <v>24</v>
      </c>
      <c r="AD27" s="67"/>
      <c r="AE27" s="67"/>
      <c r="AF27" s="67"/>
      <c r="AG27" s="67"/>
      <c r="AH27" s="67"/>
      <c r="AI27" s="67"/>
      <c r="AJ27" s="67" t="str">
        <f>IFERROR(__xludf.DUMMYFUNCTION("""COMPUTED_VALUE"""),"TOTAL")</f>
        <v>TOTAL</v>
      </c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</row>
    <row r="28" ht="15.75" customHeight="1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209"/>
      <c r="R28" s="216">
        <f>IFERROR(__xludf.DUMMYFUNCTION("""COMPUTED_VALUE"""),3.0)</f>
        <v>3</v>
      </c>
      <c r="S28" s="217"/>
      <c r="T28" s="217" t="str">
        <f>IFERROR(__xludf.DUMMYFUNCTION("""COMPUTED_VALUE"""),"A confirmar para cada turma e disciplina")</f>
        <v>A confirmar para cada turma e disciplina</v>
      </c>
      <c r="U28" s="87"/>
      <c r="V28" s="87"/>
      <c r="W28" s="87"/>
      <c r="X28" s="87"/>
      <c r="Y28" s="87"/>
      <c r="Z28" s="214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</row>
    <row r="29" ht="15.75" customHeight="1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209"/>
      <c r="R29" s="209">
        <f>IFERROR(__xludf.DUMMYFUNCTION("""COMPUTED_VALUE"""),4.0)</f>
        <v>4</v>
      </c>
      <c r="S29" s="209"/>
      <c r="T29" s="209" t="str">
        <f>IFERROR(__xludf.DUMMYFUNCTION("""COMPUTED_VALUE"""),"Entregas previstas: podem ser alteradas pelos orientadores")</f>
        <v>Entregas previstas: podem ser alteradas pelos orientadores</v>
      </c>
      <c r="U29" s="209"/>
      <c r="V29" s="209"/>
      <c r="W29" s="209"/>
      <c r="X29" s="209"/>
      <c r="Y29" s="209"/>
      <c r="Z29" s="209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</row>
    <row r="30" ht="15.75" customHeight="1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209"/>
      <c r="R30" s="210" t="str">
        <f>IFERROR(__xludf.DUMMYFUNCTION("""COMPUTED_VALUE"""),"Legenda:")</f>
        <v>Legenda:</v>
      </c>
      <c r="S30" s="209"/>
      <c r="T30" s="209"/>
      <c r="U30" s="209"/>
      <c r="V30" s="209"/>
      <c r="W30" s="209"/>
      <c r="X30" s="209"/>
      <c r="Y30" s="209"/>
      <c r="Z30" s="209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</row>
    <row r="31" ht="15.75" customHeight="1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209"/>
      <c r="R31" s="181"/>
      <c r="S31" s="218" t="str">
        <f>IFERROR(__xludf.DUMMYFUNCTION("""COMPUTED_VALUE"""),"Feriado ou Aplicação de PAI ou Feira de carreiras: compensação sem plantão")</f>
        <v>Feriado ou Aplicação de PAI ou Feira de carreiras: compensação sem plantão</v>
      </c>
      <c r="T31" s="213"/>
      <c r="U31" s="162"/>
      <c r="V31" s="162"/>
      <c r="W31" s="162"/>
      <c r="X31" s="162"/>
      <c r="Y31" s="163"/>
      <c r="Z31" s="209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</row>
    <row r="32" ht="15.75" customHeight="1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209"/>
      <c r="R32" s="204"/>
      <c r="S32" s="219" t="str">
        <f>IFERROR(__xludf.DUMMYFUNCTION("""COMPUTED_VALUE"""),"(Semana de provas das outras disciplinas) Subida de vídeo para não formandos: prova de OPE1")</f>
        <v>(Semana de provas das outras disciplinas) Subida de vídeo para não formandos: prova de OPE1</v>
      </c>
      <c r="T32" s="209"/>
      <c r="Y32" s="220"/>
      <c r="Z32" s="209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</row>
    <row r="33" ht="15.75" customHeight="1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209"/>
      <c r="R33" s="207"/>
      <c r="S33" s="217" t="str">
        <f>IFERROR(__xludf.DUMMYFUNCTION("""COMPUTED_VALUE"""),"Semana do VI Simpacta (e de vista de provas das outras disicplinas): prova para formandos")</f>
        <v>Semana do VI Simpacta (e de vista de provas das outras disicplinas): prova para formandos</v>
      </c>
      <c r="T33" s="217"/>
      <c r="U33" s="87"/>
      <c r="V33" s="217"/>
      <c r="W33" s="217"/>
      <c r="X33" s="217"/>
      <c r="Y33" s="221"/>
      <c r="Z33" s="209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</row>
    <row r="34" ht="15.75" customHeight="1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</row>
    <row r="35" ht="15.75" customHeight="1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</row>
    <row r="36" ht="15.75" customHeight="1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</row>
    <row r="37" ht="15.75" customHeight="1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</row>
    <row r="38" ht="15.75" customHeight="1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</row>
    <row r="39" ht="15.75" customHeight="1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</row>
    <row r="40" ht="15.75" customHeight="1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</row>
    <row r="41" ht="15.75" customHeight="1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</row>
    <row r="42" ht="15.75" customHeight="1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</row>
    <row r="43" ht="15.75" customHeight="1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</row>
    <row r="44" ht="15.75" customHeight="1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</row>
    <row r="45" ht="15.75" customHeight="1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</row>
    <row r="46" ht="15.75" customHeight="1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</row>
    <row r="47" ht="15.75" customHeight="1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</row>
    <row r="48" ht="15.75" customHeight="1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</row>
    <row r="49" ht="15.75" customHeight="1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</row>
    <row r="50" ht="15.75" customHeight="1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</row>
    <row r="51" ht="15.75" customHeight="1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</row>
    <row r="52" ht="15.75" customHeight="1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</row>
    <row r="53" ht="15.75" customHeight="1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</row>
    <row r="54" ht="15.75" customHeight="1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</row>
    <row r="55" ht="15.75" customHeight="1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</row>
    <row r="56" ht="15.75" customHeight="1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</row>
    <row r="57" ht="15.75" customHeight="1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</row>
    <row r="58" ht="15.75" customHeight="1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</row>
    <row r="59" ht="15.75" customHeight="1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</row>
    <row r="60" ht="15.75" customHeight="1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</row>
    <row r="61" ht="15.75" customHeight="1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</row>
    <row r="62" ht="15.75" customHeight="1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</row>
    <row r="63" ht="15.75" customHeight="1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</row>
    <row r="64" ht="15.75" customHeight="1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</row>
    <row r="65" ht="15.75" customHeight="1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</row>
    <row r="66" ht="15.75" customHeight="1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</row>
    <row r="67" ht="15.75" customHeight="1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</row>
    <row r="68" ht="15.75" customHeight="1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</row>
    <row r="69" ht="15.75" customHeight="1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</row>
    <row r="70" ht="15.75" customHeight="1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</row>
    <row r="71" ht="15.75" customHeight="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</row>
    <row r="72" ht="15.75" customHeight="1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</row>
    <row r="73" ht="15.75" customHeight="1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</row>
    <row r="74" ht="15.75" customHeight="1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</row>
    <row r="75" ht="15.75" customHeight="1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</row>
    <row r="76" ht="15.75" customHeight="1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</row>
    <row r="77" ht="15.75" customHeight="1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</row>
    <row r="78" ht="15.75" customHeight="1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</row>
    <row r="79" ht="15.75" customHeight="1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</row>
    <row r="80" ht="15.75" customHeight="1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</row>
    <row r="81" ht="15.75" customHeight="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</row>
    <row r="82" ht="15.75" customHeight="1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</row>
    <row r="83" ht="15.75" customHeight="1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</row>
    <row r="84" ht="15.75" customHeight="1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</row>
    <row r="85" ht="15.75" customHeight="1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</row>
    <row r="86" ht="15.75" customHeight="1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</row>
    <row r="87" ht="15.75" customHeight="1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</row>
    <row r="88" ht="15.75" customHeight="1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</row>
    <row r="89" ht="15.75" customHeight="1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</row>
    <row r="90" ht="15.75" customHeight="1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</row>
    <row r="91" ht="15.75" customHeight="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</row>
    <row r="92" ht="15.75" customHeight="1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</row>
    <row r="93" ht="15.75" customHeight="1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</row>
    <row r="94" ht="15.75" customHeight="1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</row>
    <row r="95" ht="15.75" customHeight="1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</row>
    <row r="96" ht="15.75" customHeight="1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</row>
    <row r="97" ht="15.75" customHeight="1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</row>
    <row r="98" ht="15.75" customHeight="1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</row>
    <row r="99" ht="15.75" customHeight="1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</row>
    <row r="100" ht="15.75" customHeight="1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</row>
    <row r="101" ht="15.75" customHeight="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</row>
    <row r="102" ht="15.75" customHeight="1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</row>
    <row r="103" ht="15.75" customHeight="1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</row>
    <row r="104" ht="15.75" customHeight="1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</row>
    <row r="105" ht="15.75" customHeight="1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</row>
    <row r="106" ht="15.75" customHeight="1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</row>
    <row r="107" ht="15.75" customHeight="1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</row>
    <row r="108" ht="15.75" customHeight="1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</row>
    <row r="109" ht="15.75" customHeight="1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</row>
    <row r="110" ht="15.75" customHeight="1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</row>
    <row r="111" ht="15.75" customHeight="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</row>
    <row r="112" ht="15.75" customHeight="1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</row>
    <row r="113" ht="15.75" customHeight="1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</row>
    <row r="114" ht="15.75" customHeight="1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</row>
    <row r="115" ht="15.75" customHeight="1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</row>
    <row r="116" ht="15.75" customHeight="1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</row>
    <row r="117" ht="15.75" customHeight="1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</row>
    <row r="118" ht="15.75" customHeight="1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</row>
    <row r="119" ht="15.75" customHeight="1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</row>
    <row r="120" ht="15.75" customHeight="1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</row>
    <row r="121" ht="15.75" customHeight="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</row>
    <row r="122" ht="15.75" customHeight="1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</row>
    <row r="123" ht="15.75" customHeight="1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</row>
    <row r="124" ht="15.75" customHeight="1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</row>
    <row r="125" ht="15.75" customHeight="1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</row>
    <row r="126" ht="15.75" customHeight="1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</row>
    <row r="127" ht="15.75" customHeight="1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</row>
    <row r="128" ht="15.75" customHeight="1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</row>
    <row r="129" ht="15.75" customHeight="1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</row>
    <row r="130" ht="15.75" customHeight="1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</row>
    <row r="131" ht="15.75" customHeight="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</row>
    <row r="132" ht="15.75" customHeight="1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</row>
    <row r="133" ht="15.75" customHeight="1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</row>
    <row r="134" ht="15.75" customHeight="1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</row>
    <row r="135" ht="15.75" customHeight="1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</row>
    <row r="136" ht="15.75" customHeight="1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</row>
    <row r="137" ht="15.75" customHeight="1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</row>
    <row r="138" ht="15.75" customHeight="1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</row>
    <row r="139" ht="15.75" customHeight="1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</row>
    <row r="140" ht="15.75" customHeight="1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</row>
    <row r="141" ht="15.75" customHeight="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</row>
    <row r="142" ht="15.75" customHeight="1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</row>
    <row r="143" ht="15.75" customHeight="1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</row>
    <row r="144" ht="15.75" customHeight="1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</row>
    <row r="145" ht="15.75" customHeight="1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</row>
    <row r="146" ht="15.75" customHeight="1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</row>
    <row r="147" ht="15.75" customHeight="1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</row>
    <row r="148" ht="15.75" customHeight="1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</row>
    <row r="149" ht="15.75" customHeight="1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</row>
    <row r="150" ht="15.75" customHeight="1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</row>
    <row r="151" ht="15.75" customHeight="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</row>
    <row r="152" ht="15.75" customHeight="1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</row>
    <row r="153" ht="15.75" customHeight="1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</row>
    <row r="154" ht="15.75" customHeight="1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</row>
    <row r="155" ht="15.75" customHeight="1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</row>
    <row r="156" ht="15.75" customHeight="1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</row>
    <row r="157" ht="15.75" customHeight="1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</row>
    <row r="158" ht="15.75" customHeight="1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</row>
    <row r="159" ht="15.75" customHeight="1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</row>
    <row r="160" ht="15.75" customHeight="1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67"/>
      <c r="AS160" s="67"/>
      <c r="AT160" s="67"/>
      <c r="AU160" s="67"/>
    </row>
    <row r="161" ht="15.75" customHeight="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  <c r="AS161" s="67"/>
      <c r="AT161" s="67"/>
      <c r="AU161" s="67"/>
    </row>
    <row r="162" ht="15.75" customHeight="1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  <c r="AQ162" s="67"/>
      <c r="AR162" s="67"/>
      <c r="AS162" s="67"/>
      <c r="AT162" s="67"/>
      <c r="AU162" s="67"/>
    </row>
    <row r="163" ht="15.75" customHeight="1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7"/>
    </row>
    <row r="164" ht="15.75" customHeight="1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67"/>
      <c r="AT164" s="67"/>
      <c r="AU164" s="67"/>
    </row>
    <row r="165" ht="15.75" customHeight="1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</row>
    <row r="166" ht="15.75" customHeight="1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</row>
    <row r="167" ht="15.75" customHeight="1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</row>
    <row r="168" ht="15.75" customHeight="1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</row>
    <row r="169" ht="15.75" customHeight="1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</row>
    <row r="170" ht="15.75" customHeight="1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</row>
    <row r="171" ht="15.75" customHeight="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</row>
    <row r="172" ht="15.75" customHeight="1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</row>
    <row r="173" ht="15.75" customHeight="1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</row>
    <row r="174" ht="15.75" customHeight="1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</row>
    <row r="175" ht="15.75" customHeight="1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</row>
    <row r="176" ht="15.75" customHeight="1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</row>
    <row r="177" ht="15.75" customHeight="1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</row>
    <row r="178" ht="15.75" customHeight="1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</row>
    <row r="179" ht="15.75" customHeight="1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  <c r="AQ179" s="67"/>
      <c r="AR179" s="67"/>
      <c r="AS179" s="67"/>
      <c r="AT179" s="67"/>
      <c r="AU179" s="67"/>
    </row>
    <row r="180" ht="15.75" customHeight="1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T180" s="67"/>
      <c r="AU180" s="67"/>
    </row>
    <row r="181" ht="15.75" customHeight="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  <c r="AQ181" s="67"/>
      <c r="AR181" s="67"/>
      <c r="AS181" s="67"/>
      <c r="AT181" s="67"/>
      <c r="AU181" s="67"/>
    </row>
    <row r="182" ht="15.75" customHeight="1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</row>
    <row r="183" ht="15.75" customHeight="1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  <c r="AL183" s="67"/>
      <c r="AM183" s="67"/>
      <c r="AN183" s="67"/>
      <c r="AO183" s="67"/>
      <c r="AP183" s="67"/>
      <c r="AQ183" s="67"/>
      <c r="AR183" s="67"/>
      <c r="AS183" s="67"/>
      <c r="AT183" s="67"/>
      <c r="AU183" s="67"/>
    </row>
    <row r="184" ht="15.75" customHeight="1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</row>
    <row r="185" ht="15.75" customHeight="1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</row>
    <row r="186" ht="15.75" customHeight="1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</row>
    <row r="187" ht="15.75" customHeight="1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</row>
    <row r="188" ht="15.75" customHeight="1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</row>
    <row r="189" ht="15.75" customHeight="1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</row>
    <row r="190" ht="15.75" customHeight="1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</row>
    <row r="191" ht="15.75" customHeight="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</row>
    <row r="192" ht="15.75" customHeight="1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</row>
    <row r="193" ht="15.75" customHeight="1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</row>
    <row r="194" ht="15.75" customHeight="1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</row>
    <row r="195" ht="15.75" customHeight="1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</row>
    <row r="196" ht="15.75" customHeight="1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</row>
    <row r="197" ht="15.75" customHeight="1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  <c r="AS197" s="67"/>
      <c r="AT197" s="67"/>
      <c r="AU197" s="67"/>
    </row>
    <row r="198" ht="15.75" customHeight="1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67"/>
      <c r="AS198" s="67"/>
      <c r="AT198" s="67"/>
      <c r="AU198" s="67"/>
    </row>
    <row r="199" ht="15.75" customHeight="1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  <c r="AL199" s="67"/>
      <c r="AM199" s="67"/>
      <c r="AN199" s="67"/>
      <c r="AO199" s="67"/>
      <c r="AP199" s="67"/>
      <c r="AQ199" s="67"/>
      <c r="AR199" s="67"/>
      <c r="AS199" s="67"/>
      <c r="AT199" s="67"/>
      <c r="AU199" s="67"/>
    </row>
    <row r="200" ht="15.75" customHeight="1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  <c r="AQ200" s="67"/>
      <c r="AR200" s="67"/>
      <c r="AS200" s="67"/>
      <c r="AT200" s="67"/>
      <c r="AU200" s="67"/>
    </row>
    <row r="201" ht="15.75" customHeight="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  <c r="AQ201" s="67"/>
      <c r="AR201" s="67"/>
      <c r="AS201" s="67"/>
      <c r="AT201" s="67"/>
      <c r="AU201" s="67"/>
    </row>
    <row r="202" ht="15.75" customHeight="1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  <c r="AL202" s="67"/>
      <c r="AM202" s="67"/>
      <c r="AN202" s="67"/>
      <c r="AO202" s="67"/>
      <c r="AP202" s="67"/>
      <c r="AQ202" s="67"/>
      <c r="AR202" s="67"/>
      <c r="AS202" s="67"/>
      <c r="AT202" s="67"/>
      <c r="AU202" s="67"/>
    </row>
    <row r="203" ht="15.75" customHeight="1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  <c r="AL203" s="67"/>
      <c r="AM203" s="67"/>
      <c r="AN203" s="67"/>
      <c r="AO203" s="67"/>
      <c r="AP203" s="67"/>
      <c r="AQ203" s="67"/>
      <c r="AR203" s="67"/>
      <c r="AS203" s="67"/>
      <c r="AT203" s="67"/>
      <c r="AU203" s="67"/>
    </row>
    <row r="204" ht="15.75" customHeight="1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  <c r="AM204" s="67"/>
      <c r="AN204" s="67"/>
      <c r="AO204" s="67"/>
      <c r="AP204" s="67"/>
      <c r="AQ204" s="67"/>
      <c r="AR204" s="67"/>
      <c r="AS204" s="67"/>
      <c r="AT204" s="67"/>
      <c r="AU204" s="67"/>
    </row>
    <row r="205" ht="15.75" customHeight="1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  <c r="AM205" s="67"/>
      <c r="AN205" s="67"/>
      <c r="AO205" s="67"/>
      <c r="AP205" s="67"/>
      <c r="AQ205" s="67"/>
      <c r="AR205" s="67"/>
      <c r="AS205" s="67"/>
      <c r="AT205" s="67"/>
      <c r="AU205" s="67"/>
    </row>
    <row r="206" ht="15.75" customHeight="1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  <c r="AL206" s="67"/>
      <c r="AM206" s="67"/>
      <c r="AN206" s="67"/>
      <c r="AO206" s="67"/>
      <c r="AP206" s="67"/>
      <c r="AQ206" s="67"/>
      <c r="AR206" s="67"/>
      <c r="AS206" s="67"/>
      <c r="AT206" s="67"/>
      <c r="AU206" s="67"/>
    </row>
    <row r="207" ht="15.75" customHeight="1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  <c r="AK207" s="67"/>
      <c r="AL207" s="67"/>
      <c r="AM207" s="67"/>
      <c r="AN207" s="67"/>
      <c r="AO207" s="67"/>
      <c r="AP207" s="67"/>
      <c r="AQ207" s="67"/>
      <c r="AR207" s="67"/>
      <c r="AS207" s="67"/>
      <c r="AT207" s="67"/>
      <c r="AU207" s="67"/>
    </row>
    <row r="208" ht="15.75" customHeight="1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  <c r="AJ208" s="67"/>
      <c r="AK208" s="67"/>
      <c r="AL208" s="67"/>
      <c r="AM208" s="67"/>
      <c r="AN208" s="67"/>
      <c r="AO208" s="67"/>
      <c r="AP208" s="67"/>
      <c r="AQ208" s="67"/>
      <c r="AR208" s="67"/>
      <c r="AS208" s="67"/>
      <c r="AT208" s="67"/>
      <c r="AU208" s="67"/>
    </row>
    <row r="209" ht="15.75" customHeight="1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  <c r="AK209" s="67"/>
      <c r="AL209" s="67"/>
      <c r="AM209" s="67"/>
      <c r="AN209" s="67"/>
      <c r="AO209" s="67"/>
      <c r="AP209" s="67"/>
      <c r="AQ209" s="67"/>
      <c r="AR209" s="67"/>
      <c r="AS209" s="67"/>
      <c r="AT209" s="67"/>
      <c r="AU209" s="67"/>
    </row>
    <row r="210" ht="15.75" customHeight="1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  <c r="AK210" s="67"/>
      <c r="AL210" s="67"/>
      <c r="AM210" s="67"/>
      <c r="AN210" s="67"/>
      <c r="AO210" s="67"/>
      <c r="AP210" s="67"/>
      <c r="AQ210" s="67"/>
      <c r="AR210" s="67"/>
      <c r="AS210" s="67"/>
      <c r="AT210" s="67"/>
      <c r="AU210" s="67"/>
    </row>
    <row r="211" ht="15.75" customHeight="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  <c r="AJ211" s="67"/>
      <c r="AK211" s="67"/>
      <c r="AL211" s="67"/>
      <c r="AM211" s="67"/>
      <c r="AN211" s="67"/>
      <c r="AO211" s="67"/>
      <c r="AP211" s="67"/>
      <c r="AQ211" s="67"/>
      <c r="AR211" s="67"/>
      <c r="AS211" s="67"/>
      <c r="AT211" s="67"/>
      <c r="AU211" s="67"/>
    </row>
    <row r="212" ht="15.75" customHeight="1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  <c r="AK212" s="67"/>
      <c r="AL212" s="67"/>
      <c r="AM212" s="67"/>
      <c r="AN212" s="67"/>
      <c r="AO212" s="67"/>
      <c r="AP212" s="67"/>
      <c r="AQ212" s="67"/>
      <c r="AR212" s="67"/>
      <c r="AS212" s="67"/>
      <c r="AT212" s="67"/>
      <c r="AU212" s="67"/>
    </row>
    <row r="213" ht="15.75" customHeight="1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  <c r="AK213" s="67"/>
      <c r="AL213" s="67"/>
      <c r="AM213" s="67"/>
      <c r="AN213" s="67"/>
      <c r="AO213" s="67"/>
      <c r="AP213" s="67"/>
      <c r="AQ213" s="67"/>
      <c r="AR213" s="67"/>
      <c r="AS213" s="67"/>
      <c r="AT213" s="67"/>
      <c r="AU213" s="67"/>
    </row>
    <row r="214" ht="15.75" customHeight="1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  <c r="AL214" s="67"/>
      <c r="AM214" s="67"/>
      <c r="AN214" s="67"/>
      <c r="AO214" s="67"/>
      <c r="AP214" s="67"/>
      <c r="AQ214" s="67"/>
      <c r="AR214" s="67"/>
      <c r="AS214" s="67"/>
      <c r="AT214" s="67"/>
      <c r="AU214" s="67"/>
    </row>
    <row r="215" ht="15.75" customHeight="1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  <c r="AJ215" s="67"/>
      <c r="AK215" s="67"/>
      <c r="AL215" s="67"/>
      <c r="AM215" s="67"/>
      <c r="AN215" s="67"/>
      <c r="AO215" s="67"/>
      <c r="AP215" s="67"/>
      <c r="AQ215" s="67"/>
      <c r="AR215" s="67"/>
      <c r="AS215" s="67"/>
      <c r="AT215" s="67"/>
      <c r="AU215" s="67"/>
    </row>
    <row r="216" ht="15.75" customHeight="1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  <c r="AJ216" s="67"/>
      <c r="AK216" s="67"/>
      <c r="AL216" s="67"/>
      <c r="AM216" s="67"/>
      <c r="AN216" s="67"/>
      <c r="AO216" s="67"/>
      <c r="AP216" s="67"/>
      <c r="AQ216" s="67"/>
      <c r="AR216" s="67"/>
      <c r="AS216" s="67"/>
      <c r="AT216" s="67"/>
      <c r="AU216" s="67"/>
    </row>
    <row r="217" ht="15.75" customHeight="1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  <c r="AJ217" s="67"/>
      <c r="AK217" s="67"/>
      <c r="AL217" s="67"/>
      <c r="AM217" s="67"/>
      <c r="AN217" s="67"/>
      <c r="AO217" s="67"/>
      <c r="AP217" s="67"/>
      <c r="AQ217" s="67"/>
      <c r="AR217" s="67"/>
      <c r="AS217" s="67"/>
      <c r="AT217" s="67"/>
      <c r="AU217" s="67"/>
    </row>
    <row r="218" ht="15.75" customHeight="1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  <c r="AK218" s="67"/>
      <c r="AL218" s="67"/>
      <c r="AM218" s="67"/>
      <c r="AN218" s="67"/>
      <c r="AO218" s="67"/>
      <c r="AP218" s="67"/>
      <c r="AQ218" s="67"/>
      <c r="AR218" s="67"/>
      <c r="AS218" s="67"/>
      <c r="AT218" s="67"/>
      <c r="AU218" s="67"/>
    </row>
    <row r="219" ht="15.75" customHeight="1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  <c r="AK219" s="67"/>
      <c r="AL219" s="67"/>
      <c r="AM219" s="67"/>
      <c r="AN219" s="67"/>
      <c r="AO219" s="67"/>
      <c r="AP219" s="67"/>
      <c r="AQ219" s="67"/>
      <c r="AR219" s="67"/>
      <c r="AS219" s="67"/>
      <c r="AT219" s="67"/>
      <c r="AU219" s="67"/>
    </row>
    <row r="220" ht="15.75" customHeight="1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  <c r="AK220" s="67"/>
      <c r="AL220" s="67"/>
      <c r="AM220" s="67"/>
      <c r="AN220" s="67"/>
      <c r="AO220" s="67"/>
      <c r="AP220" s="67"/>
      <c r="AQ220" s="67"/>
      <c r="AR220" s="67"/>
      <c r="AS220" s="67"/>
      <c r="AT220" s="67"/>
      <c r="AU220" s="67"/>
    </row>
    <row r="221" ht="15.75" customHeight="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  <c r="AK221" s="67"/>
      <c r="AL221" s="67"/>
      <c r="AM221" s="67"/>
      <c r="AN221" s="67"/>
      <c r="AO221" s="67"/>
      <c r="AP221" s="67"/>
      <c r="AQ221" s="67"/>
      <c r="AR221" s="67"/>
      <c r="AS221" s="67"/>
      <c r="AT221" s="67"/>
      <c r="AU221" s="67"/>
    </row>
    <row r="222" ht="15.75" customHeight="1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  <c r="AJ222" s="67"/>
      <c r="AK222" s="67"/>
      <c r="AL222" s="67"/>
      <c r="AM222" s="67"/>
      <c r="AN222" s="67"/>
      <c r="AO222" s="67"/>
      <c r="AP222" s="67"/>
      <c r="AQ222" s="67"/>
      <c r="AR222" s="67"/>
      <c r="AS222" s="67"/>
      <c r="AT222" s="67"/>
      <c r="AU222" s="67"/>
    </row>
    <row r="223" ht="15.75" customHeight="1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  <c r="AJ223" s="67"/>
      <c r="AK223" s="67"/>
      <c r="AL223" s="67"/>
      <c r="AM223" s="67"/>
      <c r="AN223" s="67"/>
      <c r="AO223" s="67"/>
      <c r="AP223" s="67"/>
      <c r="AQ223" s="67"/>
      <c r="AR223" s="67"/>
      <c r="AS223" s="67"/>
      <c r="AT223" s="67"/>
      <c r="AU223" s="67"/>
    </row>
    <row r="224" ht="15.75" customHeight="1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  <c r="AJ224" s="67"/>
      <c r="AK224" s="67"/>
      <c r="AL224" s="67"/>
      <c r="AM224" s="67"/>
      <c r="AN224" s="67"/>
      <c r="AO224" s="67"/>
      <c r="AP224" s="67"/>
      <c r="AQ224" s="67"/>
      <c r="AR224" s="67"/>
      <c r="AS224" s="67"/>
      <c r="AT224" s="67"/>
      <c r="AU224" s="67"/>
    </row>
    <row r="225" ht="15.75" customHeight="1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  <c r="AJ225" s="67"/>
      <c r="AK225" s="67"/>
      <c r="AL225" s="67"/>
      <c r="AM225" s="67"/>
      <c r="AN225" s="67"/>
      <c r="AO225" s="67"/>
      <c r="AP225" s="67"/>
      <c r="AQ225" s="67"/>
      <c r="AR225" s="67"/>
      <c r="AS225" s="67"/>
      <c r="AT225" s="67"/>
      <c r="AU225" s="67"/>
    </row>
    <row r="226" ht="15.75" customHeight="1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  <c r="AJ226" s="67"/>
      <c r="AK226" s="67"/>
      <c r="AL226" s="67"/>
      <c r="AM226" s="67"/>
      <c r="AN226" s="67"/>
      <c r="AO226" s="67"/>
      <c r="AP226" s="67"/>
      <c r="AQ226" s="67"/>
      <c r="AR226" s="67"/>
      <c r="AS226" s="67"/>
      <c r="AT226" s="67"/>
      <c r="AU226" s="67"/>
    </row>
    <row r="227" ht="15.75" customHeight="1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  <c r="AJ227" s="67"/>
      <c r="AK227" s="67"/>
      <c r="AL227" s="67"/>
      <c r="AM227" s="67"/>
      <c r="AN227" s="67"/>
      <c r="AO227" s="67"/>
      <c r="AP227" s="67"/>
      <c r="AQ227" s="67"/>
      <c r="AR227" s="67"/>
      <c r="AS227" s="67"/>
      <c r="AT227" s="67"/>
      <c r="AU227" s="67"/>
    </row>
    <row r="228" ht="15.75" customHeight="1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  <c r="AJ228" s="67"/>
      <c r="AK228" s="67"/>
      <c r="AL228" s="67"/>
      <c r="AM228" s="67"/>
      <c r="AN228" s="67"/>
      <c r="AO228" s="67"/>
      <c r="AP228" s="67"/>
      <c r="AQ228" s="67"/>
      <c r="AR228" s="67"/>
      <c r="AS228" s="67"/>
      <c r="AT228" s="67"/>
      <c r="AU228" s="67"/>
    </row>
    <row r="229" ht="15.75" customHeight="1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  <c r="AJ229" s="67"/>
      <c r="AK229" s="67"/>
      <c r="AL229" s="67"/>
      <c r="AM229" s="67"/>
      <c r="AN229" s="67"/>
      <c r="AO229" s="67"/>
      <c r="AP229" s="67"/>
      <c r="AQ229" s="67"/>
      <c r="AR229" s="67"/>
      <c r="AS229" s="67"/>
      <c r="AT229" s="67"/>
      <c r="AU229" s="67"/>
    </row>
    <row r="230" ht="15.75" customHeight="1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  <c r="AJ230" s="67"/>
      <c r="AK230" s="67"/>
      <c r="AL230" s="67"/>
      <c r="AM230" s="67"/>
      <c r="AN230" s="67"/>
      <c r="AO230" s="67"/>
      <c r="AP230" s="67"/>
      <c r="AQ230" s="67"/>
      <c r="AR230" s="67"/>
      <c r="AS230" s="67"/>
      <c r="AT230" s="67"/>
      <c r="AU230" s="67"/>
    </row>
    <row r="231" ht="15.75" customHeight="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  <c r="AL231" s="67"/>
      <c r="AM231" s="67"/>
      <c r="AN231" s="67"/>
      <c r="AO231" s="67"/>
      <c r="AP231" s="67"/>
      <c r="AQ231" s="67"/>
      <c r="AR231" s="67"/>
      <c r="AS231" s="67"/>
      <c r="AT231" s="67"/>
      <c r="AU231" s="67"/>
    </row>
    <row r="232" ht="15.75" customHeight="1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67"/>
      <c r="AL232" s="67"/>
      <c r="AM232" s="67"/>
      <c r="AN232" s="67"/>
      <c r="AO232" s="67"/>
      <c r="AP232" s="67"/>
      <c r="AQ232" s="67"/>
      <c r="AR232" s="67"/>
      <c r="AS232" s="67"/>
      <c r="AT232" s="67"/>
      <c r="AU232" s="67"/>
    </row>
    <row r="233" ht="15.75" customHeight="1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  <c r="AJ233" s="67"/>
      <c r="AK233" s="67"/>
      <c r="AL233" s="67"/>
      <c r="AM233" s="67"/>
      <c r="AN233" s="67"/>
      <c r="AO233" s="67"/>
      <c r="AP233" s="67"/>
      <c r="AQ233" s="67"/>
      <c r="AR233" s="67"/>
      <c r="AS233" s="67"/>
      <c r="AT233" s="67"/>
      <c r="AU233" s="67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</row>
  </sheetData>
  <mergeCells count="24">
    <mergeCell ref="AJ16:AJ18"/>
    <mergeCell ref="AJ19:AJ20"/>
    <mergeCell ref="AK1:AO1"/>
    <mergeCell ref="AP1:AT1"/>
    <mergeCell ref="T3:U3"/>
    <mergeCell ref="AJ3:AJ4"/>
    <mergeCell ref="U4:U6"/>
    <mergeCell ref="AJ6:AJ8"/>
    <mergeCell ref="AJ9:AJ12"/>
    <mergeCell ref="R24:T24"/>
    <mergeCell ref="T25:U25"/>
    <mergeCell ref="T26:U26"/>
    <mergeCell ref="T27:V27"/>
    <mergeCell ref="T28:Y28"/>
    <mergeCell ref="T31:Y31"/>
    <mergeCell ref="T32:Y32"/>
    <mergeCell ref="T33:U33"/>
    <mergeCell ref="U7:U9"/>
    <mergeCell ref="U10:U12"/>
    <mergeCell ref="U13:U15"/>
    <mergeCell ref="U16:U17"/>
    <mergeCell ref="T20:U20"/>
    <mergeCell ref="T21:U21"/>
    <mergeCell ref="T22:U22"/>
  </mergeCells>
  <conditionalFormatting sqref="AK3:AT26">
    <cfRule type="notContainsBlanks" dxfId="3" priority="1">
      <formula>LEN(TRIM(AK3))&gt;0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6.86"/>
    <col customWidth="1" min="2" max="2" width="5.14"/>
    <col customWidth="1" min="3" max="3" width="42.71"/>
    <col customWidth="1" min="4" max="4" width="12.14"/>
    <col customWidth="1" min="5" max="5" width="8.71"/>
    <col customWidth="1" min="6" max="6" width="16.29"/>
    <col customWidth="1" min="7" max="7" width="9.57"/>
    <col customWidth="1" min="8" max="8" width="15.57"/>
    <col customWidth="1" min="9" max="9" width="16.71"/>
  </cols>
  <sheetData>
    <row r="1" ht="15.75" customHeight="1">
      <c r="A1" s="222"/>
      <c r="B1" s="223">
        <f>SUBTOTAL(4,B$2:B$1000)</f>
        <v>0</v>
      </c>
      <c r="C1" s="224" t="s">
        <v>223</v>
      </c>
      <c r="D1" s="40"/>
      <c r="E1" s="222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5.75" customHeight="1">
      <c r="A2" s="225" t="s">
        <v>224</v>
      </c>
      <c r="B2" s="225" t="s">
        <v>225</v>
      </c>
      <c r="C2" s="225" t="s">
        <v>226</v>
      </c>
      <c r="D2" s="225" t="s">
        <v>227</v>
      </c>
      <c r="E2" s="225" t="s">
        <v>228</v>
      </c>
      <c r="F2" s="225" t="s">
        <v>229</v>
      </c>
      <c r="G2" s="226"/>
      <c r="H2" s="227" t="s">
        <v>229</v>
      </c>
      <c r="I2" s="227" t="s">
        <v>204</v>
      </c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5.75" customHeight="1">
      <c r="A3" s="228"/>
      <c r="B3" s="229"/>
      <c r="C3" s="230"/>
      <c r="D3" s="230"/>
      <c r="E3" s="228"/>
      <c r="F3" s="230"/>
      <c r="G3" s="231"/>
      <c r="H3" s="232" t="str">
        <f>'Notas_Frequência'!$A17</f>
        <v>fabio.vieira</v>
      </c>
      <c r="I3" s="233">
        <f t="shared" ref="I3:I12" si="1">SUMIF(F:F,H3,E:E)</f>
        <v>0</v>
      </c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5.75" customHeight="1">
      <c r="A4" s="228"/>
      <c r="B4" s="229"/>
      <c r="C4" s="230"/>
      <c r="D4" s="230"/>
      <c r="E4" s="228"/>
      <c r="F4" s="230"/>
      <c r="G4" s="231"/>
      <c r="H4" s="232" t="str">
        <f>'Notas_Frequência'!$A18</f>
        <v>victoria.mendes</v>
      </c>
      <c r="I4" s="233">
        <f t="shared" si="1"/>
        <v>0</v>
      </c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5.75" customHeight="1">
      <c r="A5" s="228"/>
      <c r="B5" s="229"/>
      <c r="C5" s="230"/>
      <c r="D5" s="230"/>
      <c r="E5" s="228"/>
      <c r="F5" s="230"/>
      <c r="G5" s="231"/>
      <c r="H5" s="232" t="str">
        <f>'Notas_Frequência'!$A19</f>
        <v>edevilson.silva</v>
      </c>
      <c r="I5" s="233">
        <f t="shared" si="1"/>
        <v>0</v>
      </c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5.75" customHeight="1">
      <c r="A6" s="228"/>
      <c r="B6" s="229"/>
      <c r="C6" s="230"/>
      <c r="D6" s="230"/>
      <c r="E6" s="228"/>
      <c r="F6" s="230"/>
      <c r="G6" s="231"/>
      <c r="H6" s="232" t="str">
        <f>'Notas_Frequência'!$A20</f>
        <v>paulo.leone</v>
      </c>
      <c r="I6" s="233">
        <f t="shared" si="1"/>
        <v>0</v>
      </c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5.75" customHeight="1">
      <c r="A7" s="228"/>
      <c r="B7" s="229"/>
      <c r="C7" s="230"/>
      <c r="D7" s="230"/>
      <c r="E7" s="228"/>
      <c r="F7" s="230"/>
      <c r="G7" s="231"/>
      <c r="H7" s="232"/>
      <c r="I7" s="233">
        <f t="shared" si="1"/>
        <v>0</v>
      </c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5.75" customHeight="1">
      <c r="A8" s="228"/>
      <c r="B8" s="229"/>
      <c r="C8" s="230"/>
      <c r="D8" s="230"/>
      <c r="E8" s="228"/>
      <c r="F8" s="230"/>
      <c r="G8" s="231"/>
      <c r="H8" s="232"/>
      <c r="I8" s="233">
        <f t="shared" si="1"/>
        <v>0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5.75" customHeight="1">
      <c r="A9" s="228"/>
      <c r="B9" s="229"/>
      <c r="C9" s="230"/>
      <c r="D9" s="230"/>
      <c r="E9" s="228"/>
      <c r="F9" s="230"/>
      <c r="G9" s="231"/>
      <c r="H9" s="232"/>
      <c r="I9" s="233">
        <f t="shared" si="1"/>
        <v>0</v>
      </c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5.75" customHeight="1">
      <c r="A10" s="228"/>
      <c r="B10" s="229"/>
      <c r="C10" s="230"/>
      <c r="D10" s="230"/>
      <c r="E10" s="228"/>
      <c r="F10" s="230"/>
      <c r="G10" s="231"/>
      <c r="H10" s="232"/>
      <c r="I10" s="233">
        <f t="shared" si="1"/>
        <v>0</v>
      </c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5.75" customHeight="1">
      <c r="A11" s="228"/>
      <c r="B11" s="229"/>
      <c r="C11" s="230"/>
      <c r="D11" s="230"/>
      <c r="E11" s="228"/>
      <c r="F11" s="230"/>
      <c r="G11" s="231"/>
      <c r="H11" s="232"/>
      <c r="I11" s="233">
        <f t="shared" si="1"/>
        <v>0</v>
      </c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5.75" customHeight="1">
      <c r="A12" s="228"/>
      <c r="B12" s="229"/>
      <c r="C12" s="230"/>
      <c r="D12" s="230"/>
      <c r="E12" s="228"/>
      <c r="F12" s="230"/>
      <c r="G12" s="231"/>
      <c r="H12" s="232" t="str">
        <f>'Notas_Frequência'!$A26</f>
        <v/>
      </c>
      <c r="I12" s="233">
        <f t="shared" si="1"/>
        <v>0</v>
      </c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5.75" customHeight="1">
      <c r="A13" s="228"/>
      <c r="B13" s="229"/>
      <c r="C13" s="230"/>
      <c r="D13" s="230"/>
      <c r="E13" s="228"/>
      <c r="F13" s="230"/>
      <c r="G13" s="231"/>
      <c r="H13" s="234" t="s">
        <v>230</v>
      </c>
      <c r="I13" s="234">
        <f>SUM(I3:I12)</f>
        <v>0</v>
      </c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5.75" customHeight="1">
      <c r="A14" s="228"/>
      <c r="B14" s="229"/>
      <c r="C14" s="230"/>
      <c r="D14" s="230"/>
      <c r="E14" s="228"/>
      <c r="F14" s="230"/>
      <c r="G14" s="231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5.75" customHeight="1">
      <c r="A15" s="228"/>
      <c r="B15" s="229"/>
      <c r="C15" s="230"/>
      <c r="D15" s="230"/>
      <c r="E15" s="228"/>
      <c r="F15" s="230"/>
      <c r="G15" s="231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5.75" customHeight="1">
      <c r="A16" s="228"/>
      <c r="B16" s="229"/>
      <c r="C16" s="230"/>
      <c r="D16" s="230"/>
      <c r="E16" s="228"/>
      <c r="F16" s="230"/>
      <c r="G16" s="231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5.75" customHeight="1">
      <c r="A17" s="228"/>
      <c r="B17" s="229"/>
      <c r="C17" s="230"/>
      <c r="D17" s="230"/>
      <c r="E17" s="228"/>
      <c r="F17" s="230"/>
      <c r="G17" s="231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5.75" customHeight="1">
      <c r="A18" s="228"/>
      <c r="B18" s="229"/>
      <c r="C18" s="230"/>
      <c r="D18" s="230"/>
      <c r="E18" s="228"/>
      <c r="F18" s="230"/>
      <c r="G18" s="231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5.75" customHeight="1">
      <c r="A19" s="228"/>
      <c r="B19" s="229"/>
      <c r="C19" s="230"/>
      <c r="D19" s="230"/>
      <c r="E19" s="228"/>
      <c r="F19" s="230"/>
      <c r="G19" s="231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5.75" customHeight="1">
      <c r="A20" s="228"/>
      <c r="B20" s="229"/>
      <c r="C20" s="230"/>
      <c r="D20" s="230"/>
      <c r="E20" s="228"/>
      <c r="F20" s="230"/>
      <c r="G20" s="231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5.75" customHeight="1">
      <c r="A21" s="228"/>
      <c r="B21" s="229"/>
      <c r="C21" s="230"/>
      <c r="D21" s="230"/>
      <c r="E21" s="228"/>
      <c r="F21" s="230"/>
      <c r="G21" s="231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5.75" customHeight="1">
      <c r="A22" s="228"/>
      <c r="B22" s="229"/>
      <c r="C22" s="230"/>
      <c r="D22" s="230"/>
      <c r="E22" s="228"/>
      <c r="F22" s="230"/>
      <c r="G22" s="231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5.75" customHeight="1">
      <c r="A23" s="228"/>
      <c r="B23" s="229"/>
      <c r="C23" s="230"/>
      <c r="D23" s="230"/>
      <c r="E23" s="228"/>
      <c r="F23" s="230"/>
      <c r="G23" s="231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5.75" customHeight="1">
      <c r="A24" s="228"/>
      <c r="B24" s="229"/>
      <c r="C24" s="230"/>
      <c r="D24" s="230"/>
      <c r="E24" s="228"/>
      <c r="F24" s="230"/>
      <c r="G24" s="231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5.75" customHeight="1">
      <c r="A25" s="228"/>
      <c r="B25" s="229"/>
      <c r="C25" s="230"/>
      <c r="D25" s="230"/>
      <c r="E25" s="228"/>
      <c r="F25" s="230"/>
      <c r="G25" s="231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5.75" customHeight="1">
      <c r="A26" s="228"/>
      <c r="B26" s="229"/>
      <c r="C26" s="230"/>
      <c r="D26" s="230"/>
      <c r="E26" s="228"/>
      <c r="F26" s="230"/>
      <c r="G26" s="231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5.75" customHeight="1">
      <c r="A27" s="235"/>
      <c r="B27" s="229"/>
      <c r="C27" s="236"/>
      <c r="D27" s="230"/>
      <c r="E27" s="228"/>
      <c r="F27" s="230"/>
      <c r="G27" s="231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5.75" customHeight="1">
      <c r="A28" s="235"/>
      <c r="B28" s="229"/>
      <c r="C28" s="236"/>
      <c r="D28" s="230"/>
      <c r="E28" s="228"/>
      <c r="F28" s="230"/>
      <c r="G28" s="231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5.75" customHeight="1">
      <c r="A29" s="235"/>
      <c r="B29" s="229"/>
      <c r="C29" s="236"/>
      <c r="D29" s="230"/>
      <c r="E29" s="228"/>
      <c r="F29" s="230"/>
      <c r="G29" s="231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5.75" customHeight="1">
      <c r="A30" s="235"/>
      <c r="B30" s="229"/>
      <c r="C30" s="236"/>
      <c r="D30" s="230"/>
      <c r="E30" s="228"/>
      <c r="F30" s="230"/>
      <c r="G30" s="231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5.75" customHeight="1">
      <c r="A31" s="235"/>
      <c r="B31" s="229"/>
      <c r="C31" s="236"/>
      <c r="D31" s="230"/>
      <c r="E31" s="228"/>
      <c r="F31" s="230"/>
      <c r="G31" s="231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5.75" customHeight="1">
      <c r="A32" s="235"/>
      <c r="B32" s="229"/>
      <c r="C32" s="236"/>
      <c r="D32" s="230"/>
      <c r="E32" s="228"/>
      <c r="F32" s="230"/>
      <c r="G32" s="237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5.75" customHeight="1">
      <c r="A33" s="235"/>
      <c r="B33" s="229"/>
      <c r="C33" s="236"/>
      <c r="D33" s="230"/>
      <c r="E33" s="228"/>
      <c r="F33" s="230"/>
      <c r="G33" s="237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5.75" customHeight="1">
      <c r="A34" s="235"/>
      <c r="B34" s="229"/>
      <c r="C34" s="236"/>
      <c r="D34" s="230"/>
      <c r="E34" s="228"/>
      <c r="F34" s="230"/>
      <c r="G34" s="237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5.75" customHeight="1">
      <c r="A35" s="235"/>
      <c r="B35" s="229"/>
      <c r="C35" s="236"/>
      <c r="D35" s="230"/>
      <c r="E35" s="228"/>
      <c r="F35" s="230"/>
      <c r="G35" s="237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5.75" customHeight="1">
      <c r="A36" s="235"/>
      <c r="B36" s="229"/>
      <c r="C36" s="236"/>
      <c r="D36" s="230"/>
      <c r="E36" s="228"/>
      <c r="F36" s="230"/>
      <c r="G36" s="237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5.75" customHeight="1">
      <c r="A37" s="235"/>
      <c r="B37" s="229"/>
      <c r="C37" s="236"/>
      <c r="D37" s="230"/>
      <c r="E37" s="228"/>
      <c r="F37" s="230"/>
      <c r="G37" s="237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5.75" customHeight="1">
      <c r="A38" s="235"/>
      <c r="B38" s="229"/>
      <c r="C38" s="236"/>
      <c r="D38" s="230"/>
      <c r="E38" s="228"/>
      <c r="F38" s="230"/>
      <c r="G38" s="237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5.75" customHeight="1">
      <c r="A39" s="235"/>
      <c r="B39" s="229"/>
      <c r="C39" s="236"/>
      <c r="D39" s="230"/>
      <c r="E39" s="228"/>
      <c r="F39" s="230"/>
      <c r="G39" s="237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5.75" customHeight="1">
      <c r="A40" s="235"/>
      <c r="B40" s="229"/>
      <c r="C40" s="236"/>
      <c r="D40" s="230"/>
      <c r="E40" s="228"/>
      <c r="F40" s="230"/>
      <c r="G40" s="237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5.75" customHeight="1">
      <c r="A41" s="235"/>
      <c r="B41" s="229"/>
      <c r="C41" s="236"/>
      <c r="D41" s="230"/>
      <c r="E41" s="228"/>
      <c r="F41" s="230"/>
      <c r="G41" s="237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5.75" customHeight="1">
      <c r="A42" s="235"/>
      <c r="B42" s="229"/>
      <c r="C42" s="236"/>
      <c r="D42" s="230"/>
      <c r="E42" s="228"/>
      <c r="F42" s="230"/>
      <c r="G42" s="237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5.75" customHeight="1">
      <c r="A43" s="235"/>
      <c r="B43" s="229"/>
      <c r="C43" s="236"/>
      <c r="D43" s="230"/>
      <c r="E43" s="228"/>
      <c r="F43" s="230"/>
      <c r="G43" s="237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5.75" customHeight="1">
      <c r="A44" s="235"/>
      <c r="B44" s="229"/>
      <c r="C44" s="236"/>
      <c r="D44" s="230"/>
      <c r="E44" s="228"/>
      <c r="F44" s="230"/>
      <c r="G44" s="237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5.75" customHeight="1">
      <c r="A45" s="235"/>
      <c r="B45" s="229"/>
      <c r="C45" s="236"/>
      <c r="D45" s="230"/>
      <c r="E45" s="228"/>
      <c r="F45" s="230"/>
      <c r="G45" s="237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5.75" customHeight="1">
      <c r="A46" s="235"/>
      <c r="B46" s="229"/>
      <c r="C46" s="236"/>
      <c r="D46" s="230"/>
      <c r="E46" s="228"/>
      <c r="F46" s="230"/>
      <c r="G46" s="237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5.75" customHeight="1">
      <c r="A47" s="235"/>
      <c r="B47" s="229"/>
      <c r="C47" s="236"/>
      <c r="D47" s="230"/>
      <c r="E47" s="228"/>
      <c r="F47" s="230"/>
      <c r="G47" s="237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5.75" customHeight="1">
      <c r="A48" s="235"/>
      <c r="B48" s="229"/>
      <c r="C48" s="236"/>
      <c r="D48" s="230"/>
      <c r="E48" s="228"/>
      <c r="F48" s="230"/>
      <c r="G48" s="237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5.75" customHeight="1">
      <c r="A49" s="235"/>
      <c r="B49" s="229"/>
      <c r="C49" s="236"/>
      <c r="D49" s="230"/>
      <c r="E49" s="228"/>
      <c r="F49" s="230"/>
      <c r="G49" s="237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5.75" customHeight="1">
      <c r="A50" s="235"/>
      <c r="B50" s="229"/>
      <c r="C50" s="236"/>
      <c r="D50" s="230"/>
      <c r="E50" s="228"/>
      <c r="F50" s="230"/>
      <c r="G50" s="237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5.75" customHeight="1">
      <c r="A51" s="235"/>
      <c r="B51" s="229"/>
      <c r="C51" s="236"/>
      <c r="D51" s="230"/>
      <c r="E51" s="228"/>
      <c r="F51" s="230"/>
      <c r="G51" s="237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5.75" customHeight="1">
      <c r="A52" s="235"/>
      <c r="B52" s="229"/>
      <c r="C52" s="236"/>
      <c r="D52" s="230"/>
      <c r="E52" s="228"/>
      <c r="F52" s="230"/>
      <c r="G52" s="237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5.75" customHeight="1">
      <c r="A53" s="235"/>
      <c r="B53" s="229"/>
      <c r="C53" s="236"/>
      <c r="D53" s="230"/>
      <c r="E53" s="228"/>
      <c r="F53" s="230"/>
      <c r="G53" s="237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5.75" customHeight="1">
      <c r="A54" s="235"/>
      <c r="B54" s="229"/>
      <c r="C54" s="236"/>
      <c r="D54" s="230"/>
      <c r="E54" s="228"/>
      <c r="F54" s="230"/>
      <c r="G54" s="237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5.75" customHeight="1">
      <c r="A55" s="235"/>
      <c r="B55" s="229"/>
      <c r="C55" s="236"/>
      <c r="D55" s="230"/>
      <c r="E55" s="228"/>
      <c r="F55" s="230"/>
      <c r="G55" s="237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5.75" customHeight="1">
      <c r="A56" s="235"/>
      <c r="B56" s="229"/>
      <c r="C56" s="236"/>
      <c r="D56" s="230"/>
      <c r="E56" s="228"/>
      <c r="F56" s="230"/>
      <c r="G56" s="237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5.75" customHeight="1">
      <c r="A57" s="235"/>
      <c r="B57" s="229"/>
      <c r="C57" s="236"/>
      <c r="D57" s="230"/>
      <c r="E57" s="228"/>
      <c r="F57" s="230"/>
      <c r="G57" s="237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5.75" customHeight="1">
      <c r="A58" s="235"/>
      <c r="B58" s="229"/>
      <c r="C58" s="236"/>
      <c r="D58" s="230"/>
      <c r="E58" s="228"/>
      <c r="F58" s="230"/>
      <c r="G58" s="237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5.75" customHeight="1">
      <c r="A59" s="235"/>
      <c r="B59" s="229"/>
      <c r="C59" s="236"/>
      <c r="D59" s="230"/>
      <c r="E59" s="228"/>
      <c r="F59" s="230"/>
      <c r="G59" s="237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5.75" customHeight="1">
      <c r="A60" s="235"/>
      <c r="B60" s="229"/>
      <c r="C60" s="236"/>
      <c r="D60" s="230"/>
      <c r="E60" s="228"/>
      <c r="F60" s="230"/>
      <c r="G60" s="237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5.75" customHeight="1">
      <c r="A61" s="235"/>
      <c r="B61" s="229"/>
      <c r="C61" s="236"/>
      <c r="D61" s="230"/>
      <c r="E61" s="228"/>
      <c r="F61" s="230"/>
      <c r="G61" s="237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5.75" customHeight="1">
      <c r="A62" s="235"/>
      <c r="B62" s="229"/>
      <c r="C62" s="236"/>
      <c r="D62" s="230"/>
      <c r="E62" s="228"/>
      <c r="F62" s="230"/>
      <c r="G62" s="237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5.75" customHeight="1">
      <c r="A63" s="235"/>
      <c r="B63" s="229"/>
      <c r="C63" s="236"/>
      <c r="D63" s="230"/>
      <c r="E63" s="228"/>
      <c r="F63" s="230"/>
      <c r="G63" s="237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5.75" customHeight="1">
      <c r="A64" s="235"/>
      <c r="B64" s="229"/>
      <c r="C64" s="236"/>
      <c r="D64" s="230"/>
      <c r="E64" s="228"/>
      <c r="F64" s="230"/>
      <c r="G64" s="237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5.75" customHeight="1">
      <c r="A65" s="235"/>
      <c r="B65" s="229"/>
      <c r="C65" s="236"/>
      <c r="D65" s="230"/>
      <c r="E65" s="228"/>
      <c r="F65" s="230"/>
      <c r="G65" s="237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5.75" customHeight="1">
      <c r="A66" s="235"/>
      <c r="B66" s="229"/>
      <c r="C66" s="236"/>
      <c r="D66" s="230"/>
      <c r="E66" s="228"/>
      <c r="F66" s="230"/>
      <c r="G66" s="237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5.75" customHeight="1">
      <c r="A67" s="235"/>
      <c r="B67" s="229"/>
      <c r="C67" s="236"/>
      <c r="D67" s="230"/>
      <c r="E67" s="228"/>
      <c r="F67" s="230"/>
      <c r="G67" s="237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5.75" customHeight="1">
      <c r="A68" s="235"/>
      <c r="B68" s="229"/>
      <c r="C68" s="236"/>
      <c r="D68" s="230"/>
      <c r="E68" s="228"/>
      <c r="F68" s="230"/>
      <c r="G68" s="237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5.75" customHeight="1">
      <c r="A69" s="235"/>
      <c r="B69" s="229"/>
      <c r="C69" s="236"/>
      <c r="D69" s="230"/>
      <c r="E69" s="228"/>
      <c r="F69" s="230"/>
      <c r="G69" s="237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5.75" customHeight="1">
      <c r="A70" s="235"/>
      <c r="B70" s="229"/>
      <c r="C70" s="236"/>
      <c r="D70" s="230"/>
      <c r="E70" s="228"/>
      <c r="F70" s="230"/>
      <c r="G70" s="237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5.75" customHeight="1">
      <c r="A71" s="235"/>
      <c r="B71" s="229"/>
      <c r="C71" s="236"/>
      <c r="D71" s="230"/>
      <c r="E71" s="228"/>
      <c r="F71" s="230"/>
      <c r="G71" s="237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5.75" customHeight="1">
      <c r="A72" s="235"/>
      <c r="B72" s="229"/>
      <c r="C72" s="236"/>
      <c r="D72" s="230"/>
      <c r="E72" s="228"/>
      <c r="F72" s="230"/>
      <c r="G72" s="237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5.75" customHeight="1">
      <c r="A73" s="235"/>
      <c r="B73" s="229"/>
      <c r="C73" s="236"/>
      <c r="D73" s="230"/>
      <c r="E73" s="228"/>
      <c r="F73" s="230"/>
      <c r="G73" s="237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5.75" customHeight="1">
      <c r="A74" s="235"/>
      <c r="B74" s="229"/>
      <c r="C74" s="236"/>
      <c r="D74" s="230"/>
      <c r="E74" s="228"/>
      <c r="F74" s="230"/>
      <c r="G74" s="237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5.75" customHeight="1">
      <c r="A75" s="235"/>
      <c r="B75" s="229"/>
      <c r="C75" s="236"/>
      <c r="D75" s="230"/>
      <c r="E75" s="228"/>
      <c r="F75" s="230"/>
      <c r="G75" s="237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5.75" customHeight="1">
      <c r="A76" s="235"/>
      <c r="B76" s="229"/>
      <c r="C76" s="236"/>
      <c r="D76" s="230"/>
      <c r="E76" s="228"/>
      <c r="F76" s="230"/>
      <c r="G76" s="237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5.75" customHeight="1">
      <c r="A77" s="235"/>
      <c r="B77" s="229"/>
      <c r="C77" s="236"/>
      <c r="D77" s="230"/>
      <c r="E77" s="228"/>
      <c r="F77" s="230"/>
      <c r="G77" s="237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5.75" customHeight="1">
      <c r="A78" s="235"/>
      <c r="B78" s="229"/>
      <c r="C78" s="236"/>
      <c r="D78" s="230"/>
      <c r="E78" s="228"/>
      <c r="F78" s="230"/>
      <c r="G78" s="237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5.75" customHeight="1">
      <c r="A79" s="235"/>
      <c r="B79" s="229"/>
      <c r="C79" s="236"/>
      <c r="D79" s="230"/>
      <c r="E79" s="228"/>
      <c r="F79" s="230"/>
      <c r="G79" s="237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5.75" customHeight="1">
      <c r="A80" s="235"/>
      <c r="B80" s="229"/>
      <c r="C80" s="236"/>
      <c r="D80" s="230"/>
      <c r="E80" s="228"/>
      <c r="F80" s="230"/>
      <c r="G80" s="237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5.75" customHeight="1">
      <c r="A81" s="235"/>
      <c r="B81" s="229"/>
      <c r="C81" s="236"/>
      <c r="D81" s="230"/>
      <c r="E81" s="228"/>
      <c r="F81" s="230"/>
      <c r="G81" s="237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5.75" customHeight="1">
      <c r="A82" s="235"/>
      <c r="B82" s="229"/>
      <c r="C82" s="236"/>
      <c r="D82" s="230"/>
      <c r="E82" s="228"/>
      <c r="F82" s="230"/>
      <c r="G82" s="237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5.75" customHeight="1">
      <c r="A83" s="235"/>
      <c r="B83" s="229"/>
      <c r="C83" s="236"/>
      <c r="D83" s="230"/>
      <c r="E83" s="228"/>
      <c r="F83" s="230"/>
      <c r="G83" s="237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5.75" customHeight="1">
      <c r="A84" s="235"/>
      <c r="B84" s="229"/>
      <c r="C84" s="236"/>
      <c r="D84" s="230"/>
      <c r="E84" s="228"/>
      <c r="F84" s="230"/>
      <c r="G84" s="237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5.75" customHeight="1">
      <c r="A85" s="235"/>
      <c r="B85" s="229"/>
      <c r="C85" s="236"/>
      <c r="D85" s="230"/>
      <c r="E85" s="228"/>
      <c r="F85" s="230"/>
      <c r="G85" s="237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5.75" customHeight="1">
      <c r="A86" s="235"/>
      <c r="B86" s="229"/>
      <c r="C86" s="236"/>
      <c r="D86" s="230"/>
      <c r="E86" s="228"/>
      <c r="F86" s="230"/>
      <c r="G86" s="237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5.75" customHeight="1">
      <c r="A87" s="235"/>
      <c r="B87" s="229"/>
      <c r="C87" s="236"/>
      <c r="D87" s="230"/>
      <c r="E87" s="228"/>
      <c r="F87" s="230"/>
      <c r="G87" s="237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5.75" customHeight="1">
      <c r="A88" s="235"/>
      <c r="B88" s="229"/>
      <c r="C88" s="236"/>
      <c r="D88" s="230"/>
      <c r="E88" s="228"/>
      <c r="F88" s="230"/>
      <c r="G88" s="237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5.75" customHeight="1">
      <c r="A89" s="235"/>
      <c r="B89" s="229"/>
      <c r="C89" s="236"/>
      <c r="D89" s="230"/>
      <c r="E89" s="228"/>
      <c r="F89" s="230"/>
      <c r="G89" s="237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5.75" customHeight="1">
      <c r="A90" s="235"/>
      <c r="B90" s="229"/>
      <c r="C90" s="236"/>
      <c r="D90" s="230"/>
      <c r="E90" s="228"/>
      <c r="F90" s="230"/>
      <c r="G90" s="237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5.75" customHeight="1">
      <c r="A91" s="235"/>
      <c r="B91" s="229"/>
      <c r="C91" s="236"/>
      <c r="D91" s="230"/>
      <c r="E91" s="228"/>
      <c r="F91" s="230"/>
      <c r="G91" s="237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5.75" customHeight="1">
      <c r="A92" s="235"/>
      <c r="B92" s="229"/>
      <c r="C92" s="236"/>
      <c r="D92" s="230"/>
      <c r="E92" s="228"/>
      <c r="F92" s="230"/>
      <c r="G92" s="237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5.75" customHeight="1">
      <c r="A93" s="235"/>
      <c r="B93" s="229"/>
      <c r="C93" s="236"/>
      <c r="D93" s="230"/>
      <c r="E93" s="228"/>
      <c r="F93" s="230"/>
      <c r="G93" s="237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5.75" customHeight="1">
      <c r="A94" s="235"/>
      <c r="B94" s="229"/>
      <c r="C94" s="236"/>
      <c r="D94" s="230"/>
      <c r="E94" s="228"/>
      <c r="F94" s="230"/>
      <c r="G94" s="237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5.75" customHeight="1">
      <c r="A95" s="235"/>
      <c r="B95" s="229"/>
      <c r="C95" s="236"/>
      <c r="D95" s="230"/>
      <c r="E95" s="228"/>
      <c r="F95" s="230"/>
      <c r="G95" s="237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5.75" customHeight="1">
      <c r="A96" s="235"/>
      <c r="B96" s="229"/>
      <c r="C96" s="236"/>
      <c r="D96" s="230"/>
      <c r="E96" s="228"/>
      <c r="F96" s="230"/>
      <c r="G96" s="237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5.75" customHeight="1">
      <c r="A97" s="235"/>
      <c r="B97" s="229"/>
      <c r="C97" s="236"/>
      <c r="D97" s="230"/>
      <c r="E97" s="228"/>
      <c r="F97" s="230"/>
      <c r="G97" s="237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5.75" customHeight="1">
      <c r="A98" s="235"/>
      <c r="B98" s="229"/>
      <c r="C98" s="236"/>
      <c r="D98" s="230"/>
      <c r="E98" s="228"/>
      <c r="F98" s="230"/>
      <c r="G98" s="237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5.75" customHeight="1">
      <c r="A99" s="235"/>
      <c r="B99" s="229"/>
      <c r="C99" s="236"/>
      <c r="D99" s="230"/>
      <c r="E99" s="228"/>
      <c r="F99" s="230"/>
      <c r="G99" s="237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5.75" customHeight="1">
      <c r="A100" s="235"/>
      <c r="B100" s="229"/>
      <c r="C100" s="236"/>
      <c r="D100" s="230"/>
      <c r="E100" s="228"/>
      <c r="F100" s="230"/>
      <c r="G100" s="237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5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5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5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5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5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5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5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5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5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5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5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5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5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5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5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5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5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5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5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5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5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5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5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5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5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5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5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5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5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5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5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5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5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5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5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5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5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5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5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5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5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5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5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5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5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5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5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5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5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5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5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5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5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5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5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5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5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5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5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5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5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5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5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5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5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5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5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5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5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5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5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5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5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5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5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5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5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5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5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5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5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5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5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5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5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5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5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5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5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5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5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5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5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5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5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5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5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5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5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5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5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5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5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5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5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5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5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5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5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5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5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5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5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5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5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5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5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5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5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5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3:D100">
    <cfRule type="containsText" dxfId="4" priority="1" operator="containsText" text="Alta">
      <formula>NOT(ISERROR(SEARCH(("Alta"),(D3))))</formula>
    </cfRule>
  </conditionalFormatting>
  <conditionalFormatting sqref="D3:D100">
    <cfRule type="containsText" dxfId="5" priority="2" operator="containsText" text="Baixa">
      <formula>NOT(ISERROR(SEARCH(("Baixa"),(D3))))</formula>
    </cfRule>
  </conditionalFormatting>
  <conditionalFormatting sqref="A3:F100">
    <cfRule type="cellIs" dxfId="1" priority="3" operator="equal">
      <formula>0</formula>
    </cfRule>
  </conditionalFormatting>
  <conditionalFormatting sqref="A1">
    <cfRule type="cellIs" dxfId="1" priority="4" operator="equal">
      <formula>0</formula>
    </cfRule>
  </conditionalFormatting>
  <conditionalFormatting sqref="B1">
    <cfRule type="cellIs" dxfId="1" priority="5" operator="equal">
      <formula>0</formula>
    </cfRule>
  </conditionalFormatting>
  <conditionalFormatting sqref="E1">
    <cfRule type="cellIs" dxfId="1" priority="6" operator="equal">
      <formula>0</formula>
    </cfRule>
  </conditionalFormatting>
  <dataValidations>
    <dataValidation type="decimal" allowBlank="1" showErrorMessage="1" sqref="A3:A100">
      <formula1>1.0</formula1>
      <formula2>7.0</formula2>
    </dataValidation>
    <dataValidation type="list" allowBlank="1" showErrorMessage="1" sqref="D3:D100">
      <formula1>"Alta,Média,Baixa"</formula1>
    </dataValidation>
    <dataValidation type="decimal" operator="greaterThan" allowBlank="1" showDropDown="1" showErrorMessage="1" sqref="E1">
      <formula1>0.0</formula1>
    </dataValidation>
    <dataValidation type="list" allowBlank="1" sqref="H3:H12 F3:F100">
      <formula1>alunos</formula1>
    </dataValidation>
    <dataValidation type="decimal" allowBlank="1" showDropDown="1" showInputMessage="1" showErrorMessage="1" prompt="Pontuação inválida - Inserir valor entre 1 e 21" sqref="E3:E100">
      <formula1>0.0</formula1>
      <formula2>21.0</formula2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6.86"/>
    <col customWidth="1" min="2" max="2" width="5.14"/>
    <col customWidth="1" min="3" max="3" width="42.71"/>
    <col customWidth="1" min="4" max="4" width="12.14"/>
    <col customWidth="1" min="5" max="5" width="8.71"/>
    <col customWidth="1" min="6" max="6" width="16.29"/>
    <col customWidth="1" min="7" max="9" width="14.43"/>
    <col customWidth="1" min="10" max="10" width="9.29"/>
    <col customWidth="1" min="11" max="11" width="6.71"/>
    <col customWidth="1" min="12" max="12" width="15.57"/>
    <col customWidth="1" min="13" max="13" width="16.71"/>
    <col customWidth="1" min="14" max="14" width="16.29"/>
    <col customWidth="1" min="15" max="15" width="19.57"/>
  </cols>
  <sheetData>
    <row r="1" ht="15.75" customHeight="1">
      <c r="A1" s="222"/>
      <c r="B1" s="223">
        <f>SUBTOTAL(4,B$2:B$1000)</f>
        <v>0</v>
      </c>
      <c r="C1" s="224" t="s">
        <v>231</v>
      </c>
      <c r="D1" s="40"/>
      <c r="E1" s="222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 ht="15.75" customHeight="1">
      <c r="A2" s="225" t="s">
        <v>224</v>
      </c>
      <c r="B2" s="225" t="s">
        <v>225</v>
      </c>
      <c r="C2" s="225" t="s">
        <v>226</v>
      </c>
      <c r="D2" s="225" t="s">
        <v>227</v>
      </c>
      <c r="E2" s="225" t="s">
        <v>228</v>
      </c>
      <c r="F2" s="225" t="s">
        <v>229</v>
      </c>
      <c r="G2" s="225" t="s">
        <v>232</v>
      </c>
      <c r="H2" s="225" t="s">
        <v>233</v>
      </c>
      <c r="I2" s="225" t="s">
        <v>2</v>
      </c>
      <c r="J2" s="238" t="s">
        <v>234</v>
      </c>
      <c r="K2" s="239"/>
      <c r="L2" s="227" t="s">
        <v>229</v>
      </c>
      <c r="M2" s="227" t="s">
        <v>204</v>
      </c>
      <c r="N2" s="227" t="s">
        <v>235</v>
      </c>
      <c r="O2" s="227" t="s">
        <v>236</v>
      </c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ht="15.75" customHeight="1">
      <c r="A3" s="228"/>
      <c r="B3" s="229"/>
      <c r="C3" s="230"/>
      <c r="D3" s="230"/>
      <c r="E3" s="228"/>
      <c r="F3" s="230"/>
      <c r="G3" s="230"/>
      <c r="H3" s="230"/>
      <c r="I3" s="240"/>
      <c r="J3" s="241" t="b">
        <f>1=COUNTIFS(BacklogPlanejado!C:C,BacklogRealizado!$C3,BacklogPlanejado!A:A,BacklogRealizado!$A3,BacklogPlanejado!B:B,BacklogRealizado!$B3,BacklogPlanejado!E:E,BacklogRealizado!$E3)</f>
        <v>0</v>
      </c>
      <c r="K3" s="242"/>
      <c r="L3" s="232" t="str">
        <f>'Notas_Frequência'!$A17</f>
        <v>fabio.vieira</v>
      </c>
      <c r="M3" s="233">
        <f t="shared" ref="M3:M12" si="1">SUMIFS(  $E:$E, $F:$F,$L3)</f>
        <v>0</v>
      </c>
      <c r="N3" s="233">
        <f t="shared" ref="N3:N12" si="2">SUMIFS($E:$E,$F:$F,$L3,$G:$G,"Concluída")</f>
        <v>0</v>
      </c>
      <c r="O3" s="243" t="str">
        <f t="shared" ref="O3:O12" si="3">IF(ISERR(N3/M3),"",N3/M3)</f>
        <v/>
      </c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ht="15.75" customHeight="1">
      <c r="A4" s="228"/>
      <c r="B4" s="229"/>
      <c r="C4" s="230"/>
      <c r="D4" s="230"/>
      <c r="E4" s="228"/>
      <c r="F4" s="230"/>
      <c r="G4" s="230"/>
      <c r="H4" s="230"/>
      <c r="I4" s="240"/>
      <c r="J4" s="241" t="b">
        <f>1=COUNTIFS(BacklogPlanejado!C:C,BacklogRealizado!$C4,BacklogPlanejado!A:A,BacklogRealizado!$A4,BacklogPlanejado!B:B,BacklogRealizado!$B4,BacklogPlanejado!E:E,BacklogRealizado!$E4)</f>
        <v>0</v>
      </c>
      <c r="K4" s="242"/>
      <c r="L4" s="232" t="str">
        <f>'Notas_Frequência'!$A18</f>
        <v>victoria.mendes</v>
      </c>
      <c r="M4" s="233">
        <f t="shared" si="1"/>
        <v>0</v>
      </c>
      <c r="N4" s="233">
        <f t="shared" si="2"/>
        <v>0</v>
      </c>
      <c r="O4" s="243" t="str">
        <f t="shared" si="3"/>
        <v/>
      </c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r="5" ht="15.75" customHeight="1">
      <c r="A5" s="228"/>
      <c r="B5" s="229"/>
      <c r="C5" s="230"/>
      <c r="D5" s="230"/>
      <c r="E5" s="228"/>
      <c r="F5" s="230"/>
      <c r="G5" s="230"/>
      <c r="H5" s="230"/>
      <c r="I5" s="240"/>
      <c r="J5" s="241" t="b">
        <f>1=COUNTIFS(BacklogPlanejado!C:C,BacklogRealizado!$C5,BacklogPlanejado!A:A,BacklogRealizado!$A5,BacklogPlanejado!B:B,BacklogRealizado!$B5,BacklogPlanejado!E:E,BacklogRealizado!$E5)</f>
        <v>0</v>
      </c>
      <c r="K5" s="242"/>
      <c r="L5" s="232" t="str">
        <f>'Notas_Frequência'!$A19</f>
        <v>edevilson.silva</v>
      </c>
      <c r="M5" s="233">
        <f t="shared" si="1"/>
        <v>0</v>
      </c>
      <c r="N5" s="233">
        <f t="shared" si="2"/>
        <v>0</v>
      </c>
      <c r="O5" s="243" t="str">
        <f t="shared" si="3"/>
        <v/>
      </c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ht="15.75" customHeight="1">
      <c r="A6" s="228"/>
      <c r="B6" s="229"/>
      <c r="C6" s="230"/>
      <c r="D6" s="230"/>
      <c r="E6" s="228"/>
      <c r="F6" s="230"/>
      <c r="G6" s="230"/>
      <c r="H6" s="230"/>
      <c r="I6" s="240"/>
      <c r="J6" s="241" t="b">
        <f>1=COUNTIFS(BacklogPlanejado!C:C,BacklogRealizado!$C6,BacklogPlanejado!A:A,BacklogRealizado!$A6,BacklogPlanejado!B:B,BacklogRealizado!$B6,BacklogPlanejado!E:E,BacklogRealizado!$E6)</f>
        <v>0</v>
      </c>
      <c r="K6" s="242"/>
      <c r="L6" s="232" t="str">
        <f>'Notas_Frequência'!$A20</f>
        <v>paulo.leone</v>
      </c>
      <c r="M6" s="233">
        <f t="shared" si="1"/>
        <v>0</v>
      </c>
      <c r="N6" s="233">
        <f t="shared" si="2"/>
        <v>0</v>
      </c>
      <c r="O6" s="243" t="str">
        <f t="shared" si="3"/>
        <v/>
      </c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r="7" ht="15.75" customHeight="1">
      <c r="A7" s="228"/>
      <c r="B7" s="229"/>
      <c r="C7" s="230"/>
      <c r="D7" s="230"/>
      <c r="E7" s="228"/>
      <c r="F7" s="230"/>
      <c r="G7" s="230"/>
      <c r="H7" s="244"/>
      <c r="I7" s="240"/>
      <c r="J7" s="241" t="b">
        <f>1=COUNTIFS(BacklogPlanejado!C:C,BacklogRealizado!$C7,BacklogPlanejado!A:A,BacklogRealizado!$A7,BacklogPlanejado!B:B,BacklogRealizado!$B7,BacklogPlanejado!E:E,BacklogRealizado!$E7)</f>
        <v>0</v>
      </c>
      <c r="K7" s="242"/>
      <c r="L7" s="232" t="str">
        <f>'Notas_Frequência'!$A21</f>
        <v>jessica.ribeiro</v>
      </c>
      <c r="M7" s="233">
        <f t="shared" si="1"/>
        <v>0</v>
      </c>
      <c r="N7" s="233">
        <f t="shared" si="2"/>
        <v>0</v>
      </c>
      <c r="O7" s="243" t="str">
        <f t="shared" si="3"/>
        <v/>
      </c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r="8" ht="15.75" customHeight="1">
      <c r="A8" s="228"/>
      <c r="B8" s="229"/>
      <c r="C8" s="230"/>
      <c r="D8" s="230"/>
      <c r="E8" s="228"/>
      <c r="F8" s="230"/>
      <c r="G8" s="230"/>
      <c r="H8" s="244"/>
      <c r="I8" s="240"/>
      <c r="J8" s="241" t="b">
        <f>1=COUNTIFS(BacklogPlanejado!C:C,BacklogRealizado!$C8,BacklogPlanejado!A:A,BacklogRealizado!$A8,BacklogPlanejado!B:B,BacklogRealizado!$B8,BacklogPlanejado!E:E,BacklogRealizado!$E8)</f>
        <v>0</v>
      </c>
      <c r="K8" s="242"/>
      <c r="L8" s="232" t="str">
        <f>'Notas_Frequência'!$A22</f>
        <v/>
      </c>
      <c r="M8" s="233">
        <f t="shared" si="1"/>
        <v>0</v>
      </c>
      <c r="N8" s="233">
        <f t="shared" si="2"/>
        <v>0</v>
      </c>
      <c r="O8" s="243" t="str">
        <f t="shared" si="3"/>
        <v/>
      </c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r="9" ht="15.75" customHeight="1">
      <c r="A9" s="228"/>
      <c r="B9" s="229"/>
      <c r="C9" s="230"/>
      <c r="D9" s="230"/>
      <c r="E9" s="228"/>
      <c r="F9" s="230"/>
      <c r="G9" s="230"/>
      <c r="H9" s="244"/>
      <c r="I9" s="240"/>
      <c r="J9" s="241" t="b">
        <f>1=COUNTIFS(BacklogPlanejado!C:C,BacklogRealizado!$C9,BacklogPlanejado!A:A,BacklogRealizado!$A9,BacklogPlanejado!B:B,BacklogRealizado!$B9,BacklogPlanejado!E:E,BacklogRealizado!$E9)</f>
        <v>0</v>
      </c>
      <c r="K9" s="242"/>
      <c r="L9" s="232" t="str">
        <f>'Notas_Frequência'!$A23</f>
        <v/>
      </c>
      <c r="M9" s="233">
        <f t="shared" si="1"/>
        <v>0</v>
      </c>
      <c r="N9" s="233">
        <f t="shared" si="2"/>
        <v>0</v>
      </c>
      <c r="O9" s="243" t="str">
        <f t="shared" si="3"/>
        <v/>
      </c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</row>
    <row r="10" ht="15.75" customHeight="1">
      <c r="A10" s="228"/>
      <c r="B10" s="229"/>
      <c r="C10" s="230"/>
      <c r="D10" s="230"/>
      <c r="E10" s="228"/>
      <c r="F10" s="230"/>
      <c r="G10" s="230"/>
      <c r="H10" s="244"/>
      <c r="I10" s="240"/>
      <c r="J10" s="241" t="b">
        <f>1=COUNTIFS(BacklogPlanejado!C:C,BacklogRealizado!$C10,BacklogPlanejado!A:A,BacklogRealizado!$A10,BacklogPlanejado!B:B,BacklogRealizado!$B10,BacklogPlanejado!E:E,BacklogRealizado!$E10)</f>
        <v>0</v>
      </c>
      <c r="K10" s="242"/>
      <c r="L10" s="232" t="str">
        <f>'Notas_Frequência'!$A24</f>
        <v/>
      </c>
      <c r="M10" s="233">
        <f t="shared" si="1"/>
        <v>0</v>
      </c>
      <c r="N10" s="233">
        <f t="shared" si="2"/>
        <v>0</v>
      </c>
      <c r="O10" s="243" t="str">
        <f t="shared" si="3"/>
        <v/>
      </c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 ht="15.75" customHeight="1">
      <c r="A11" s="228"/>
      <c r="B11" s="229"/>
      <c r="C11" s="230"/>
      <c r="D11" s="230"/>
      <c r="E11" s="228"/>
      <c r="F11" s="230"/>
      <c r="G11" s="230"/>
      <c r="H11" s="244"/>
      <c r="I11" s="240"/>
      <c r="J11" s="241" t="b">
        <f>1=COUNTIFS(BacklogPlanejado!C:C,BacklogRealizado!$C11,BacklogPlanejado!A:A,BacklogRealizado!$A11,BacklogPlanejado!B:B,BacklogRealizado!$B11,BacklogPlanejado!E:E,BacklogRealizado!$E11)</f>
        <v>0</v>
      </c>
      <c r="K11" s="242"/>
      <c r="L11" s="232" t="str">
        <f>'Notas_Frequência'!$A25</f>
        <v/>
      </c>
      <c r="M11" s="233">
        <f t="shared" si="1"/>
        <v>0</v>
      </c>
      <c r="N11" s="233">
        <f t="shared" si="2"/>
        <v>0</v>
      </c>
      <c r="O11" s="243" t="str">
        <f t="shared" si="3"/>
        <v/>
      </c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 ht="15.75" customHeight="1">
      <c r="A12" s="228"/>
      <c r="B12" s="229"/>
      <c r="C12" s="230"/>
      <c r="D12" s="230"/>
      <c r="E12" s="228"/>
      <c r="F12" s="230"/>
      <c r="G12" s="230"/>
      <c r="H12" s="244"/>
      <c r="I12" s="240"/>
      <c r="J12" s="241" t="b">
        <f>1=COUNTIFS(BacklogPlanejado!C:C,BacklogRealizado!$C12,BacklogPlanejado!A:A,BacklogRealizado!$A12,BacklogPlanejado!B:B,BacklogRealizado!$B12,BacklogPlanejado!E:E,BacklogRealizado!$E12)</f>
        <v>0</v>
      </c>
      <c r="K12" s="242"/>
      <c r="L12" s="232" t="str">
        <f>'Notas_Frequência'!$A26</f>
        <v/>
      </c>
      <c r="M12" s="233">
        <f t="shared" si="1"/>
        <v>0</v>
      </c>
      <c r="N12" s="233">
        <f t="shared" si="2"/>
        <v>0</v>
      </c>
      <c r="O12" s="243" t="str">
        <f t="shared" si="3"/>
        <v/>
      </c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ht="15.75" customHeight="1">
      <c r="A13" s="228"/>
      <c r="B13" s="229"/>
      <c r="C13" s="230"/>
      <c r="D13" s="230"/>
      <c r="E13" s="228"/>
      <c r="F13" s="230"/>
      <c r="G13" s="230"/>
      <c r="H13" s="244"/>
      <c r="I13" s="240"/>
      <c r="J13" s="241" t="b">
        <f>1=COUNTIFS(BacklogPlanejado!C:C,BacklogRealizado!$C13,BacklogPlanejado!A:A,BacklogRealizado!$A13,BacklogPlanejado!B:B,BacklogRealizado!$B13,BacklogPlanejado!E:E,BacklogRealizado!$E13)</f>
        <v>0</v>
      </c>
      <c r="K13" s="242"/>
      <c r="L13" s="234" t="s">
        <v>230</v>
      </c>
      <c r="M13" s="234">
        <f>SUM(M3:M12)</f>
        <v>0</v>
      </c>
      <c r="N13" s="234">
        <f>SUMIFS(E:E,G:G,"Concluída")</f>
        <v>0</v>
      </c>
      <c r="O13" s="245">
        <f>if(M13,N13/M13,0)</f>
        <v>0</v>
      </c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 ht="15.75" customHeight="1">
      <c r="A14" s="228"/>
      <c r="B14" s="229"/>
      <c r="C14" s="230"/>
      <c r="D14" s="230"/>
      <c r="E14" s="228"/>
      <c r="F14" s="230"/>
      <c r="G14" s="230"/>
      <c r="H14" s="244"/>
      <c r="I14" s="240"/>
      <c r="J14" s="241" t="b">
        <f>1=COUNTIFS(BacklogPlanejado!C:C,BacklogRealizado!$C14,BacklogPlanejado!A:A,BacklogRealizado!$A14,BacklogPlanejado!B:B,BacklogRealizado!$B14,BacklogPlanejado!E:E,BacklogRealizado!$E14)</f>
        <v>0</v>
      </c>
      <c r="K14" s="242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ht="15.75" customHeight="1">
      <c r="A15" s="228"/>
      <c r="B15" s="229"/>
      <c r="C15" s="230"/>
      <c r="D15" s="230"/>
      <c r="E15" s="228"/>
      <c r="F15" s="230"/>
      <c r="G15" s="230"/>
      <c r="H15" s="244"/>
      <c r="I15" s="240"/>
      <c r="J15" s="241" t="b">
        <f>1=COUNTIFS(BacklogPlanejado!C:C,BacklogRealizado!$C15,BacklogPlanejado!A:A,BacklogRealizado!$A15,BacklogPlanejado!B:B,BacklogRealizado!$B15,BacklogPlanejado!E:E,BacklogRealizado!$E15)</f>
        <v>0</v>
      </c>
      <c r="K15" s="242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ht="15.75" customHeight="1">
      <c r="A16" s="228"/>
      <c r="B16" s="229"/>
      <c r="C16" s="230"/>
      <c r="D16" s="230"/>
      <c r="E16" s="228"/>
      <c r="F16" s="230"/>
      <c r="G16" s="230"/>
      <c r="H16" s="244"/>
      <c r="I16" s="240"/>
      <c r="J16" s="241" t="b">
        <f>1=COUNTIFS(BacklogPlanejado!C:C,BacklogRealizado!$C16,BacklogPlanejado!A:A,BacklogRealizado!$A16,BacklogPlanejado!B:B,BacklogRealizado!$B16,BacklogPlanejado!E:E,BacklogRealizado!$E16)</f>
        <v>0</v>
      </c>
      <c r="K16" s="242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ht="15.75" customHeight="1">
      <c r="A17" s="228"/>
      <c r="B17" s="229"/>
      <c r="C17" s="230"/>
      <c r="D17" s="230"/>
      <c r="E17" s="228"/>
      <c r="F17" s="230"/>
      <c r="G17" s="230"/>
      <c r="H17" s="244"/>
      <c r="I17" s="240"/>
      <c r="J17" s="241" t="b">
        <f>1=COUNTIFS(BacklogPlanejado!C:C,BacklogRealizado!$C17,BacklogPlanejado!A:A,BacklogRealizado!$A17,BacklogPlanejado!B:B,BacklogRealizado!$B17,BacklogPlanejado!E:E,BacklogRealizado!$E17)</f>
        <v>0</v>
      </c>
      <c r="K17" s="242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ht="15.75" customHeight="1">
      <c r="A18" s="228"/>
      <c r="B18" s="229"/>
      <c r="C18" s="230"/>
      <c r="D18" s="230"/>
      <c r="E18" s="228"/>
      <c r="F18" s="230"/>
      <c r="G18" s="230"/>
      <c r="H18" s="244"/>
      <c r="I18" s="240"/>
      <c r="J18" s="241" t="b">
        <f>1=COUNTIFS(BacklogPlanejado!C:C,BacklogRealizado!$C18,BacklogPlanejado!A:A,BacklogRealizado!$A18,BacklogPlanejado!B:B,BacklogRealizado!$B18,BacklogPlanejado!E:E,BacklogRealizado!$E18)</f>
        <v>0</v>
      </c>
      <c r="K18" s="242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 ht="15.75" customHeight="1">
      <c r="A19" s="228"/>
      <c r="B19" s="229"/>
      <c r="C19" s="230"/>
      <c r="D19" s="230"/>
      <c r="E19" s="228"/>
      <c r="F19" s="230"/>
      <c r="G19" s="230"/>
      <c r="H19" s="244"/>
      <c r="I19" s="240"/>
      <c r="J19" s="241" t="b">
        <f>1=COUNTIFS(BacklogPlanejado!C:C,BacklogRealizado!$C19,BacklogPlanejado!A:A,BacklogRealizado!$A19,BacklogPlanejado!B:B,BacklogRealizado!$B19,BacklogPlanejado!E:E,BacklogRealizado!$E19)</f>
        <v>0</v>
      </c>
      <c r="K19" s="242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 ht="15.75" customHeight="1">
      <c r="A20" s="228"/>
      <c r="B20" s="229"/>
      <c r="C20" s="230"/>
      <c r="D20" s="230"/>
      <c r="E20" s="228"/>
      <c r="F20" s="230"/>
      <c r="G20" s="230"/>
      <c r="H20" s="244"/>
      <c r="I20" s="240"/>
      <c r="J20" s="241" t="b">
        <f>1=COUNTIFS(BacklogPlanejado!C:C,BacklogRealizado!$C20,BacklogPlanejado!A:A,BacklogRealizado!$A20,BacklogPlanejado!B:B,BacklogRealizado!$B20,BacklogPlanejado!E:E,BacklogRealizado!$E20)</f>
        <v>0</v>
      </c>
      <c r="K20" s="242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 ht="15.75" customHeight="1">
      <c r="A21" s="228"/>
      <c r="B21" s="229"/>
      <c r="C21" s="230"/>
      <c r="D21" s="230"/>
      <c r="E21" s="228"/>
      <c r="F21" s="230"/>
      <c r="G21" s="230"/>
      <c r="H21" s="244"/>
      <c r="I21" s="240"/>
      <c r="J21" s="241" t="b">
        <f>1=COUNTIFS(BacklogPlanejado!C:C,BacklogRealizado!$C21,BacklogPlanejado!A:A,BacklogRealizado!$A21,BacklogPlanejado!B:B,BacklogRealizado!$B21,BacklogPlanejado!E:E,BacklogRealizado!$E21)</f>
        <v>0</v>
      </c>
      <c r="K21" s="242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 ht="15.75" customHeight="1">
      <c r="A22" s="228"/>
      <c r="B22" s="229"/>
      <c r="C22" s="230"/>
      <c r="D22" s="230"/>
      <c r="E22" s="228"/>
      <c r="F22" s="230"/>
      <c r="G22" s="230"/>
      <c r="H22" s="244"/>
      <c r="I22" s="240"/>
      <c r="J22" s="241" t="b">
        <f>1=COUNTIFS(BacklogPlanejado!C:C,BacklogRealizado!$C22,BacklogPlanejado!A:A,BacklogRealizado!$A22,BacklogPlanejado!B:B,BacklogRealizado!$B22,BacklogPlanejado!E:E,BacklogRealizado!$E22)</f>
        <v>0</v>
      </c>
      <c r="K22" s="242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 ht="15.75" customHeight="1">
      <c r="A23" s="228"/>
      <c r="B23" s="229"/>
      <c r="C23" s="230"/>
      <c r="D23" s="230"/>
      <c r="E23" s="228"/>
      <c r="F23" s="230"/>
      <c r="G23" s="230"/>
      <c r="H23" s="244"/>
      <c r="I23" s="240"/>
      <c r="J23" s="241" t="b">
        <f>1=COUNTIFS(BacklogPlanejado!C:C,BacklogRealizado!$C23,BacklogPlanejado!A:A,BacklogRealizado!$A23,BacklogPlanejado!B:B,BacklogRealizado!$B23,BacklogPlanejado!E:E,BacklogRealizado!$E23)</f>
        <v>0</v>
      </c>
      <c r="K23" s="242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 ht="15.75" customHeight="1">
      <c r="A24" s="228"/>
      <c r="B24" s="229"/>
      <c r="C24" s="230"/>
      <c r="D24" s="230"/>
      <c r="E24" s="228"/>
      <c r="F24" s="230"/>
      <c r="G24" s="230"/>
      <c r="H24" s="244"/>
      <c r="I24" s="240"/>
      <c r="J24" s="241" t="b">
        <f>1=COUNTIFS(BacklogPlanejado!C:C,BacklogRealizado!$C24,BacklogPlanejado!A:A,BacklogRealizado!$A24,BacklogPlanejado!B:B,BacklogRealizado!$B24,BacklogPlanejado!E:E,BacklogRealizado!$E24)</f>
        <v>0</v>
      </c>
      <c r="K24" s="242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 ht="15.75" customHeight="1">
      <c r="A25" s="228"/>
      <c r="B25" s="229"/>
      <c r="C25" s="230"/>
      <c r="D25" s="230"/>
      <c r="E25" s="228"/>
      <c r="F25" s="230"/>
      <c r="G25" s="230"/>
      <c r="H25" s="244"/>
      <c r="I25" s="240"/>
      <c r="J25" s="241" t="b">
        <f>1=COUNTIFS(BacklogPlanejado!C:C,BacklogRealizado!$C25,BacklogPlanejado!A:A,BacklogRealizado!$A25,BacklogPlanejado!B:B,BacklogRealizado!$B25,BacklogPlanejado!E:E,BacklogRealizado!$E25)</f>
        <v>0</v>
      </c>
      <c r="K25" s="242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 ht="15.75" customHeight="1">
      <c r="A26" s="228"/>
      <c r="B26" s="229"/>
      <c r="C26" s="230"/>
      <c r="D26" s="230"/>
      <c r="E26" s="228"/>
      <c r="F26" s="230"/>
      <c r="G26" s="230"/>
      <c r="H26" s="244"/>
      <c r="I26" s="240"/>
      <c r="J26" s="241" t="b">
        <f>1=COUNTIFS(BacklogPlanejado!C:C,BacklogRealizado!$C26,BacklogPlanejado!A:A,BacklogRealizado!$A26,BacklogPlanejado!B:B,BacklogRealizado!$B26,BacklogPlanejado!E:E,BacklogRealizado!$E26)</f>
        <v>0</v>
      </c>
      <c r="K26" s="242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 ht="15.75" customHeight="1">
      <c r="A27" s="228"/>
      <c r="B27" s="229"/>
      <c r="C27" s="230"/>
      <c r="D27" s="230"/>
      <c r="E27" s="228"/>
      <c r="F27" s="230"/>
      <c r="G27" s="230"/>
      <c r="H27" s="244"/>
      <c r="I27" s="240"/>
      <c r="J27" s="241" t="b">
        <f>1=COUNTIFS(BacklogPlanejado!C:C,BacklogRealizado!$C27,BacklogPlanejado!A:A,BacklogRealizado!$A27,BacklogPlanejado!B:B,BacklogRealizado!$B27,BacklogPlanejado!E:E,BacklogRealizado!$E27)</f>
        <v>0</v>
      </c>
      <c r="K27" s="242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 ht="15.75" customHeight="1">
      <c r="A28" s="228"/>
      <c r="B28" s="229"/>
      <c r="C28" s="230"/>
      <c r="D28" s="230"/>
      <c r="E28" s="228"/>
      <c r="F28" s="230"/>
      <c r="G28" s="230"/>
      <c r="H28" s="244"/>
      <c r="I28" s="240"/>
      <c r="J28" s="241" t="b">
        <f>1=COUNTIFS(BacklogPlanejado!C:C,BacklogRealizado!$C28,BacklogPlanejado!A:A,BacklogRealizado!$A28,BacklogPlanejado!B:B,BacklogRealizado!$B28,BacklogPlanejado!E:E,BacklogRealizado!$E28)</f>
        <v>0</v>
      </c>
      <c r="K28" s="242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 ht="15.75" customHeight="1">
      <c r="A29" s="228"/>
      <c r="B29" s="229"/>
      <c r="C29" s="230"/>
      <c r="D29" s="230"/>
      <c r="E29" s="228"/>
      <c r="F29" s="230"/>
      <c r="G29" s="230"/>
      <c r="H29" s="244"/>
      <c r="I29" s="240"/>
      <c r="J29" s="241" t="b">
        <f>1=COUNTIFS(BacklogPlanejado!C:C,BacklogRealizado!$C29,BacklogPlanejado!A:A,BacklogRealizado!$A29,BacklogPlanejado!B:B,BacklogRealizado!$B29,BacklogPlanejado!E:E,BacklogRealizado!$E29)</f>
        <v>0</v>
      </c>
      <c r="K29" s="242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 ht="15.75" customHeight="1">
      <c r="A30" s="228"/>
      <c r="B30" s="229"/>
      <c r="C30" s="230"/>
      <c r="D30" s="230"/>
      <c r="E30" s="228"/>
      <c r="F30" s="230"/>
      <c r="G30" s="230"/>
      <c r="H30" s="244"/>
      <c r="I30" s="240"/>
      <c r="J30" s="241" t="b">
        <f>1=COUNTIFS(BacklogPlanejado!C:C,BacklogRealizado!$C30,BacklogPlanejado!A:A,BacklogRealizado!$A30,BacklogPlanejado!B:B,BacklogRealizado!$B30,BacklogPlanejado!E:E,BacklogRealizado!$E30)</f>
        <v>0</v>
      </c>
      <c r="K30" s="242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 ht="15.75" customHeight="1">
      <c r="A31" s="228"/>
      <c r="B31" s="229"/>
      <c r="C31" s="230"/>
      <c r="D31" s="230"/>
      <c r="E31" s="228"/>
      <c r="F31" s="230"/>
      <c r="G31" s="230"/>
      <c r="H31" s="244"/>
      <c r="I31" s="240"/>
      <c r="J31" s="241" t="b">
        <f>1=COUNTIFS(BacklogPlanejado!C:C,BacklogRealizado!$C31,BacklogPlanejado!A:A,BacklogRealizado!$A31,BacklogPlanejado!B:B,BacklogRealizado!$B31,BacklogPlanejado!E:E,BacklogRealizado!$E31)</f>
        <v>0</v>
      </c>
      <c r="K31" s="242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 ht="15.75" customHeight="1">
      <c r="A32" s="228"/>
      <c r="B32" s="229"/>
      <c r="C32" s="230"/>
      <c r="D32" s="230"/>
      <c r="E32" s="228"/>
      <c r="F32" s="230"/>
      <c r="G32" s="230"/>
      <c r="H32" s="244"/>
      <c r="I32" s="240"/>
      <c r="J32" s="241" t="b">
        <f>1=COUNTIFS(BacklogPlanejado!C:C,BacklogRealizado!$C32,BacklogPlanejado!A:A,BacklogRealizado!$A32,BacklogPlanejado!B:B,BacklogRealizado!$B32,BacklogPlanejado!E:E,BacklogRealizado!$E32)</f>
        <v>0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ht="15.75" customHeight="1">
      <c r="A33" s="228"/>
      <c r="B33" s="229"/>
      <c r="C33" s="230"/>
      <c r="D33" s="230"/>
      <c r="E33" s="228"/>
      <c r="F33" s="230"/>
      <c r="G33" s="230"/>
      <c r="H33" s="244"/>
      <c r="I33" s="240"/>
      <c r="J33" s="241" t="b">
        <f>1=COUNTIFS(BacklogPlanejado!C:C,BacklogRealizado!$C33,BacklogPlanejado!A:A,BacklogRealizado!$A33,BacklogPlanejado!B:B,BacklogRealizado!$B33,BacklogPlanejado!E:E,BacklogRealizado!$E33)</f>
        <v>0</v>
      </c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 ht="15.75" customHeight="1">
      <c r="A34" s="228"/>
      <c r="B34" s="229"/>
      <c r="C34" s="230"/>
      <c r="D34" s="230"/>
      <c r="E34" s="228"/>
      <c r="F34" s="230"/>
      <c r="G34" s="230"/>
      <c r="H34" s="244"/>
      <c r="I34" s="240"/>
      <c r="J34" s="241" t="b">
        <f>1=COUNTIFS(BacklogPlanejado!C:C,BacklogRealizado!$C34,BacklogPlanejado!A:A,BacklogRealizado!$A34,BacklogPlanejado!B:B,BacklogRealizado!$B34,BacklogPlanejado!E:E,BacklogRealizado!$E34)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 ht="15.75" customHeight="1">
      <c r="A35" s="228"/>
      <c r="B35" s="229"/>
      <c r="C35" s="230"/>
      <c r="D35" s="230"/>
      <c r="E35" s="228"/>
      <c r="F35" s="230"/>
      <c r="G35" s="230"/>
      <c r="H35" s="244"/>
      <c r="I35" s="240"/>
      <c r="J35" s="241" t="b">
        <f>1=COUNTIFS(BacklogPlanejado!C:C,BacklogRealizado!$C35,BacklogPlanejado!A:A,BacklogRealizado!$A35,BacklogPlanejado!B:B,BacklogRealizado!$B35,BacklogPlanejado!E:E,BacklogRealizado!$E35)</f>
        <v>0</v>
      </c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</row>
    <row r="36" ht="15.75" customHeight="1">
      <c r="A36" s="228"/>
      <c r="B36" s="229"/>
      <c r="C36" s="230"/>
      <c r="D36" s="230"/>
      <c r="E36" s="228"/>
      <c r="F36" s="230"/>
      <c r="G36" s="230"/>
      <c r="H36" s="244"/>
      <c r="I36" s="240"/>
      <c r="J36" s="241" t="b">
        <f>1=COUNTIFS(BacklogPlanejado!C:C,BacklogRealizado!$C36,BacklogPlanejado!A:A,BacklogRealizado!$A36,BacklogPlanejado!B:B,BacklogRealizado!$B36,BacklogPlanejado!E:E,BacklogRealizado!$E36)</f>
        <v>0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 ht="15.75" customHeight="1">
      <c r="A37" s="228"/>
      <c r="B37" s="229"/>
      <c r="C37" s="230"/>
      <c r="D37" s="230"/>
      <c r="E37" s="228"/>
      <c r="F37" s="230"/>
      <c r="G37" s="230"/>
      <c r="H37" s="244"/>
      <c r="I37" s="240"/>
      <c r="J37" s="241" t="b">
        <f>1=COUNTIFS(BacklogPlanejado!C:C,BacklogRealizado!$C37,BacklogPlanejado!A:A,BacklogRealizado!$A37,BacklogPlanejado!B:B,BacklogRealizado!$B37,BacklogPlanejado!E:E,BacklogRealizado!$E37)</f>
        <v>0</v>
      </c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</row>
    <row r="38" ht="15.75" customHeight="1">
      <c r="A38" s="228"/>
      <c r="B38" s="229"/>
      <c r="C38" s="230"/>
      <c r="D38" s="230"/>
      <c r="E38" s="228"/>
      <c r="F38" s="230"/>
      <c r="G38" s="230"/>
      <c r="H38" s="244"/>
      <c r="I38" s="240"/>
      <c r="J38" s="241" t="b">
        <f>1=COUNTIFS(BacklogPlanejado!C:C,BacklogRealizado!$C38,BacklogPlanejado!A:A,BacklogRealizado!$A38,BacklogPlanejado!B:B,BacklogRealizado!$B38,BacklogPlanejado!E:E,BacklogRealizado!$E38)</f>
        <v>0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 ht="15.75" customHeight="1">
      <c r="A39" s="228"/>
      <c r="B39" s="229"/>
      <c r="C39" s="230"/>
      <c r="D39" s="230"/>
      <c r="E39" s="228"/>
      <c r="F39" s="230"/>
      <c r="G39" s="230"/>
      <c r="H39" s="244"/>
      <c r="I39" s="240"/>
      <c r="J39" s="241" t="b">
        <f>1=COUNTIFS(BacklogPlanejado!C:C,BacklogRealizado!$C39,BacklogPlanejado!A:A,BacklogRealizado!$A39,BacklogPlanejado!B:B,BacklogRealizado!$B39,BacklogPlanejado!E:E,BacklogRealizado!$E39)</f>
        <v>0</v>
      </c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</row>
    <row r="40" ht="15.75" customHeight="1">
      <c r="A40" s="228"/>
      <c r="B40" s="229"/>
      <c r="C40" s="230"/>
      <c r="D40" s="230"/>
      <c r="E40" s="228"/>
      <c r="F40" s="230"/>
      <c r="G40" s="230"/>
      <c r="H40" s="244"/>
      <c r="I40" s="240"/>
      <c r="J40" s="241" t="b">
        <f>1=COUNTIFS(BacklogPlanejado!C:C,BacklogRealizado!$C40,BacklogPlanejado!A:A,BacklogRealizado!$A40,BacklogPlanejado!B:B,BacklogRealizado!$B40,BacklogPlanejado!E:E,BacklogRealizado!$E40)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 ht="15.75" customHeight="1">
      <c r="A41" s="228"/>
      <c r="B41" s="229"/>
      <c r="C41" s="230"/>
      <c r="D41" s="230"/>
      <c r="E41" s="228"/>
      <c r="F41" s="230"/>
      <c r="G41" s="230"/>
      <c r="H41" s="244"/>
      <c r="I41" s="240"/>
      <c r="J41" s="241" t="b">
        <f>1=COUNTIFS(BacklogPlanejado!C:C,BacklogRealizado!$C41,BacklogPlanejado!A:A,BacklogRealizado!$A41,BacklogPlanejado!B:B,BacklogRealizado!$B41,BacklogPlanejado!E:E,BacklogRealizado!$E41)</f>
        <v>0</v>
      </c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 ht="15.75" customHeight="1">
      <c r="A42" s="228"/>
      <c r="B42" s="229"/>
      <c r="C42" s="230"/>
      <c r="D42" s="230"/>
      <c r="E42" s="228"/>
      <c r="F42" s="230"/>
      <c r="G42" s="230"/>
      <c r="H42" s="244"/>
      <c r="I42" s="240"/>
      <c r="J42" s="241" t="b">
        <f>1=COUNTIFS(BacklogPlanejado!C:C,BacklogRealizado!$C42,BacklogPlanejado!A:A,BacklogRealizado!$A42,BacklogPlanejado!B:B,BacklogRealizado!$B42,BacklogPlanejado!E:E,BacklogRealizado!$E42)</f>
        <v>0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 ht="15.75" customHeight="1">
      <c r="A43" s="228"/>
      <c r="B43" s="229"/>
      <c r="C43" s="230"/>
      <c r="D43" s="230"/>
      <c r="E43" s="228"/>
      <c r="F43" s="230"/>
      <c r="G43" s="230"/>
      <c r="H43" s="244"/>
      <c r="I43" s="240"/>
      <c r="J43" s="241" t="b">
        <f>1=COUNTIFS(BacklogPlanejado!C:C,BacklogRealizado!$C43,BacklogPlanejado!A:A,BacklogRealizado!$A43,BacklogPlanejado!B:B,BacklogRealizado!$B43,BacklogPlanejado!E:E,BacklogRealizado!$E43)</f>
        <v>0</v>
      </c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 ht="15.75" customHeight="1">
      <c r="A44" s="228"/>
      <c r="B44" s="229"/>
      <c r="C44" s="230"/>
      <c r="D44" s="230"/>
      <c r="E44" s="228"/>
      <c r="F44" s="230"/>
      <c r="G44" s="230"/>
      <c r="H44" s="244"/>
      <c r="I44" s="240"/>
      <c r="J44" s="241" t="b">
        <f>1=COUNTIFS(BacklogPlanejado!C:C,BacklogRealizado!$C44,BacklogPlanejado!A:A,BacklogRealizado!$A44,BacklogPlanejado!B:B,BacklogRealizado!$B44,BacklogPlanejado!E:E,BacklogRealizado!$E44)</f>
        <v>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 ht="15.75" customHeight="1">
      <c r="A45" s="228"/>
      <c r="B45" s="229"/>
      <c r="C45" s="230"/>
      <c r="D45" s="230"/>
      <c r="E45" s="228"/>
      <c r="F45" s="230"/>
      <c r="G45" s="230"/>
      <c r="H45" s="244"/>
      <c r="I45" s="240"/>
      <c r="J45" s="241" t="b">
        <f>1=COUNTIFS(BacklogPlanejado!C:C,BacklogRealizado!$C45,BacklogPlanejado!A:A,BacklogRealizado!$A45,BacklogPlanejado!B:B,BacklogRealizado!$B45,BacklogPlanejado!E:E,BacklogRealizado!$E45)</f>
        <v>0</v>
      </c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 ht="15.75" customHeight="1">
      <c r="A46" s="228"/>
      <c r="B46" s="229"/>
      <c r="C46" s="230"/>
      <c r="D46" s="230"/>
      <c r="E46" s="228"/>
      <c r="F46" s="230"/>
      <c r="G46" s="230"/>
      <c r="H46" s="244"/>
      <c r="I46" s="240"/>
      <c r="J46" s="241" t="b">
        <f>1=COUNTIFS(BacklogPlanejado!C:C,BacklogRealizado!$C46,BacklogPlanejado!A:A,BacklogRealizado!$A46,BacklogPlanejado!B:B,BacklogRealizado!$B46,BacklogPlanejado!E:E,BacklogRealizado!$E46)</f>
        <v>0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 ht="15.75" customHeight="1">
      <c r="A47" s="228"/>
      <c r="B47" s="229"/>
      <c r="C47" s="230"/>
      <c r="D47" s="230"/>
      <c r="E47" s="228"/>
      <c r="F47" s="230"/>
      <c r="G47" s="230"/>
      <c r="H47" s="244"/>
      <c r="I47" s="240"/>
      <c r="J47" s="241" t="b">
        <f>1=COUNTIFS(BacklogPlanejado!C:C,BacklogRealizado!$C47,BacklogPlanejado!A:A,BacklogRealizado!$A47,BacklogPlanejado!B:B,BacklogRealizado!$B47,BacklogPlanejado!E:E,BacklogRealizado!$E47)</f>
        <v>0</v>
      </c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 ht="15.75" customHeight="1">
      <c r="A48" s="228"/>
      <c r="B48" s="229"/>
      <c r="C48" s="230"/>
      <c r="D48" s="230"/>
      <c r="E48" s="228"/>
      <c r="F48" s="230"/>
      <c r="G48" s="230"/>
      <c r="H48" s="244"/>
      <c r="I48" s="240"/>
      <c r="J48" s="241" t="b">
        <f>1=COUNTIFS(BacklogPlanejado!C:C,BacklogRealizado!$C48,BacklogPlanejado!A:A,BacklogRealizado!$A48,BacklogPlanejado!B:B,BacklogRealizado!$B48,BacklogPlanejado!E:E,BacklogRealizado!$E48)</f>
        <v>0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 ht="15.75" customHeight="1">
      <c r="A49" s="228"/>
      <c r="B49" s="229"/>
      <c r="C49" s="230"/>
      <c r="D49" s="230"/>
      <c r="E49" s="228"/>
      <c r="F49" s="230"/>
      <c r="G49" s="230"/>
      <c r="H49" s="244"/>
      <c r="I49" s="240"/>
      <c r="J49" s="241" t="b">
        <f>1=COUNTIFS(BacklogPlanejado!C:C,BacklogRealizado!$C49,BacklogPlanejado!A:A,BacklogRealizado!$A49,BacklogPlanejado!B:B,BacklogRealizado!$B49,BacklogPlanejado!E:E,BacklogRealizado!$E49)</f>
        <v>0</v>
      </c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 ht="15.75" customHeight="1">
      <c r="A50" s="228"/>
      <c r="B50" s="229"/>
      <c r="C50" s="230"/>
      <c r="D50" s="230"/>
      <c r="E50" s="228"/>
      <c r="F50" s="230"/>
      <c r="G50" s="230"/>
      <c r="H50" s="244"/>
      <c r="I50" s="240"/>
      <c r="J50" s="241" t="b">
        <f>1=COUNTIFS(BacklogPlanejado!C:C,BacklogRealizado!$C50,BacklogPlanejado!A:A,BacklogRealizado!$A50,BacklogPlanejado!B:B,BacklogRealizado!$B50,BacklogPlanejado!E:E,BacklogRealizado!$E50)</f>
        <v>0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 ht="15.75" customHeight="1">
      <c r="A51" s="228"/>
      <c r="B51" s="229"/>
      <c r="C51" s="230"/>
      <c r="D51" s="230"/>
      <c r="E51" s="228"/>
      <c r="F51" s="230"/>
      <c r="G51" s="230"/>
      <c r="H51" s="244"/>
      <c r="I51" s="240"/>
      <c r="J51" s="241" t="b">
        <f>1=COUNTIFS(BacklogPlanejado!C:C,BacklogRealizado!$C51,BacklogPlanejado!A:A,BacklogRealizado!$A51,BacklogPlanejado!B:B,BacklogRealizado!$B51,BacklogPlanejado!E:E,BacklogRealizado!$E51)</f>
        <v>0</v>
      </c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 ht="15.75" customHeight="1">
      <c r="A52" s="228"/>
      <c r="B52" s="229"/>
      <c r="C52" s="230"/>
      <c r="D52" s="230"/>
      <c r="E52" s="228"/>
      <c r="F52" s="230"/>
      <c r="G52" s="230"/>
      <c r="H52" s="244"/>
      <c r="I52" s="240"/>
      <c r="J52" s="241" t="b">
        <f>1=COUNTIFS(BacklogPlanejado!C:C,BacklogRealizado!$C52,BacklogPlanejado!A:A,BacklogRealizado!$A52,BacklogPlanejado!B:B,BacklogRealizado!$B52,BacklogPlanejado!E:E,BacklogRealizado!$E52)</f>
        <v>0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</row>
    <row r="53" ht="15.75" customHeight="1">
      <c r="A53" s="228"/>
      <c r="B53" s="229"/>
      <c r="C53" s="230"/>
      <c r="D53" s="230"/>
      <c r="E53" s="228"/>
      <c r="F53" s="230"/>
      <c r="G53" s="230"/>
      <c r="H53" s="244"/>
      <c r="I53" s="240"/>
      <c r="J53" s="241" t="b">
        <f>1=COUNTIFS(BacklogPlanejado!C:C,BacklogRealizado!$C53,BacklogPlanejado!A:A,BacklogRealizado!$A53,BacklogPlanejado!B:B,BacklogRealizado!$B53,BacklogPlanejado!E:E,BacklogRealizado!$E53)</f>
        <v>0</v>
      </c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</row>
    <row r="54" ht="15.75" customHeight="1">
      <c r="A54" s="228"/>
      <c r="B54" s="229"/>
      <c r="C54" s="230"/>
      <c r="D54" s="230"/>
      <c r="E54" s="228"/>
      <c r="F54" s="230"/>
      <c r="G54" s="230"/>
      <c r="H54" s="244"/>
      <c r="I54" s="240"/>
      <c r="J54" s="241" t="b">
        <f>1=COUNTIFS(BacklogPlanejado!C:C,BacklogRealizado!$C54,BacklogPlanejado!A:A,BacklogRealizado!$A54,BacklogPlanejado!B:B,BacklogRealizado!$B54,BacklogPlanejado!E:E,BacklogRealizado!$E54)</f>
        <v>0</v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</row>
    <row r="55" ht="15.75" customHeight="1">
      <c r="A55" s="228"/>
      <c r="B55" s="229"/>
      <c r="C55" s="230"/>
      <c r="D55" s="230"/>
      <c r="E55" s="228"/>
      <c r="F55" s="230"/>
      <c r="G55" s="230"/>
      <c r="H55" s="244"/>
      <c r="I55" s="240"/>
      <c r="J55" s="241" t="b">
        <f>1=COUNTIFS(BacklogPlanejado!C:C,BacklogRealizado!$C55,BacklogPlanejado!A:A,BacklogRealizado!$A55,BacklogPlanejado!B:B,BacklogRealizado!$B55,BacklogPlanejado!E:E,BacklogRealizado!$E55)</f>
        <v>0</v>
      </c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</row>
    <row r="56" ht="15.75" customHeight="1">
      <c r="A56" s="228"/>
      <c r="B56" s="229"/>
      <c r="C56" s="230"/>
      <c r="D56" s="230"/>
      <c r="E56" s="228"/>
      <c r="F56" s="230"/>
      <c r="G56" s="230"/>
      <c r="H56" s="244"/>
      <c r="I56" s="240"/>
      <c r="J56" s="241" t="b">
        <f>1=COUNTIFS(BacklogPlanejado!C:C,BacklogRealizado!$C56,BacklogPlanejado!A:A,BacklogRealizado!$A56,BacklogPlanejado!B:B,BacklogRealizado!$B56,BacklogPlanejado!E:E,BacklogRealizado!$E56)</f>
        <v>0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</row>
    <row r="57" ht="15.75" customHeight="1">
      <c r="A57" s="228"/>
      <c r="B57" s="229"/>
      <c r="C57" s="230"/>
      <c r="D57" s="230"/>
      <c r="E57" s="228"/>
      <c r="F57" s="230"/>
      <c r="G57" s="230"/>
      <c r="H57" s="244"/>
      <c r="I57" s="240"/>
      <c r="J57" s="241" t="b">
        <f>1=COUNTIFS(BacklogPlanejado!C:C,BacklogRealizado!$C57,BacklogPlanejado!A:A,BacklogRealizado!$A57,BacklogPlanejado!B:B,BacklogRealizado!$B57,BacklogPlanejado!E:E,BacklogRealizado!$E57)</f>
        <v>0</v>
      </c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 ht="15.75" customHeight="1">
      <c r="A58" s="228"/>
      <c r="B58" s="229"/>
      <c r="C58" s="230"/>
      <c r="D58" s="230"/>
      <c r="E58" s="228"/>
      <c r="F58" s="230"/>
      <c r="G58" s="230"/>
      <c r="H58" s="244"/>
      <c r="I58" s="240"/>
      <c r="J58" s="241" t="b">
        <f>1=COUNTIFS(BacklogPlanejado!C:C,BacklogRealizado!$C58,BacklogPlanejado!A:A,BacklogRealizado!$A58,BacklogPlanejado!B:B,BacklogRealizado!$B58,BacklogPlanejado!E:E,BacklogRealizado!$E58)</f>
        <v>0</v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</row>
    <row r="59" ht="15.75" customHeight="1">
      <c r="A59" s="228"/>
      <c r="B59" s="229"/>
      <c r="C59" s="230"/>
      <c r="D59" s="230"/>
      <c r="E59" s="228"/>
      <c r="F59" s="230"/>
      <c r="G59" s="230"/>
      <c r="H59" s="244"/>
      <c r="I59" s="240"/>
      <c r="J59" s="241" t="b">
        <f>1=COUNTIFS(BacklogPlanejado!C:C,BacklogRealizado!$C59,BacklogPlanejado!A:A,BacklogRealizado!$A59,BacklogPlanejado!B:B,BacklogRealizado!$B59,BacklogPlanejado!E:E,BacklogRealizado!$E59)</f>
        <v>0</v>
      </c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</row>
    <row r="60" ht="15.75" customHeight="1">
      <c r="A60" s="228"/>
      <c r="B60" s="229"/>
      <c r="C60" s="230"/>
      <c r="D60" s="230"/>
      <c r="E60" s="228"/>
      <c r="F60" s="230"/>
      <c r="G60" s="230"/>
      <c r="H60" s="244"/>
      <c r="I60" s="240"/>
      <c r="J60" s="241" t="b">
        <f>1=COUNTIFS(BacklogPlanejado!C:C,BacklogRealizado!$C60,BacklogPlanejado!A:A,BacklogRealizado!$A60,BacklogPlanejado!B:B,BacklogRealizado!$B60,BacklogPlanejado!E:E,BacklogRealizado!$E60)</f>
        <v>0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</row>
    <row r="61" ht="15.75" customHeight="1">
      <c r="A61" s="228"/>
      <c r="B61" s="229"/>
      <c r="C61" s="230"/>
      <c r="D61" s="230"/>
      <c r="E61" s="228"/>
      <c r="F61" s="230"/>
      <c r="G61" s="230"/>
      <c r="H61" s="244"/>
      <c r="I61" s="240"/>
      <c r="J61" s="241" t="b">
        <f>1=COUNTIFS(BacklogPlanejado!C:C,BacklogRealizado!$C61,BacklogPlanejado!A:A,BacklogRealizado!$A61,BacklogPlanejado!B:B,BacklogRealizado!$B61,BacklogPlanejado!E:E,BacklogRealizado!$E61)</f>
        <v>0</v>
      </c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</row>
    <row r="62" ht="15.75" customHeight="1">
      <c r="A62" s="228"/>
      <c r="B62" s="229"/>
      <c r="C62" s="230"/>
      <c r="D62" s="230"/>
      <c r="E62" s="228"/>
      <c r="F62" s="230"/>
      <c r="G62" s="230"/>
      <c r="H62" s="244"/>
      <c r="I62" s="240"/>
      <c r="J62" s="241" t="b">
        <f>1=COUNTIFS(BacklogPlanejado!C:C,BacklogRealizado!$C62,BacklogPlanejado!A:A,BacklogRealizado!$A62,BacklogPlanejado!B:B,BacklogRealizado!$B62,BacklogPlanejado!E:E,BacklogRealizado!$E62)</f>
        <v>0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</row>
    <row r="63" ht="15.75" customHeight="1">
      <c r="A63" s="228"/>
      <c r="B63" s="229"/>
      <c r="C63" s="230"/>
      <c r="D63" s="230"/>
      <c r="E63" s="228"/>
      <c r="F63" s="230"/>
      <c r="G63" s="230"/>
      <c r="H63" s="244"/>
      <c r="I63" s="240"/>
      <c r="J63" s="241" t="b">
        <f>1=COUNTIFS(BacklogPlanejado!C:C,BacklogRealizado!$C63,BacklogPlanejado!A:A,BacklogRealizado!$A63,BacklogPlanejado!B:B,BacklogRealizado!$B63,BacklogPlanejado!E:E,BacklogRealizado!$E63)</f>
        <v>0</v>
      </c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</row>
    <row r="64" ht="15.75" customHeight="1">
      <c r="A64" s="228"/>
      <c r="B64" s="229"/>
      <c r="C64" s="230"/>
      <c r="D64" s="230"/>
      <c r="E64" s="228"/>
      <c r="F64" s="230"/>
      <c r="G64" s="230"/>
      <c r="H64" s="244"/>
      <c r="I64" s="240"/>
      <c r="J64" s="241" t="b">
        <f>1=COUNTIFS(BacklogPlanejado!C:C,BacklogRealizado!$C64,BacklogPlanejado!A:A,BacklogRealizado!$A64,BacklogPlanejado!B:B,BacklogRealizado!$B64,BacklogPlanejado!E:E,BacklogRealizado!$E64)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</row>
    <row r="65" ht="15.75" customHeight="1">
      <c r="A65" s="228"/>
      <c r="B65" s="229"/>
      <c r="C65" s="230"/>
      <c r="D65" s="230"/>
      <c r="E65" s="228"/>
      <c r="F65" s="230"/>
      <c r="G65" s="230"/>
      <c r="H65" s="244"/>
      <c r="I65" s="240"/>
      <c r="J65" s="241" t="b">
        <f>1=COUNTIFS(BacklogPlanejado!C:C,BacklogRealizado!$C65,BacklogPlanejado!A:A,BacklogRealizado!$A65,BacklogPlanejado!B:B,BacklogRealizado!$B65,BacklogPlanejado!E:E,BacklogRealizado!$E65)</f>
        <v>0</v>
      </c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</row>
    <row r="66" ht="15.75" customHeight="1">
      <c r="A66" s="228"/>
      <c r="B66" s="229"/>
      <c r="C66" s="230"/>
      <c r="D66" s="230"/>
      <c r="E66" s="228"/>
      <c r="F66" s="230"/>
      <c r="G66" s="230"/>
      <c r="H66" s="244"/>
      <c r="I66" s="240"/>
      <c r="J66" s="241" t="b">
        <f>1=COUNTIFS(BacklogPlanejado!C:C,BacklogRealizado!$C66,BacklogPlanejado!A:A,BacklogRealizado!$A66,BacklogPlanejado!B:B,BacklogRealizado!$B66,BacklogPlanejado!E:E,BacklogRealizado!$E66)</f>
        <v>0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</row>
    <row r="67" ht="15.75" customHeight="1">
      <c r="A67" s="228"/>
      <c r="B67" s="229"/>
      <c r="C67" s="230"/>
      <c r="D67" s="230"/>
      <c r="E67" s="228"/>
      <c r="F67" s="230"/>
      <c r="G67" s="230"/>
      <c r="H67" s="244"/>
      <c r="I67" s="240"/>
      <c r="J67" s="241" t="b">
        <f>1=COUNTIFS(BacklogPlanejado!C:C,BacklogRealizado!$C67,BacklogPlanejado!A:A,BacklogRealizado!$A67,BacklogPlanejado!B:B,BacklogRealizado!$B67,BacklogPlanejado!E:E,BacklogRealizado!$E67)</f>
        <v>0</v>
      </c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</row>
    <row r="68" ht="15.75" customHeight="1">
      <c r="A68" s="228"/>
      <c r="B68" s="229"/>
      <c r="C68" s="230"/>
      <c r="D68" s="230"/>
      <c r="E68" s="228"/>
      <c r="F68" s="230"/>
      <c r="G68" s="230"/>
      <c r="H68" s="244"/>
      <c r="I68" s="240"/>
      <c r="J68" s="241" t="b">
        <f>1=COUNTIFS(BacklogPlanejado!C:C,BacklogRealizado!$C68,BacklogPlanejado!A:A,BacklogRealizado!$A68,BacklogPlanejado!B:B,BacklogRealizado!$B68,BacklogPlanejado!E:E,BacklogRealizado!$E68)</f>
        <v>0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</row>
    <row r="69" ht="15.75" customHeight="1">
      <c r="A69" s="228"/>
      <c r="B69" s="229"/>
      <c r="C69" s="230"/>
      <c r="D69" s="230"/>
      <c r="E69" s="228"/>
      <c r="F69" s="230"/>
      <c r="G69" s="230"/>
      <c r="H69" s="244"/>
      <c r="I69" s="240"/>
      <c r="J69" s="241" t="b">
        <f>1=COUNTIFS(BacklogPlanejado!C:C,BacklogRealizado!$C69,BacklogPlanejado!A:A,BacklogRealizado!$A69,BacklogPlanejado!B:B,BacklogRealizado!$B69,BacklogPlanejado!E:E,BacklogRealizado!$E69)</f>
        <v>0</v>
      </c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</row>
    <row r="70" ht="15.75" customHeight="1">
      <c r="A70" s="228"/>
      <c r="B70" s="229"/>
      <c r="C70" s="230"/>
      <c r="D70" s="230"/>
      <c r="E70" s="228"/>
      <c r="F70" s="230"/>
      <c r="G70" s="230"/>
      <c r="H70" s="244"/>
      <c r="I70" s="240"/>
      <c r="J70" s="241" t="b">
        <f>1=COUNTIFS(BacklogPlanejado!C:C,BacklogRealizado!$C70,BacklogPlanejado!A:A,BacklogRealizado!$A70,BacklogPlanejado!B:B,BacklogRealizado!$B70,BacklogPlanejado!E:E,BacklogRealizado!$E70)</f>
        <v>0</v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</row>
    <row r="71" ht="15.75" customHeight="1">
      <c r="A71" s="228"/>
      <c r="B71" s="229"/>
      <c r="C71" s="230"/>
      <c r="D71" s="230"/>
      <c r="E71" s="228"/>
      <c r="F71" s="230"/>
      <c r="G71" s="230"/>
      <c r="H71" s="244"/>
      <c r="I71" s="240"/>
      <c r="J71" s="241" t="b">
        <f>1=COUNTIFS(BacklogPlanejado!C:C,BacklogRealizado!$C71,BacklogPlanejado!A:A,BacklogRealizado!$A71,BacklogPlanejado!B:B,BacklogRealizado!$B71,BacklogPlanejado!E:E,BacklogRealizado!$E71)</f>
        <v>0</v>
      </c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</row>
    <row r="72" ht="15.75" customHeight="1">
      <c r="A72" s="228"/>
      <c r="B72" s="229"/>
      <c r="C72" s="230"/>
      <c r="D72" s="230"/>
      <c r="E72" s="228"/>
      <c r="F72" s="230"/>
      <c r="G72" s="230"/>
      <c r="H72" s="244"/>
      <c r="I72" s="240"/>
      <c r="J72" s="241" t="b">
        <f>1=COUNTIFS(BacklogPlanejado!C:C,BacklogRealizado!$C72,BacklogPlanejado!A:A,BacklogRealizado!$A72,BacklogPlanejado!B:B,BacklogRealizado!$B72,BacklogPlanejado!E:E,BacklogRealizado!$E72)</f>
        <v>0</v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</row>
    <row r="73" ht="15.75" customHeight="1">
      <c r="A73" s="228"/>
      <c r="B73" s="229"/>
      <c r="C73" s="230"/>
      <c r="D73" s="230"/>
      <c r="E73" s="228"/>
      <c r="F73" s="230"/>
      <c r="G73" s="230"/>
      <c r="H73" s="244"/>
      <c r="I73" s="240"/>
      <c r="J73" s="241" t="b">
        <f>1=COUNTIFS(BacklogPlanejado!C:C,BacklogRealizado!$C73,BacklogPlanejado!A:A,BacklogRealizado!$A73,BacklogPlanejado!B:B,BacklogRealizado!$B73,BacklogPlanejado!E:E,BacklogRealizado!$E73)</f>
        <v>0</v>
      </c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</row>
    <row r="74" ht="15.75" customHeight="1">
      <c r="A74" s="228"/>
      <c r="B74" s="229"/>
      <c r="C74" s="230"/>
      <c r="D74" s="230"/>
      <c r="E74" s="228"/>
      <c r="F74" s="230"/>
      <c r="G74" s="230"/>
      <c r="H74" s="244"/>
      <c r="I74" s="240"/>
      <c r="J74" s="241" t="b">
        <f>1=COUNTIFS(BacklogPlanejado!C:C,BacklogRealizado!$C74,BacklogPlanejado!A:A,BacklogRealizado!$A74,BacklogPlanejado!B:B,BacklogRealizado!$B74,BacklogPlanejado!E:E,BacklogRealizado!$E74)</f>
        <v>0</v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</row>
    <row r="75" ht="15.75" customHeight="1">
      <c r="A75" s="228"/>
      <c r="B75" s="229"/>
      <c r="C75" s="230"/>
      <c r="D75" s="230"/>
      <c r="E75" s="228"/>
      <c r="F75" s="230"/>
      <c r="G75" s="230"/>
      <c r="H75" s="244"/>
      <c r="I75" s="240"/>
      <c r="J75" s="241" t="b">
        <f>1=COUNTIFS(BacklogPlanejado!C:C,BacklogRealizado!$C75,BacklogPlanejado!A:A,BacklogRealizado!$A75,BacklogPlanejado!B:B,BacklogRealizado!$B75,BacklogPlanejado!E:E,BacklogRealizado!$E75)</f>
        <v>0</v>
      </c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</row>
    <row r="76" ht="15.75" customHeight="1">
      <c r="A76" s="228"/>
      <c r="B76" s="229"/>
      <c r="C76" s="230"/>
      <c r="D76" s="230"/>
      <c r="E76" s="228"/>
      <c r="F76" s="230"/>
      <c r="G76" s="230"/>
      <c r="H76" s="244"/>
      <c r="I76" s="240"/>
      <c r="J76" s="241" t="b">
        <f>1=COUNTIFS(BacklogPlanejado!C:C,BacklogRealizado!$C76,BacklogPlanejado!A:A,BacklogRealizado!$A76,BacklogPlanejado!B:B,BacklogRealizado!$B76,BacklogPlanejado!E:E,BacklogRealizado!$E76)</f>
        <v>0</v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</row>
    <row r="77" ht="15.75" customHeight="1">
      <c r="A77" s="228"/>
      <c r="B77" s="229"/>
      <c r="C77" s="230"/>
      <c r="D77" s="230"/>
      <c r="E77" s="228"/>
      <c r="F77" s="230"/>
      <c r="G77" s="230"/>
      <c r="H77" s="244"/>
      <c r="I77" s="240"/>
      <c r="J77" s="241" t="b">
        <f>1=COUNTIFS(BacklogPlanejado!C:C,BacklogRealizado!$C77,BacklogPlanejado!A:A,BacklogRealizado!$A77,BacklogPlanejado!B:B,BacklogRealizado!$B77,BacklogPlanejado!E:E,BacklogRealizado!$E77)</f>
        <v>0</v>
      </c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</row>
    <row r="78" ht="15.75" customHeight="1">
      <c r="A78" s="228"/>
      <c r="B78" s="229"/>
      <c r="C78" s="230"/>
      <c r="D78" s="230"/>
      <c r="E78" s="228"/>
      <c r="F78" s="230"/>
      <c r="G78" s="230"/>
      <c r="H78" s="244"/>
      <c r="I78" s="240"/>
      <c r="J78" s="241" t="b">
        <f>1=COUNTIFS(BacklogPlanejado!C:C,BacklogRealizado!$C78,BacklogPlanejado!A:A,BacklogRealizado!$A78,BacklogPlanejado!B:B,BacklogRealizado!$B78,BacklogPlanejado!E:E,BacklogRealizado!$E78)</f>
        <v>0</v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</row>
    <row r="79" ht="15.75" customHeight="1">
      <c r="A79" s="228"/>
      <c r="B79" s="229"/>
      <c r="C79" s="230"/>
      <c r="D79" s="230"/>
      <c r="E79" s="228"/>
      <c r="F79" s="230"/>
      <c r="G79" s="230"/>
      <c r="H79" s="244"/>
      <c r="I79" s="240"/>
      <c r="J79" s="241" t="b">
        <f>1=COUNTIFS(BacklogPlanejado!C:C,BacklogRealizado!$C79,BacklogPlanejado!A:A,BacklogRealizado!$A79,BacklogPlanejado!B:B,BacklogRealizado!$B79,BacklogPlanejado!E:E,BacklogRealizado!$E79)</f>
        <v>0</v>
      </c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</row>
    <row r="80" ht="15.75" customHeight="1">
      <c r="A80" s="228"/>
      <c r="B80" s="229"/>
      <c r="C80" s="230"/>
      <c r="D80" s="230"/>
      <c r="E80" s="228"/>
      <c r="F80" s="230"/>
      <c r="G80" s="230"/>
      <c r="H80" s="244"/>
      <c r="I80" s="240"/>
      <c r="J80" s="241" t="b">
        <f>1=COUNTIFS(BacklogPlanejado!C:C,BacklogRealizado!$C80,BacklogPlanejado!A:A,BacklogRealizado!$A80,BacklogPlanejado!B:B,BacklogRealizado!$B80,BacklogPlanejado!E:E,BacklogRealizado!$E80)</f>
        <v>0</v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</row>
    <row r="81" ht="15.75" customHeight="1">
      <c r="A81" s="228"/>
      <c r="B81" s="229"/>
      <c r="C81" s="230"/>
      <c r="D81" s="230"/>
      <c r="E81" s="228"/>
      <c r="F81" s="230"/>
      <c r="G81" s="230"/>
      <c r="H81" s="244"/>
      <c r="I81" s="240"/>
      <c r="J81" s="241" t="b">
        <f>1=COUNTIFS(BacklogPlanejado!C:C,BacklogRealizado!$C81,BacklogPlanejado!A:A,BacklogRealizado!$A81,BacklogPlanejado!B:B,BacklogRealizado!$B81,BacklogPlanejado!E:E,BacklogRealizado!$E81)</f>
        <v>0</v>
      </c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</row>
    <row r="82" ht="15.75" customHeight="1">
      <c r="A82" s="228"/>
      <c r="B82" s="229"/>
      <c r="C82" s="230"/>
      <c r="D82" s="230"/>
      <c r="E82" s="228"/>
      <c r="F82" s="230"/>
      <c r="G82" s="230"/>
      <c r="H82" s="244"/>
      <c r="I82" s="240"/>
      <c r="J82" s="241" t="b">
        <f>1=COUNTIFS(BacklogPlanejado!C:C,BacklogRealizado!$C82,BacklogPlanejado!A:A,BacklogRealizado!$A82,BacklogPlanejado!B:B,BacklogRealizado!$B82,BacklogPlanejado!E:E,BacklogRealizado!$E82)</f>
        <v>0</v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</row>
    <row r="83" ht="15.75" customHeight="1">
      <c r="A83" s="228"/>
      <c r="B83" s="229"/>
      <c r="C83" s="230"/>
      <c r="D83" s="230"/>
      <c r="E83" s="228"/>
      <c r="F83" s="230"/>
      <c r="G83" s="230"/>
      <c r="H83" s="244"/>
      <c r="I83" s="240"/>
      <c r="J83" s="241" t="b">
        <f>1=COUNTIFS(BacklogPlanejado!C:C,BacklogRealizado!$C83,BacklogPlanejado!A:A,BacklogRealizado!$A83,BacklogPlanejado!B:B,BacklogRealizado!$B83,BacklogPlanejado!E:E,BacklogRealizado!$E83)</f>
        <v>0</v>
      </c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</row>
    <row r="84" ht="15.75" customHeight="1">
      <c r="A84" s="228"/>
      <c r="B84" s="229"/>
      <c r="C84" s="230"/>
      <c r="D84" s="230"/>
      <c r="E84" s="228"/>
      <c r="F84" s="230"/>
      <c r="G84" s="230"/>
      <c r="H84" s="244"/>
      <c r="I84" s="240"/>
      <c r="J84" s="241" t="b">
        <f>1=COUNTIFS(BacklogPlanejado!C:C,BacklogRealizado!$C84,BacklogPlanejado!A:A,BacklogRealizado!$A84,BacklogPlanejado!B:B,BacklogRealizado!$B84,BacklogPlanejado!E:E,BacklogRealizado!$E84)</f>
        <v>0</v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</row>
    <row r="85" ht="15.75" customHeight="1">
      <c r="A85" s="228"/>
      <c r="B85" s="229"/>
      <c r="C85" s="230"/>
      <c r="D85" s="230"/>
      <c r="E85" s="228"/>
      <c r="F85" s="230"/>
      <c r="G85" s="230"/>
      <c r="H85" s="244"/>
      <c r="I85" s="240"/>
      <c r="J85" s="241" t="b">
        <f>1=COUNTIFS(BacklogPlanejado!C:C,BacklogRealizado!$C85,BacklogPlanejado!A:A,BacklogRealizado!$A85,BacklogPlanejado!B:B,BacklogRealizado!$B85,BacklogPlanejado!E:E,BacklogRealizado!$E85)</f>
        <v>0</v>
      </c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</row>
    <row r="86" ht="15.75" customHeight="1">
      <c r="A86" s="228"/>
      <c r="B86" s="229"/>
      <c r="C86" s="230"/>
      <c r="D86" s="230"/>
      <c r="E86" s="228"/>
      <c r="F86" s="230"/>
      <c r="G86" s="230"/>
      <c r="H86" s="244"/>
      <c r="I86" s="240"/>
      <c r="J86" s="241" t="b">
        <f>1=COUNTIFS(BacklogPlanejado!C:C,BacklogRealizado!$C86,BacklogPlanejado!A:A,BacklogRealizado!$A86,BacklogPlanejado!B:B,BacklogRealizado!$B86,BacklogPlanejado!E:E,BacklogRealizado!$E86)</f>
        <v>0</v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</row>
    <row r="87" ht="15.75" customHeight="1">
      <c r="A87" s="228"/>
      <c r="B87" s="229"/>
      <c r="C87" s="230"/>
      <c r="D87" s="230"/>
      <c r="E87" s="228"/>
      <c r="F87" s="230"/>
      <c r="G87" s="230"/>
      <c r="H87" s="244"/>
      <c r="I87" s="240"/>
      <c r="J87" s="241" t="b">
        <f>1=COUNTIFS(BacklogPlanejado!C:C,BacklogRealizado!$C87,BacklogPlanejado!A:A,BacklogRealizado!$A87,BacklogPlanejado!B:B,BacklogRealizado!$B87,BacklogPlanejado!E:E,BacklogRealizado!$E87)</f>
        <v>0</v>
      </c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</row>
    <row r="88" ht="15.75" customHeight="1">
      <c r="A88" s="228"/>
      <c r="B88" s="229"/>
      <c r="C88" s="230"/>
      <c r="D88" s="230"/>
      <c r="E88" s="228"/>
      <c r="F88" s="230"/>
      <c r="G88" s="230"/>
      <c r="H88" s="244"/>
      <c r="I88" s="240"/>
      <c r="J88" s="241" t="b">
        <f>1=COUNTIFS(BacklogPlanejado!C:C,BacklogRealizado!$C88,BacklogPlanejado!A:A,BacklogRealizado!$A88,BacklogPlanejado!B:B,BacklogRealizado!$B88,BacklogPlanejado!E:E,BacklogRealizado!$E88)</f>
        <v>0</v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</row>
    <row r="89" ht="15.75" customHeight="1">
      <c r="A89" s="228"/>
      <c r="B89" s="229"/>
      <c r="C89" s="230"/>
      <c r="D89" s="230"/>
      <c r="E89" s="228"/>
      <c r="F89" s="230"/>
      <c r="G89" s="230"/>
      <c r="H89" s="244"/>
      <c r="I89" s="240"/>
      <c r="J89" s="241" t="b">
        <f>1=COUNTIFS(BacklogPlanejado!C:C,BacklogRealizado!$C89,BacklogPlanejado!A:A,BacklogRealizado!$A89,BacklogPlanejado!B:B,BacklogRealizado!$B89,BacklogPlanejado!E:E,BacklogRealizado!$E89)</f>
        <v>0</v>
      </c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</row>
    <row r="90" ht="15.75" customHeight="1">
      <c r="A90" s="228"/>
      <c r="B90" s="229"/>
      <c r="C90" s="230"/>
      <c r="D90" s="230"/>
      <c r="E90" s="228"/>
      <c r="F90" s="230"/>
      <c r="G90" s="230"/>
      <c r="H90" s="244"/>
      <c r="I90" s="240"/>
      <c r="J90" s="241" t="b">
        <f>1=COUNTIFS(BacklogPlanejado!C:C,BacklogRealizado!$C90,BacklogPlanejado!A:A,BacklogRealizado!$A90,BacklogPlanejado!B:B,BacklogRealizado!$B90,BacklogPlanejado!E:E,BacklogRealizado!$E90)</f>
        <v>0</v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</row>
    <row r="91" ht="15.75" customHeight="1">
      <c r="A91" s="228"/>
      <c r="B91" s="229"/>
      <c r="C91" s="230"/>
      <c r="D91" s="230"/>
      <c r="E91" s="228"/>
      <c r="F91" s="230"/>
      <c r="G91" s="230"/>
      <c r="H91" s="244"/>
      <c r="I91" s="240"/>
      <c r="J91" s="241" t="b">
        <f>1=COUNTIFS(BacklogPlanejado!C:C,BacklogRealizado!$C91,BacklogPlanejado!A:A,BacklogRealizado!$A91,BacklogPlanejado!B:B,BacklogRealizado!$B91,BacklogPlanejado!E:E,BacklogRealizado!$E91)</f>
        <v>0</v>
      </c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</row>
    <row r="92" ht="15.75" customHeight="1">
      <c r="A92" s="228"/>
      <c r="B92" s="229"/>
      <c r="C92" s="230"/>
      <c r="D92" s="230"/>
      <c r="E92" s="228"/>
      <c r="F92" s="230"/>
      <c r="G92" s="230"/>
      <c r="H92" s="244"/>
      <c r="I92" s="240"/>
      <c r="J92" s="241" t="b">
        <f>1=COUNTIFS(BacklogPlanejado!C:C,BacklogRealizado!$C92,BacklogPlanejado!A:A,BacklogRealizado!$A92,BacklogPlanejado!B:B,BacklogRealizado!$B92,BacklogPlanejado!E:E,BacklogRealizado!$E92)</f>
        <v>0</v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</row>
    <row r="93" ht="15.75" customHeight="1">
      <c r="A93" s="228"/>
      <c r="B93" s="229"/>
      <c r="C93" s="230"/>
      <c r="D93" s="230"/>
      <c r="E93" s="228"/>
      <c r="F93" s="230"/>
      <c r="G93" s="230"/>
      <c r="H93" s="244"/>
      <c r="I93" s="240"/>
      <c r="J93" s="241" t="b">
        <f>1=COUNTIFS(BacklogPlanejado!C:C,BacklogRealizado!$C93,BacklogPlanejado!A:A,BacklogRealizado!$A93,BacklogPlanejado!B:B,BacklogRealizado!$B93,BacklogPlanejado!E:E,BacklogRealizado!$E93)</f>
        <v>0</v>
      </c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</row>
    <row r="94" ht="15.75" customHeight="1">
      <c r="A94" s="228"/>
      <c r="B94" s="229"/>
      <c r="C94" s="230"/>
      <c r="D94" s="230"/>
      <c r="E94" s="228"/>
      <c r="F94" s="230"/>
      <c r="G94" s="230"/>
      <c r="H94" s="244"/>
      <c r="I94" s="240"/>
      <c r="J94" s="241" t="b">
        <f>1=COUNTIFS(BacklogPlanejado!C:C,BacklogRealizado!$C94,BacklogPlanejado!A:A,BacklogRealizado!$A94,BacklogPlanejado!B:B,BacklogRealizado!$B94,BacklogPlanejado!E:E,BacklogRealizado!$E94)</f>
        <v>0</v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</row>
    <row r="95" ht="15.75" customHeight="1">
      <c r="A95" s="228"/>
      <c r="B95" s="229"/>
      <c r="C95" s="230"/>
      <c r="D95" s="230"/>
      <c r="E95" s="228"/>
      <c r="F95" s="230"/>
      <c r="G95" s="230"/>
      <c r="H95" s="244"/>
      <c r="I95" s="240"/>
      <c r="J95" s="241" t="b">
        <f>1=COUNTIFS(BacklogPlanejado!C:C,BacklogRealizado!$C95,BacklogPlanejado!A:A,BacklogRealizado!$A95,BacklogPlanejado!B:B,BacklogRealizado!$B95,BacklogPlanejado!E:E,BacklogRealizado!$E95)</f>
        <v>0</v>
      </c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</row>
    <row r="96" ht="15.75" customHeight="1">
      <c r="A96" s="228"/>
      <c r="B96" s="229"/>
      <c r="C96" s="230"/>
      <c r="D96" s="230"/>
      <c r="E96" s="228"/>
      <c r="F96" s="230"/>
      <c r="G96" s="230"/>
      <c r="H96" s="244"/>
      <c r="I96" s="240"/>
      <c r="J96" s="241" t="b">
        <f>1=COUNTIFS(BacklogPlanejado!C:C,BacklogRealizado!$C96,BacklogPlanejado!A:A,BacklogRealizado!$A96,BacklogPlanejado!B:B,BacklogRealizado!$B96,BacklogPlanejado!E:E,BacklogRealizado!$E96)</f>
        <v>0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</row>
    <row r="97" ht="15.75" customHeight="1">
      <c r="A97" s="228"/>
      <c r="B97" s="229"/>
      <c r="C97" s="230"/>
      <c r="D97" s="230"/>
      <c r="E97" s="228"/>
      <c r="F97" s="230"/>
      <c r="G97" s="230"/>
      <c r="H97" s="244"/>
      <c r="I97" s="240"/>
      <c r="J97" s="241" t="b">
        <f>1=COUNTIFS(BacklogPlanejado!C:C,BacklogRealizado!$C97,BacklogPlanejado!A:A,BacklogRealizado!$A97,BacklogPlanejado!B:B,BacklogRealizado!$B97,BacklogPlanejado!E:E,BacklogRealizado!$E97)</f>
        <v>0</v>
      </c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</row>
    <row r="98" ht="15.75" customHeight="1">
      <c r="A98" s="228"/>
      <c r="B98" s="229"/>
      <c r="C98" s="230"/>
      <c r="D98" s="230"/>
      <c r="E98" s="228"/>
      <c r="F98" s="230"/>
      <c r="G98" s="230"/>
      <c r="H98" s="244"/>
      <c r="I98" s="240"/>
      <c r="J98" s="241" t="b">
        <f>1=COUNTIFS(BacklogPlanejado!C:C,BacklogRealizado!$C98,BacklogPlanejado!A:A,BacklogRealizado!$A98,BacklogPlanejado!B:B,BacklogRealizado!$B98,BacklogPlanejado!E:E,BacklogRealizado!$E98)</f>
        <v>0</v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</row>
    <row r="99" ht="15.75" customHeight="1">
      <c r="A99" s="228"/>
      <c r="B99" s="229"/>
      <c r="C99" s="230"/>
      <c r="D99" s="230"/>
      <c r="E99" s="228"/>
      <c r="F99" s="230"/>
      <c r="G99" s="230"/>
      <c r="H99" s="244"/>
      <c r="I99" s="240"/>
      <c r="J99" s="241" t="b">
        <f>1=COUNTIFS(BacklogPlanejado!C:C,BacklogRealizado!$C99,BacklogPlanejado!A:A,BacklogRealizado!$A99,BacklogPlanejado!B:B,BacklogRealizado!$B99,BacklogPlanejado!E:E,BacklogRealizado!$E99)</f>
        <v>0</v>
      </c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</row>
    <row r="100" ht="15.75" customHeight="1">
      <c r="A100" s="228"/>
      <c r="B100" s="229"/>
      <c r="C100" s="230"/>
      <c r="D100" s="230"/>
      <c r="E100" s="228"/>
      <c r="F100" s="230"/>
      <c r="G100" s="230"/>
      <c r="H100" s="244"/>
      <c r="I100" s="240"/>
      <c r="J100" s="241" t="b">
        <f>1=COUNTIFS(BacklogPlanejado!C:C,BacklogRealizado!$C100,BacklogPlanejado!A:A,BacklogRealizado!$A100,BacklogPlanejado!B:B,BacklogRealizado!$B100,BacklogPlanejado!E:E,BacklogRealizado!$E100)</f>
        <v>0</v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</row>
    <row r="101" ht="15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</row>
    <row r="102" ht="15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</row>
    <row r="103" ht="15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</row>
    <row r="104" ht="15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</row>
    <row r="105" ht="15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</row>
    <row r="106" ht="15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</row>
    <row r="107" ht="15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</row>
    <row r="108" ht="15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</row>
    <row r="109" ht="15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</row>
    <row r="110" ht="15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</row>
    <row r="111" ht="15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</row>
    <row r="112" ht="15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</row>
    <row r="113" ht="15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</row>
    <row r="114" ht="15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</row>
    <row r="115" ht="15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</row>
    <row r="116" ht="15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</row>
    <row r="117" ht="15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</row>
    <row r="118" ht="15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</row>
    <row r="119" ht="15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</row>
    <row r="120" ht="15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</row>
    <row r="121" ht="15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</row>
    <row r="122" ht="15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</row>
    <row r="123" ht="15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</row>
    <row r="124" ht="15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</row>
    <row r="125" ht="15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</row>
    <row r="126" ht="15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</row>
    <row r="127" ht="15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</row>
    <row r="128" ht="15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</row>
    <row r="129" ht="15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</row>
    <row r="130" ht="15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</row>
    <row r="131" ht="15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</row>
    <row r="132" ht="15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</row>
    <row r="133" ht="15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</row>
    <row r="134" ht="15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</row>
    <row r="135" ht="15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</row>
    <row r="136" ht="15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</row>
    <row r="137" ht="15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</row>
    <row r="138" ht="15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</row>
    <row r="139" ht="15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</row>
    <row r="140" ht="15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</row>
    <row r="141" ht="15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</row>
    <row r="142" ht="15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</row>
    <row r="143" ht="15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</row>
    <row r="144" ht="15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</row>
    <row r="145" ht="15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</row>
    <row r="146" ht="15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</row>
    <row r="147" ht="15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</row>
    <row r="148" ht="15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</row>
    <row r="149" ht="15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</row>
    <row r="150" ht="15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</row>
    <row r="151" ht="15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</row>
    <row r="152" ht="15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</row>
    <row r="153" ht="15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</row>
    <row r="154" ht="15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</row>
    <row r="155" ht="15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</row>
    <row r="156" ht="15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</row>
    <row r="157" ht="15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</row>
    <row r="158" ht="15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</row>
    <row r="159" ht="15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</row>
    <row r="160" ht="15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</row>
    <row r="161" ht="15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</row>
    <row r="162" ht="15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</row>
    <row r="163" ht="15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</row>
    <row r="164" ht="15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</row>
    <row r="165" ht="15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</row>
    <row r="166" ht="15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</row>
    <row r="167" ht="15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</row>
    <row r="168" ht="15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</row>
    <row r="169" ht="15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</row>
    <row r="170" ht="15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</row>
    <row r="171" ht="15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</row>
    <row r="172" ht="15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</row>
    <row r="173" ht="15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</row>
    <row r="174" ht="15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</row>
    <row r="175" ht="15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</row>
    <row r="176" ht="15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</row>
    <row r="177" ht="15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</row>
    <row r="178" ht="15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</row>
    <row r="179" ht="15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</row>
    <row r="180" ht="15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</row>
    <row r="181" ht="15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</row>
    <row r="182" ht="15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</row>
    <row r="183" ht="15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</row>
    <row r="184" ht="15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</row>
    <row r="185" ht="15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</row>
    <row r="186" ht="15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</row>
    <row r="187" ht="15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</row>
    <row r="188" ht="15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</row>
    <row r="189" ht="15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</row>
    <row r="190" ht="15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</row>
    <row r="191" ht="15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</row>
    <row r="192" ht="15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</row>
    <row r="193" ht="15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</row>
    <row r="194" ht="15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</row>
    <row r="195" ht="15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</row>
    <row r="196" ht="15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</row>
    <row r="197" ht="15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</row>
    <row r="198" ht="15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</row>
    <row r="199" ht="15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</row>
    <row r="200" ht="15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</row>
    <row r="201" ht="15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</row>
    <row r="202" ht="15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</row>
    <row r="203" ht="15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</row>
    <row r="204" ht="15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</row>
    <row r="205" ht="15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</row>
    <row r="206" ht="15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</row>
    <row r="207" ht="15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</row>
    <row r="208" ht="15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</row>
    <row r="209" ht="15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</row>
    <row r="210" ht="15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</row>
    <row r="211" ht="15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</row>
    <row r="212" ht="15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</row>
    <row r="213" ht="15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</row>
    <row r="214" ht="15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</row>
    <row r="215" ht="15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</row>
    <row r="216" ht="15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</row>
    <row r="217" ht="15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</row>
    <row r="218" ht="15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</row>
    <row r="219" ht="15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</row>
    <row r="220" ht="15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</row>
    <row r="221" ht="15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</row>
    <row r="222" ht="15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</row>
    <row r="223" ht="15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</row>
    <row r="224" ht="15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</row>
    <row r="225" ht="15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</row>
    <row r="226" ht="15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</row>
    <row r="227" ht="15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</row>
    <row r="228" ht="15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</row>
    <row r="229" ht="15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</row>
    <row r="230" ht="15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</row>
    <row r="231" ht="15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</row>
    <row r="232" ht="15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</row>
    <row r="233" ht="15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</row>
    <row r="234" ht="15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</row>
    <row r="235" ht="15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</row>
    <row r="236" ht="15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</row>
    <row r="237" ht="15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</row>
    <row r="238" ht="15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</row>
    <row r="239" ht="15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</row>
    <row r="240" ht="15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</row>
    <row r="241" ht="15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</row>
    <row r="242" ht="15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</row>
    <row r="243" ht="15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</row>
    <row r="244" ht="15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</row>
    <row r="245" ht="15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</row>
    <row r="246" ht="15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</row>
    <row r="247" ht="15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</row>
    <row r="248" ht="15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</row>
    <row r="249" ht="15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</row>
    <row r="250" ht="15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</row>
    <row r="251" ht="15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</row>
    <row r="252" ht="15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</row>
    <row r="253" ht="15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</row>
    <row r="254" ht="15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</row>
    <row r="255" ht="15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</row>
    <row r="256" ht="15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</row>
    <row r="257" ht="15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</row>
    <row r="258" ht="15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</row>
    <row r="259" ht="15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</row>
    <row r="260" ht="15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</row>
    <row r="261" ht="15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</row>
    <row r="262" ht="15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</row>
    <row r="263" ht="15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</row>
    <row r="264" ht="15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</row>
    <row r="265" ht="15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</row>
    <row r="266" ht="15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</row>
    <row r="267" ht="15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</row>
    <row r="268" ht="15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</row>
    <row r="269" ht="15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</row>
    <row r="270" ht="15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</row>
    <row r="271" ht="15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</row>
    <row r="272" ht="15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</row>
    <row r="273" ht="15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</row>
    <row r="274" ht="15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</row>
    <row r="275" ht="15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</row>
    <row r="276" ht="15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</row>
    <row r="277" ht="15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</row>
    <row r="278" ht="15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</row>
    <row r="279" ht="15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</row>
    <row r="280" ht="15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</row>
    <row r="281" ht="15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</row>
    <row r="282" ht="15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</row>
    <row r="283" ht="15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</row>
    <row r="284" ht="15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</row>
    <row r="285" ht="15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</row>
    <row r="286" ht="15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</row>
    <row r="287" ht="15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</row>
    <row r="288" ht="15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</row>
    <row r="289" ht="15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</row>
    <row r="290" ht="15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</row>
    <row r="291" ht="15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</row>
    <row r="292" ht="15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</row>
    <row r="293" ht="15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</row>
    <row r="294" ht="15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</row>
    <row r="295" ht="15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</row>
    <row r="296" ht="15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</row>
    <row r="297" ht="15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</row>
    <row r="298" ht="15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</row>
    <row r="299" ht="15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</row>
    <row r="300" ht="15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</row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3:G100">
    <cfRule type="containsText" dxfId="3" priority="1" operator="containsText" text="Concluída">
      <formula>NOT(ISERROR(SEARCH(("Concluída"),(G3))))</formula>
    </cfRule>
  </conditionalFormatting>
  <conditionalFormatting sqref="G3:G100">
    <cfRule type="containsText" dxfId="9" priority="2" operator="containsText" text="Andamento">
      <formula>NOT(ISERROR(SEARCH(("Andamento"),(G3))))</formula>
    </cfRule>
  </conditionalFormatting>
  <conditionalFormatting sqref="G3:G100">
    <cfRule type="containsText" dxfId="10" priority="3" operator="containsText" text="Bloqueada">
      <formula>NOT(ISERROR(SEARCH(("Bloqueada"),(G3))))</formula>
    </cfRule>
  </conditionalFormatting>
  <conditionalFormatting sqref="D3:D100">
    <cfRule type="cellIs" dxfId="1" priority="4" operator="equal">
      <formula>0</formula>
    </cfRule>
  </conditionalFormatting>
  <conditionalFormatting sqref="A1">
    <cfRule type="cellIs" dxfId="1" priority="5" operator="equal">
      <formula>0</formula>
    </cfRule>
  </conditionalFormatting>
  <conditionalFormatting sqref="D3:D100">
    <cfRule type="containsText" dxfId="4" priority="6" operator="containsText" text="Alta">
      <formula>NOT(ISERROR(SEARCH(("Alta"),(D3))))</formula>
    </cfRule>
  </conditionalFormatting>
  <conditionalFormatting sqref="D3:D100">
    <cfRule type="containsText" dxfId="5" priority="7" operator="containsText" text="Baixa">
      <formula>NOT(ISERROR(SEARCH(("Baixa"),(D3))))</formula>
    </cfRule>
  </conditionalFormatting>
  <conditionalFormatting sqref="B1">
    <cfRule type="cellIs" dxfId="1" priority="8" operator="equal">
      <formula>0</formula>
    </cfRule>
  </conditionalFormatting>
  <conditionalFormatting sqref="E1">
    <cfRule type="cellIs" dxfId="1" priority="9" operator="equal">
      <formula>0</formula>
    </cfRule>
  </conditionalFormatting>
  <dataValidations>
    <dataValidation type="decimal" allowBlank="1" showErrorMessage="1" sqref="A3:A100">
      <formula1>1.0</formula1>
      <formula2>7.0</formula2>
    </dataValidation>
    <dataValidation type="list" allowBlank="1" showErrorMessage="1" sqref="D3:D100">
      <formula1>"Alta,Média,Baixa"</formula1>
    </dataValidation>
    <dataValidation type="decimal" operator="greaterThan" allowBlank="1" showDropDown="1" showErrorMessage="1" sqref="E1">
      <formula1>0.0</formula1>
    </dataValidation>
    <dataValidation type="list" allowBlank="1" showErrorMessage="1" sqref="G3:G100">
      <formula1>"Pendente,Em andamento,Bloqueada,Concluída"</formula1>
    </dataValidation>
    <dataValidation type="list" allowBlank="1" sqref="L3:L12 F3:F100">
      <formula1>alunos</formula1>
    </dataValidation>
    <dataValidation type="decimal" allowBlank="1" showDropDown="1" showInputMessage="1" showErrorMessage="1" prompt="Pontuação inválida - Inserir valor entre 1 e 21" sqref="E3:E100">
      <formula1>0.0</formula1>
      <formula2>21.0</formula2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72C4"/>
    <outlinePr summaryBelow="0" summaryRight="0"/>
    <pageSetUpPr/>
  </sheetPr>
  <sheetViews>
    <sheetView showGridLines="0"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6.86"/>
    <col customWidth="1" min="2" max="2" width="5.14"/>
    <col customWidth="1" min="3" max="3" width="42.71"/>
    <col customWidth="1" min="4" max="4" width="12.14"/>
    <col customWidth="1" min="5" max="5" width="8.71"/>
    <col customWidth="1" min="6" max="6" width="16.29"/>
    <col customWidth="1" min="7" max="8" width="14.43"/>
    <col customWidth="1" min="9" max="9" width="12.14"/>
    <col customWidth="1" min="10" max="11" width="6.0"/>
    <col customWidth="1" min="12" max="12" width="15.57"/>
    <col customWidth="1" min="13" max="13" width="16.71"/>
    <col customWidth="1" min="14" max="14" width="16.29"/>
    <col customWidth="1" min="15" max="15" width="19.57"/>
  </cols>
  <sheetData>
    <row r="1" ht="15.75" customHeight="1">
      <c r="A1" s="222"/>
      <c r="B1" s="223">
        <f>SUBTOTAL(4,B$2:B$1000)</f>
        <v>28</v>
      </c>
      <c r="C1" s="40"/>
      <c r="D1" s="40"/>
      <c r="E1" s="222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 ht="15.75" customHeight="1">
      <c r="A2" s="225" t="s">
        <v>224</v>
      </c>
      <c r="B2" s="225" t="s">
        <v>225</v>
      </c>
      <c r="C2" s="225" t="s">
        <v>226</v>
      </c>
      <c r="D2" s="225" t="s">
        <v>227</v>
      </c>
      <c r="E2" s="225" t="s">
        <v>228</v>
      </c>
      <c r="F2" s="225" t="s">
        <v>229</v>
      </c>
      <c r="G2" s="225" t="s">
        <v>232</v>
      </c>
      <c r="H2" s="225" t="s">
        <v>233</v>
      </c>
      <c r="I2" s="225" t="s">
        <v>2</v>
      </c>
      <c r="J2" s="239"/>
      <c r="K2" s="239"/>
      <c r="L2" s="227" t="s">
        <v>229</v>
      </c>
      <c r="M2" s="227" t="s">
        <v>204</v>
      </c>
      <c r="N2" s="227" t="s">
        <v>235</v>
      </c>
      <c r="O2" s="227" t="s">
        <v>236</v>
      </c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ht="15.75" customHeight="1">
      <c r="A3" s="228">
        <v>1.0</v>
      </c>
      <c r="B3" s="229">
        <v>1.0</v>
      </c>
      <c r="C3" s="246" t="s">
        <v>237</v>
      </c>
      <c r="D3" s="246" t="s">
        <v>238</v>
      </c>
      <c r="E3" s="247">
        <v>3.0</v>
      </c>
      <c r="F3" s="246" t="s">
        <v>121</v>
      </c>
      <c r="G3" s="230" t="s">
        <v>239</v>
      </c>
      <c r="H3" s="248">
        <v>44336.0</v>
      </c>
      <c r="I3" s="230"/>
      <c r="J3" s="242"/>
      <c r="K3" s="242"/>
      <c r="L3" s="232" t="str">
        <f>'Notas_Frequência'!$A17</f>
        <v>fabio.vieira</v>
      </c>
      <c r="M3" s="233">
        <f t="shared" ref="M3:M12" si="1">SUMIFS(  $E:$E, $F:$F,$L3)</f>
        <v>23</v>
      </c>
      <c r="N3" s="233">
        <f t="shared" ref="N3:N12" si="2">SUMIFS($E:$E,$F:$F,$L3,$G:$G,"Concluída")</f>
        <v>23</v>
      </c>
      <c r="O3" s="243">
        <f t="shared" ref="O3:O12" si="3">IF(ISERR(N3/M3),"",N3/M3)</f>
        <v>1</v>
      </c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ht="15.75" customHeight="1">
      <c r="A4" s="228">
        <v>1.0</v>
      </c>
      <c r="B4" s="229">
        <v>2.0</v>
      </c>
      <c r="C4" s="230" t="s">
        <v>240</v>
      </c>
      <c r="D4" s="230" t="s">
        <v>241</v>
      </c>
      <c r="E4" s="228">
        <v>3.0</v>
      </c>
      <c r="F4" s="246" t="s">
        <v>119</v>
      </c>
      <c r="G4" s="230" t="s">
        <v>239</v>
      </c>
      <c r="H4" s="248">
        <v>44340.0</v>
      </c>
      <c r="I4" s="230"/>
      <c r="J4" s="242"/>
      <c r="K4" s="242"/>
      <c r="L4" s="232" t="str">
        <f>'Notas_Frequência'!$A18</f>
        <v>victoria.mendes</v>
      </c>
      <c r="M4" s="233">
        <f t="shared" si="1"/>
        <v>16</v>
      </c>
      <c r="N4" s="233">
        <f t="shared" si="2"/>
        <v>16</v>
      </c>
      <c r="O4" s="243">
        <f t="shared" si="3"/>
        <v>1</v>
      </c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r="5" ht="15.75" customHeight="1">
      <c r="A5" s="228">
        <v>1.0</v>
      </c>
      <c r="B5" s="229">
        <v>3.0</v>
      </c>
      <c r="C5" s="230" t="s">
        <v>242</v>
      </c>
      <c r="D5" s="230" t="s">
        <v>241</v>
      </c>
      <c r="E5" s="228">
        <v>2.0</v>
      </c>
      <c r="F5" s="246" t="s">
        <v>115</v>
      </c>
      <c r="G5" s="230" t="s">
        <v>239</v>
      </c>
      <c r="H5" s="248">
        <v>44341.0</v>
      </c>
      <c r="I5" s="230"/>
      <c r="J5" s="242"/>
      <c r="K5" s="242"/>
      <c r="L5" s="232" t="str">
        <f>'Notas_Frequência'!$A19</f>
        <v>edevilson.silva</v>
      </c>
      <c r="M5" s="233">
        <f t="shared" si="1"/>
        <v>11</v>
      </c>
      <c r="N5" s="233">
        <f t="shared" si="2"/>
        <v>11</v>
      </c>
      <c r="O5" s="243">
        <f t="shared" si="3"/>
        <v>1</v>
      </c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ht="15.75" customHeight="1">
      <c r="A6" s="228">
        <v>1.0</v>
      </c>
      <c r="B6" s="229">
        <v>4.0</v>
      </c>
      <c r="C6" s="230" t="s">
        <v>243</v>
      </c>
      <c r="D6" s="230" t="s">
        <v>241</v>
      </c>
      <c r="E6" s="228">
        <v>2.0</v>
      </c>
      <c r="F6" s="230" t="s">
        <v>119</v>
      </c>
      <c r="G6" s="230" t="s">
        <v>239</v>
      </c>
      <c r="H6" s="248">
        <v>44434.0</v>
      </c>
      <c r="I6" s="230"/>
      <c r="J6" s="242"/>
      <c r="K6" s="242"/>
      <c r="L6" s="232" t="str">
        <f>'Notas_Frequência'!$A20</f>
        <v>paulo.leone</v>
      </c>
      <c r="M6" s="233">
        <f t="shared" si="1"/>
        <v>13</v>
      </c>
      <c r="N6" s="233">
        <f t="shared" si="2"/>
        <v>13</v>
      </c>
      <c r="O6" s="243">
        <f t="shared" si="3"/>
        <v>1</v>
      </c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r="7" ht="15.75" customHeight="1">
      <c r="A7" s="228">
        <v>1.0</v>
      </c>
      <c r="B7" s="229">
        <v>5.0</v>
      </c>
      <c r="C7" s="246" t="s">
        <v>244</v>
      </c>
      <c r="D7" s="230" t="s">
        <v>238</v>
      </c>
      <c r="E7" s="247">
        <v>2.0</v>
      </c>
      <c r="F7" s="230" t="s">
        <v>121</v>
      </c>
      <c r="G7" s="246" t="s">
        <v>239</v>
      </c>
      <c r="H7" s="249">
        <v>44518.0</v>
      </c>
      <c r="I7" s="230"/>
      <c r="J7" s="242"/>
      <c r="K7" s="242"/>
      <c r="L7" s="232" t="str">
        <f>'Notas_Frequência'!$A21</f>
        <v>jessica.ribeiro</v>
      </c>
      <c r="M7" s="233">
        <f t="shared" si="1"/>
        <v>26</v>
      </c>
      <c r="N7" s="233">
        <f t="shared" si="2"/>
        <v>26</v>
      </c>
      <c r="O7" s="243">
        <f t="shared" si="3"/>
        <v>1</v>
      </c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r="8" ht="15.75" customHeight="1">
      <c r="A8" s="228">
        <v>1.0</v>
      </c>
      <c r="B8" s="229">
        <v>6.0</v>
      </c>
      <c r="C8" s="230" t="s">
        <v>245</v>
      </c>
      <c r="D8" s="230" t="s">
        <v>241</v>
      </c>
      <c r="E8" s="247">
        <v>3.0</v>
      </c>
      <c r="F8" s="246" t="s">
        <v>115</v>
      </c>
      <c r="G8" s="246" t="s">
        <v>239</v>
      </c>
      <c r="H8" s="249">
        <v>44518.0</v>
      </c>
      <c r="I8" s="230"/>
      <c r="J8" s="242"/>
      <c r="K8" s="242"/>
      <c r="L8" s="232" t="str">
        <f>'Notas_Frequência'!$A22</f>
        <v/>
      </c>
      <c r="M8" s="233">
        <f t="shared" si="1"/>
        <v>0</v>
      </c>
      <c r="N8" s="233">
        <f t="shared" si="2"/>
        <v>0</v>
      </c>
      <c r="O8" s="243" t="str">
        <f t="shared" si="3"/>
        <v/>
      </c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r="9" ht="15.75" customHeight="1">
      <c r="A9" s="247">
        <v>1.0</v>
      </c>
      <c r="B9" s="229">
        <v>7.0</v>
      </c>
      <c r="C9" s="230" t="s">
        <v>246</v>
      </c>
      <c r="D9" s="230" t="s">
        <v>241</v>
      </c>
      <c r="E9" s="247">
        <v>3.0</v>
      </c>
      <c r="F9" s="230" t="s">
        <v>117</v>
      </c>
      <c r="G9" s="246" t="s">
        <v>239</v>
      </c>
      <c r="H9" s="249">
        <v>44510.0</v>
      </c>
      <c r="I9" s="230"/>
      <c r="J9" s="242"/>
      <c r="K9" s="242"/>
      <c r="L9" s="232" t="str">
        <f>'Notas_Frequência'!$A23</f>
        <v/>
      </c>
      <c r="M9" s="233">
        <f t="shared" si="1"/>
        <v>0</v>
      </c>
      <c r="N9" s="233">
        <f t="shared" si="2"/>
        <v>0</v>
      </c>
      <c r="O9" s="243" t="str">
        <f t="shared" si="3"/>
        <v/>
      </c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</row>
    <row r="10" ht="15.75" customHeight="1">
      <c r="A10" s="247">
        <v>1.0</v>
      </c>
      <c r="B10" s="229">
        <v>8.0</v>
      </c>
      <c r="C10" s="230" t="s">
        <v>247</v>
      </c>
      <c r="D10" s="230" t="s">
        <v>241</v>
      </c>
      <c r="E10" s="247">
        <v>4.0</v>
      </c>
      <c r="F10" s="230" t="s">
        <v>123</v>
      </c>
      <c r="G10" s="246" t="s">
        <v>239</v>
      </c>
      <c r="H10" s="249">
        <v>44512.0</v>
      </c>
      <c r="I10" s="230"/>
      <c r="J10" s="242"/>
      <c r="K10" s="242"/>
      <c r="L10" s="232" t="str">
        <f>'Notas_Frequência'!$A24</f>
        <v/>
      </c>
      <c r="M10" s="233">
        <f t="shared" si="1"/>
        <v>0</v>
      </c>
      <c r="N10" s="233">
        <f t="shared" si="2"/>
        <v>0</v>
      </c>
      <c r="O10" s="243" t="str">
        <f t="shared" si="3"/>
        <v/>
      </c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 ht="15.75" customHeight="1">
      <c r="A11" s="247">
        <v>1.0</v>
      </c>
      <c r="B11" s="229">
        <v>9.0</v>
      </c>
      <c r="C11" s="246" t="s">
        <v>248</v>
      </c>
      <c r="D11" s="246" t="s">
        <v>241</v>
      </c>
      <c r="E11" s="247">
        <v>2.0</v>
      </c>
      <c r="F11" s="246" t="s">
        <v>115</v>
      </c>
      <c r="G11" s="246" t="s">
        <v>239</v>
      </c>
      <c r="H11" s="249">
        <v>44518.0</v>
      </c>
      <c r="I11" s="230"/>
      <c r="J11" s="242"/>
      <c r="K11" s="242"/>
      <c r="L11" s="232" t="str">
        <f>'Notas_Frequência'!$A25</f>
        <v/>
      </c>
      <c r="M11" s="233">
        <f t="shared" si="1"/>
        <v>0</v>
      </c>
      <c r="N11" s="233">
        <f t="shared" si="2"/>
        <v>0</v>
      </c>
      <c r="O11" s="243" t="str">
        <f t="shared" si="3"/>
        <v/>
      </c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 ht="15.75" customHeight="1">
      <c r="A12" s="247">
        <v>1.0</v>
      </c>
      <c r="B12" s="229">
        <v>10.0</v>
      </c>
      <c r="C12" s="246" t="s">
        <v>249</v>
      </c>
      <c r="D12" s="246" t="s">
        <v>241</v>
      </c>
      <c r="E12" s="247">
        <v>4.0</v>
      </c>
      <c r="F12" s="246" t="s">
        <v>123</v>
      </c>
      <c r="G12" s="246" t="s">
        <v>239</v>
      </c>
      <c r="H12" s="249">
        <v>44515.0</v>
      </c>
      <c r="I12" s="230"/>
      <c r="J12" s="242"/>
      <c r="K12" s="242"/>
      <c r="L12" s="232" t="str">
        <f>'Notas_Frequência'!$A26</f>
        <v/>
      </c>
      <c r="M12" s="233">
        <f t="shared" si="1"/>
        <v>0</v>
      </c>
      <c r="N12" s="233">
        <f t="shared" si="2"/>
        <v>0</v>
      </c>
      <c r="O12" s="243" t="str">
        <f t="shared" si="3"/>
        <v/>
      </c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ht="15.75" customHeight="1">
      <c r="A13" s="247">
        <v>1.0</v>
      </c>
      <c r="B13" s="229">
        <v>11.0</v>
      </c>
      <c r="C13" s="250" t="s">
        <v>250</v>
      </c>
      <c r="D13" s="246" t="s">
        <v>238</v>
      </c>
      <c r="E13" s="247">
        <v>2.0</v>
      </c>
      <c r="F13" s="246" t="s">
        <v>117</v>
      </c>
      <c r="G13" s="246" t="s">
        <v>239</v>
      </c>
      <c r="H13" s="249">
        <v>44518.0</v>
      </c>
      <c r="I13" s="230"/>
      <c r="J13" s="242"/>
      <c r="K13" s="242"/>
      <c r="L13" s="234" t="s">
        <v>230</v>
      </c>
      <c r="M13" s="234">
        <f>SUM(M3:M12)</f>
        <v>89</v>
      </c>
      <c r="N13" s="234">
        <f>SUMIFS(E:E,G:G,"Concluída")</f>
        <v>89</v>
      </c>
      <c r="O13" s="245">
        <f>if(M13,N13/M13,0)</f>
        <v>1</v>
      </c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 ht="15.75" customHeight="1">
      <c r="A14" s="247">
        <v>2.0</v>
      </c>
      <c r="B14" s="251">
        <v>12.0</v>
      </c>
      <c r="C14" s="246" t="s">
        <v>251</v>
      </c>
      <c r="D14" s="246" t="s">
        <v>241</v>
      </c>
      <c r="E14" s="247">
        <v>4.0</v>
      </c>
      <c r="F14" s="246" t="s">
        <v>115</v>
      </c>
      <c r="G14" s="246" t="s">
        <v>239</v>
      </c>
      <c r="H14" s="249">
        <v>44521.0</v>
      </c>
      <c r="I14" s="230"/>
      <c r="J14" s="242"/>
      <c r="K14" s="242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ht="15.75" customHeight="1">
      <c r="A15" s="247">
        <v>2.0</v>
      </c>
      <c r="B15" s="251">
        <v>13.0</v>
      </c>
      <c r="C15" s="246" t="s">
        <v>252</v>
      </c>
      <c r="D15" s="246" t="s">
        <v>241</v>
      </c>
      <c r="E15" s="247">
        <v>3.0</v>
      </c>
      <c r="F15" s="246" t="s">
        <v>123</v>
      </c>
      <c r="G15" s="246" t="s">
        <v>239</v>
      </c>
      <c r="H15" s="249">
        <v>44522.0</v>
      </c>
      <c r="I15" s="230"/>
      <c r="J15" s="242"/>
      <c r="K15" s="242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ht="15.75" customHeight="1">
      <c r="A16" s="247">
        <v>2.0</v>
      </c>
      <c r="B16" s="251">
        <v>14.0</v>
      </c>
      <c r="C16" s="246" t="s">
        <v>253</v>
      </c>
      <c r="D16" s="246" t="s">
        <v>241</v>
      </c>
      <c r="E16" s="247">
        <v>2.0</v>
      </c>
      <c r="F16" s="246" t="s">
        <v>115</v>
      </c>
      <c r="G16" s="246" t="s">
        <v>239</v>
      </c>
      <c r="H16" s="249">
        <v>44521.0</v>
      </c>
      <c r="I16" s="230"/>
      <c r="J16" s="242"/>
      <c r="K16" s="242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ht="15.75" customHeight="1">
      <c r="A17" s="247">
        <v>2.0</v>
      </c>
      <c r="B17" s="251">
        <v>15.0</v>
      </c>
      <c r="C17" s="246" t="s">
        <v>254</v>
      </c>
      <c r="D17" s="246" t="s">
        <v>241</v>
      </c>
      <c r="E17" s="247">
        <v>3.0</v>
      </c>
      <c r="F17" s="246" t="s">
        <v>119</v>
      </c>
      <c r="G17" s="246" t="s">
        <v>239</v>
      </c>
      <c r="H17" s="249">
        <v>44520.0</v>
      </c>
      <c r="I17" s="230"/>
      <c r="J17" s="242"/>
      <c r="K17" s="242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ht="15.75" customHeight="1">
      <c r="A18" s="247">
        <v>2.0</v>
      </c>
      <c r="B18" s="251">
        <v>16.0</v>
      </c>
      <c r="C18" s="250" t="s">
        <v>250</v>
      </c>
      <c r="D18" s="246" t="s">
        <v>241</v>
      </c>
      <c r="E18" s="247">
        <v>2.0</v>
      </c>
      <c r="F18" s="246" t="s">
        <v>117</v>
      </c>
      <c r="G18" s="246" t="s">
        <v>239</v>
      </c>
      <c r="H18" s="249">
        <v>44523.0</v>
      </c>
      <c r="I18" s="230"/>
      <c r="J18" s="242"/>
      <c r="K18" s="242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 ht="15.75" customHeight="1">
      <c r="A19" s="247">
        <v>3.0</v>
      </c>
      <c r="B19" s="251">
        <v>17.0</v>
      </c>
      <c r="C19" s="246" t="s">
        <v>255</v>
      </c>
      <c r="D19" s="246" t="s">
        <v>241</v>
      </c>
      <c r="E19" s="247">
        <v>3.0</v>
      </c>
      <c r="F19" s="246" t="s">
        <v>115</v>
      </c>
      <c r="G19" s="246" t="s">
        <v>239</v>
      </c>
      <c r="H19" s="249">
        <v>44525.0</v>
      </c>
      <c r="I19" s="230"/>
      <c r="J19" s="242"/>
      <c r="K19" s="242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 ht="15.75" customHeight="1">
      <c r="A20" s="247">
        <v>3.0</v>
      </c>
      <c r="B20" s="251">
        <v>18.0</v>
      </c>
      <c r="C20" s="250" t="s">
        <v>253</v>
      </c>
      <c r="D20" s="246" t="s">
        <v>241</v>
      </c>
      <c r="E20" s="247">
        <v>1.0</v>
      </c>
      <c r="F20" s="246" t="s">
        <v>115</v>
      </c>
      <c r="G20" s="246" t="s">
        <v>239</v>
      </c>
      <c r="H20" s="249">
        <v>44525.0</v>
      </c>
      <c r="I20" s="230"/>
      <c r="J20" s="242"/>
      <c r="K20" s="242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 ht="15.75" customHeight="1">
      <c r="A21" s="247">
        <v>3.0</v>
      </c>
      <c r="B21" s="251">
        <v>19.0</v>
      </c>
      <c r="C21" s="246" t="s">
        <v>256</v>
      </c>
      <c r="D21" s="246" t="s">
        <v>241</v>
      </c>
      <c r="E21" s="247">
        <v>4.0</v>
      </c>
      <c r="F21" s="246" t="s">
        <v>115</v>
      </c>
      <c r="G21" s="246" t="s">
        <v>239</v>
      </c>
      <c r="H21" s="249">
        <v>44526.0</v>
      </c>
      <c r="I21" s="230"/>
      <c r="J21" s="242"/>
      <c r="K21" s="242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 ht="15.75" customHeight="1">
      <c r="A22" s="247">
        <v>3.0</v>
      </c>
      <c r="B22" s="251">
        <v>20.0</v>
      </c>
      <c r="C22" s="246" t="s">
        <v>252</v>
      </c>
      <c r="D22" s="246" t="s">
        <v>241</v>
      </c>
      <c r="E22" s="247">
        <v>3.0</v>
      </c>
      <c r="F22" s="246" t="s">
        <v>123</v>
      </c>
      <c r="G22" s="246" t="s">
        <v>239</v>
      </c>
      <c r="H22" s="249">
        <v>44526.0</v>
      </c>
      <c r="I22" s="230"/>
      <c r="J22" s="242"/>
      <c r="K22" s="242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 ht="15.75" customHeight="1">
      <c r="A23" s="247">
        <v>3.0</v>
      </c>
      <c r="B23" s="251">
        <v>21.0</v>
      </c>
      <c r="C23" s="246" t="s">
        <v>257</v>
      </c>
      <c r="D23" s="246" t="s">
        <v>238</v>
      </c>
      <c r="E23" s="247">
        <v>1.0</v>
      </c>
      <c r="F23" s="246" t="s">
        <v>123</v>
      </c>
      <c r="G23" s="246" t="s">
        <v>239</v>
      </c>
      <c r="H23" s="249">
        <v>44526.0</v>
      </c>
      <c r="I23" s="230"/>
      <c r="J23" s="242"/>
      <c r="K23" s="242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 ht="15.75" customHeight="1">
      <c r="A24" s="247">
        <v>3.0</v>
      </c>
      <c r="B24" s="251">
        <v>22.0</v>
      </c>
      <c r="C24" s="246" t="s">
        <v>258</v>
      </c>
      <c r="D24" s="246" t="s">
        <v>238</v>
      </c>
      <c r="E24" s="247">
        <v>2.0</v>
      </c>
      <c r="F24" s="246" t="s">
        <v>117</v>
      </c>
      <c r="G24" s="246" t="s">
        <v>239</v>
      </c>
      <c r="H24" s="249">
        <v>44528.0</v>
      </c>
      <c r="I24" s="230"/>
      <c r="J24" s="242"/>
      <c r="K24" s="242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 ht="15.75" customHeight="1">
      <c r="A25" s="247">
        <v>3.0</v>
      </c>
      <c r="B25" s="251">
        <v>23.0</v>
      </c>
      <c r="C25" s="246" t="s">
        <v>259</v>
      </c>
      <c r="D25" s="246" t="s">
        <v>241</v>
      </c>
      <c r="E25" s="247">
        <v>5.0</v>
      </c>
      <c r="F25" s="246" t="s">
        <v>121</v>
      </c>
      <c r="G25" s="246" t="s">
        <v>239</v>
      </c>
      <c r="H25" s="249">
        <v>44529.0</v>
      </c>
      <c r="I25" s="230"/>
      <c r="J25" s="242"/>
      <c r="K25" s="242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 ht="15.75" customHeight="1">
      <c r="A26" s="247">
        <v>3.0</v>
      </c>
      <c r="B26" s="251">
        <v>24.0</v>
      </c>
      <c r="C26" s="246" t="s">
        <v>254</v>
      </c>
      <c r="D26" s="246" t="s">
        <v>241</v>
      </c>
      <c r="E26" s="247">
        <v>3.0</v>
      </c>
      <c r="F26" s="246" t="s">
        <v>119</v>
      </c>
      <c r="G26" s="246" t="s">
        <v>239</v>
      </c>
      <c r="H26" s="249">
        <v>44529.0</v>
      </c>
      <c r="I26" s="230"/>
      <c r="J26" s="242"/>
      <c r="K26" s="242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 ht="15.75" customHeight="1">
      <c r="A27" s="247">
        <v>4.0</v>
      </c>
      <c r="B27" s="251">
        <v>25.0</v>
      </c>
      <c r="C27" s="246" t="s">
        <v>260</v>
      </c>
      <c r="D27" s="246" t="s">
        <v>241</v>
      </c>
      <c r="E27" s="247">
        <v>6.0</v>
      </c>
      <c r="F27" s="246" t="s">
        <v>123</v>
      </c>
      <c r="G27" s="246" t="s">
        <v>239</v>
      </c>
      <c r="H27" s="249">
        <v>44531.0</v>
      </c>
      <c r="I27" s="230"/>
      <c r="J27" s="242"/>
      <c r="K27" s="242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 ht="15.75" customHeight="1">
      <c r="A28" s="247">
        <v>4.0</v>
      </c>
      <c r="B28" s="251">
        <v>24.0</v>
      </c>
      <c r="C28" s="246" t="s">
        <v>261</v>
      </c>
      <c r="D28" s="246" t="s">
        <v>241</v>
      </c>
      <c r="E28" s="247">
        <v>1.0</v>
      </c>
      <c r="F28" s="246" t="s">
        <v>115</v>
      </c>
      <c r="G28" s="246" t="s">
        <v>239</v>
      </c>
      <c r="H28" s="249">
        <v>44531.0</v>
      </c>
      <c r="I28" s="230"/>
      <c r="J28" s="242"/>
      <c r="K28" s="242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 ht="15.75" customHeight="1">
      <c r="A29" s="247">
        <v>4.0</v>
      </c>
      <c r="B29" s="251">
        <v>25.0</v>
      </c>
      <c r="C29" s="246" t="s">
        <v>258</v>
      </c>
      <c r="D29" s="246" t="s">
        <v>241</v>
      </c>
      <c r="E29" s="247">
        <v>3.0</v>
      </c>
      <c r="F29" s="246" t="s">
        <v>117</v>
      </c>
      <c r="G29" s="246" t="s">
        <v>239</v>
      </c>
      <c r="H29" s="249">
        <v>44532.0</v>
      </c>
      <c r="I29" s="230"/>
      <c r="J29" s="242"/>
      <c r="K29" s="242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 ht="15.75" customHeight="1">
      <c r="A30" s="247">
        <v>4.0</v>
      </c>
      <c r="B30" s="251">
        <v>26.0</v>
      </c>
      <c r="C30" s="246" t="s">
        <v>262</v>
      </c>
      <c r="D30" s="246" t="s">
        <v>241</v>
      </c>
      <c r="E30" s="247">
        <v>3.0</v>
      </c>
      <c r="F30" s="246" t="s">
        <v>123</v>
      </c>
      <c r="G30" s="246" t="s">
        <v>239</v>
      </c>
      <c r="H30" s="249">
        <v>44533.0</v>
      </c>
      <c r="I30" s="230"/>
      <c r="J30" s="242"/>
      <c r="K30" s="242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 ht="15.75" customHeight="1">
      <c r="A31" s="247">
        <v>4.0</v>
      </c>
      <c r="B31" s="251">
        <v>27.0</v>
      </c>
      <c r="C31" s="246" t="s">
        <v>263</v>
      </c>
      <c r="D31" s="246" t="s">
        <v>241</v>
      </c>
      <c r="E31" s="247">
        <v>3.0</v>
      </c>
      <c r="F31" s="246" t="s">
        <v>121</v>
      </c>
      <c r="G31" s="246" t="s">
        <v>239</v>
      </c>
      <c r="H31" s="249">
        <v>44534.0</v>
      </c>
      <c r="I31" s="230"/>
      <c r="J31" s="242"/>
      <c r="K31" s="242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 ht="15.75" customHeight="1">
      <c r="A32" s="247">
        <v>4.0</v>
      </c>
      <c r="B32" s="251">
        <v>28.0</v>
      </c>
      <c r="C32" s="246" t="s">
        <v>264</v>
      </c>
      <c r="D32" s="246" t="s">
        <v>241</v>
      </c>
      <c r="E32" s="247">
        <v>4.0</v>
      </c>
      <c r="F32" s="246" t="s">
        <v>117</v>
      </c>
      <c r="G32" s="246" t="s">
        <v>239</v>
      </c>
      <c r="H32" s="252">
        <v>44535.0</v>
      </c>
      <c r="I32" s="23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ht="15.75" customHeight="1">
      <c r="A33" s="247">
        <v>4.0</v>
      </c>
      <c r="B33" s="251">
        <v>25.0</v>
      </c>
      <c r="C33" s="246" t="s">
        <v>265</v>
      </c>
      <c r="D33" s="246" t="s">
        <v>241</v>
      </c>
      <c r="E33" s="247">
        <v>1.0</v>
      </c>
      <c r="F33" s="246" t="s">
        <v>115</v>
      </c>
      <c r="G33" s="246" t="s">
        <v>239</v>
      </c>
      <c r="H33" s="252">
        <v>44536.0</v>
      </c>
      <c r="I33" s="23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 ht="15.75" customHeight="1">
      <c r="A34" s="247">
        <v>4.0</v>
      </c>
      <c r="B34" s="251">
        <v>26.0</v>
      </c>
      <c r="C34" s="246" t="s">
        <v>266</v>
      </c>
      <c r="D34" s="246" t="s">
        <v>241</v>
      </c>
      <c r="E34" s="247">
        <v>2.0</v>
      </c>
      <c r="F34" s="246" t="s">
        <v>123</v>
      </c>
      <c r="G34" s="246" t="s">
        <v>239</v>
      </c>
      <c r="H34" s="252">
        <v>44536.0</v>
      </c>
      <c r="I34" s="23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 ht="15.75" customHeight="1">
      <c r="A35" s="228"/>
      <c r="B35" s="229"/>
      <c r="C35" s="230"/>
      <c r="D35" s="230"/>
      <c r="E35" s="228"/>
      <c r="F35" s="230"/>
      <c r="G35" s="230"/>
      <c r="H35" s="230"/>
      <c r="I35" s="23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</row>
    <row r="36" ht="15.75" customHeight="1">
      <c r="A36" s="228"/>
      <c r="B36" s="229"/>
      <c r="C36" s="230"/>
      <c r="D36" s="230"/>
      <c r="E36" s="228"/>
      <c r="F36" s="230"/>
      <c r="G36" s="230"/>
      <c r="H36" s="230"/>
      <c r="I36" s="23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 ht="15.75" customHeight="1">
      <c r="A37" s="228"/>
      <c r="B37" s="229"/>
      <c r="C37" s="230"/>
      <c r="D37" s="230"/>
      <c r="E37" s="228"/>
      <c r="F37" s="230"/>
      <c r="G37" s="230"/>
      <c r="H37" s="230"/>
      <c r="I37" s="23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</row>
    <row r="38" ht="15.75" customHeight="1">
      <c r="A38" s="228"/>
      <c r="B38" s="229"/>
      <c r="C38" s="230"/>
      <c r="D38" s="230"/>
      <c r="E38" s="228"/>
      <c r="F38" s="230"/>
      <c r="G38" s="230"/>
      <c r="H38" s="230"/>
      <c r="I38" s="23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 ht="15.75" customHeight="1">
      <c r="A39" s="228"/>
      <c r="B39" s="229"/>
      <c r="C39" s="230"/>
      <c r="D39" s="230"/>
      <c r="E39" s="228"/>
      <c r="F39" s="230"/>
      <c r="G39" s="230"/>
      <c r="H39" s="230"/>
      <c r="I39" s="23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</row>
    <row r="40" ht="15.75" customHeight="1">
      <c r="A40" s="228"/>
      <c r="B40" s="229"/>
      <c r="C40" s="230"/>
      <c r="D40" s="230"/>
      <c r="E40" s="228"/>
      <c r="F40" s="230"/>
      <c r="G40" s="230"/>
      <c r="H40" s="230"/>
      <c r="I40" s="23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 ht="15.75" customHeight="1">
      <c r="A41" s="228"/>
      <c r="B41" s="229"/>
      <c r="C41" s="230"/>
      <c r="D41" s="230"/>
      <c r="E41" s="228"/>
      <c r="F41" s="230"/>
      <c r="G41" s="230"/>
      <c r="H41" s="230"/>
      <c r="I41" s="23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 ht="15.75" customHeight="1">
      <c r="A42" s="228"/>
      <c r="B42" s="229"/>
      <c r="C42" s="230"/>
      <c r="D42" s="230"/>
      <c r="E42" s="228"/>
      <c r="F42" s="230"/>
      <c r="G42" s="230"/>
      <c r="H42" s="230"/>
      <c r="I42" s="23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 ht="15.75" customHeight="1">
      <c r="A43" s="228"/>
      <c r="B43" s="229"/>
      <c r="C43" s="230"/>
      <c r="D43" s="230"/>
      <c r="E43" s="228"/>
      <c r="F43" s="230"/>
      <c r="G43" s="230"/>
      <c r="H43" s="230"/>
      <c r="I43" s="23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 ht="15.75" customHeight="1">
      <c r="A44" s="228"/>
      <c r="B44" s="229"/>
      <c r="C44" s="230"/>
      <c r="D44" s="230"/>
      <c r="E44" s="228"/>
      <c r="F44" s="230"/>
      <c r="G44" s="230"/>
      <c r="H44" s="230"/>
      <c r="I44" s="23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 ht="15.75" customHeight="1">
      <c r="A45" s="228"/>
      <c r="B45" s="229"/>
      <c r="C45" s="230"/>
      <c r="D45" s="230"/>
      <c r="E45" s="228"/>
      <c r="F45" s="230"/>
      <c r="G45" s="230"/>
      <c r="H45" s="230"/>
      <c r="I45" s="23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 ht="15.75" customHeight="1">
      <c r="A46" s="228"/>
      <c r="B46" s="229"/>
      <c r="C46" s="230"/>
      <c r="D46" s="230"/>
      <c r="E46" s="228"/>
      <c r="F46" s="230"/>
      <c r="G46" s="230"/>
      <c r="H46" s="230"/>
      <c r="I46" s="23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 ht="15.75" customHeight="1">
      <c r="A47" s="228"/>
      <c r="B47" s="229"/>
      <c r="C47" s="230"/>
      <c r="D47" s="230"/>
      <c r="E47" s="228"/>
      <c r="F47" s="230"/>
      <c r="G47" s="230"/>
      <c r="H47" s="230"/>
      <c r="I47" s="23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 ht="15.75" customHeight="1">
      <c r="A48" s="228"/>
      <c r="B48" s="229"/>
      <c r="C48" s="230"/>
      <c r="D48" s="230"/>
      <c r="E48" s="228"/>
      <c r="F48" s="230"/>
      <c r="G48" s="230"/>
      <c r="H48" s="230"/>
      <c r="I48" s="23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 ht="15.75" customHeight="1">
      <c r="A49" s="228"/>
      <c r="B49" s="229"/>
      <c r="C49" s="230"/>
      <c r="D49" s="230"/>
      <c r="E49" s="228"/>
      <c r="F49" s="230"/>
      <c r="G49" s="230"/>
      <c r="H49" s="230"/>
      <c r="I49" s="23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 ht="15.75" customHeight="1">
      <c r="A50" s="228"/>
      <c r="B50" s="229"/>
      <c r="C50" s="230"/>
      <c r="D50" s="230"/>
      <c r="E50" s="228"/>
      <c r="F50" s="230"/>
      <c r="G50" s="230"/>
      <c r="H50" s="230"/>
      <c r="I50" s="23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 ht="15.75" customHeight="1">
      <c r="A51" s="228"/>
      <c r="B51" s="229"/>
      <c r="C51" s="230"/>
      <c r="D51" s="230"/>
      <c r="E51" s="228"/>
      <c r="F51" s="230"/>
      <c r="G51" s="230"/>
      <c r="H51" s="230"/>
      <c r="I51" s="23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 ht="15.75" customHeight="1">
      <c r="A52" s="228"/>
      <c r="B52" s="229"/>
      <c r="C52" s="230"/>
      <c r="D52" s="230"/>
      <c r="E52" s="228"/>
      <c r="F52" s="230"/>
      <c r="G52" s="230"/>
      <c r="H52" s="230"/>
      <c r="I52" s="23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</row>
    <row r="53" ht="15.75" customHeight="1">
      <c r="A53" s="228"/>
      <c r="B53" s="229"/>
      <c r="C53" s="230"/>
      <c r="D53" s="230"/>
      <c r="E53" s="228"/>
      <c r="F53" s="230"/>
      <c r="G53" s="230"/>
      <c r="H53" s="230"/>
      <c r="I53" s="23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</row>
    <row r="54" ht="15.75" customHeight="1">
      <c r="A54" s="228"/>
      <c r="B54" s="229"/>
      <c r="C54" s="230"/>
      <c r="D54" s="230"/>
      <c r="E54" s="228"/>
      <c r="F54" s="230"/>
      <c r="G54" s="230"/>
      <c r="H54" s="230"/>
      <c r="I54" s="23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</row>
    <row r="55" ht="15.75" customHeight="1">
      <c r="A55" s="228"/>
      <c r="B55" s="229"/>
      <c r="C55" s="230"/>
      <c r="D55" s="230"/>
      <c r="E55" s="228"/>
      <c r="F55" s="230"/>
      <c r="G55" s="230"/>
      <c r="H55" s="230"/>
      <c r="I55" s="23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</row>
    <row r="56" ht="15.75" customHeight="1">
      <c r="A56" s="228"/>
      <c r="B56" s="229"/>
      <c r="C56" s="230"/>
      <c r="D56" s="230"/>
      <c r="E56" s="228"/>
      <c r="F56" s="230"/>
      <c r="G56" s="230"/>
      <c r="H56" s="230"/>
      <c r="I56" s="23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</row>
    <row r="57" ht="15.75" customHeight="1">
      <c r="A57" s="228"/>
      <c r="B57" s="229"/>
      <c r="C57" s="230"/>
      <c r="D57" s="230"/>
      <c r="E57" s="228"/>
      <c r="F57" s="230"/>
      <c r="G57" s="230"/>
      <c r="H57" s="230"/>
      <c r="I57" s="23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 ht="15.75" customHeight="1">
      <c r="A58" s="228"/>
      <c r="B58" s="229"/>
      <c r="C58" s="230"/>
      <c r="D58" s="230"/>
      <c r="E58" s="228"/>
      <c r="F58" s="230"/>
      <c r="G58" s="230"/>
      <c r="H58" s="230"/>
      <c r="I58" s="23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</row>
    <row r="59" ht="15.75" customHeight="1">
      <c r="A59" s="228"/>
      <c r="B59" s="229"/>
      <c r="C59" s="230"/>
      <c r="D59" s="230"/>
      <c r="E59" s="228"/>
      <c r="F59" s="230"/>
      <c r="G59" s="230"/>
      <c r="H59" s="230"/>
      <c r="I59" s="23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</row>
    <row r="60" ht="15.75" customHeight="1">
      <c r="A60" s="228"/>
      <c r="B60" s="229"/>
      <c r="C60" s="230"/>
      <c r="D60" s="230"/>
      <c r="E60" s="228"/>
      <c r="F60" s="230"/>
      <c r="G60" s="230"/>
      <c r="H60" s="230"/>
      <c r="I60" s="23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</row>
    <row r="61" ht="15.75" customHeight="1">
      <c r="A61" s="228"/>
      <c r="B61" s="229"/>
      <c r="C61" s="230"/>
      <c r="D61" s="230"/>
      <c r="E61" s="228"/>
      <c r="F61" s="230"/>
      <c r="G61" s="230"/>
      <c r="H61" s="230"/>
      <c r="I61" s="23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</row>
    <row r="62" ht="15.75" customHeight="1">
      <c r="A62" s="228"/>
      <c r="B62" s="229"/>
      <c r="C62" s="230"/>
      <c r="D62" s="230"/>
      <c r="E62" s="228"/>
      <c r="F62" s="230"/>
      <c r="G62" s="230"/>
      <c r="H62" s="230"/>
      <c r="I62" s="23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</row>
    <row r="63" ht="15.75" customHeight="1">
      <c r="A63" s="228"/>
      <c r="B63" s="229"/>
      <c r="C63" s="230"/>
      <c r="D63" s="230"/>
      <c r="E63" s="228"/>
      <c r="F63" s="230"/>
      <c r="G63" s="230"/>
      <c r="H63" s="230"/>
      <c r="I63" s="23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</row>
    <row r="64" ht="15.75" customHeight="1">
      <c r="A64" s="228"/>
      <c r="B64" s="229"/>
      <c r="C64" s="230"/>
      <c r="D64" s="230"/>
      <c r="E64" s="228"/>
      <c r="F64" s="230"/>
      <c r="G64" s="230"/>
      <c r="H64" s="230"/>
      <c r="I64" s="23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</row>
    <row r="65" ht="15.75" customHeight="1">
      <c r="A65" s="228"/>
      <c r="B65" s="229"/>
      <c r="C65" s="230"/>
      <c r="D65" s="230"/>
      <c r="E65" s="228"/>
      <c r="F65" s="230"/>
      <c r="G65" s="230"/>
      <c r="H65" s="230"/>
      <c r="I65" s="23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</row>
    <row r="66" ht="15.75" customHeight="1">
      <c r="A66" s="228"/>
      <c r="B66" s="229"/>
      <c r="C66" s="230"/>
      <c r="D66" s="230"/>
      <c r="E66" s="228"/>
      <c r="F66" s="230"/>
      <c r="G66" s="230"/>
      <c r="H66" s="230"/>
      <c r="I66" s="23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</row>
    <row r="67" ht="15.75" customHeight="1">
      <c r="A67" s="228"/>
      <c r="B67" s="229"/>
      <c r="C67" s="230"/>
      <c r="D67" s="230"/>
      <c r="E67" s="228"/>
      <c r="F67" s="230"/>
      <c r="G67" s="230"/>
      <c r="H67" s="230"/>
      <c r="I67" s="23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</row>
    <row r="68" ht="15.75" customHeight="1">
      <c r="A68" s="228"/>
      <c r="B68" s="229"/>
      <c r="C68" s="230"/>
      <c r="D68" s="230"/>
      <c r="E68" s="228"/>
      <c r="F68" s="230"/>
      <c r="G68" s="230"/>
      <c r="H68" s="230"/>
      <c r="I68" s="23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</row>
    <row r="69" ht="15.75" customHeight="1">
      <c r="A69" s="228"/>
      <c r="B69" s="229"/>
      <c r="C69" s="230"/>
      <c r="D69" s="230"/>
      <c r="E69" s="228"/>
      <c r="F69" s="230"/>
      <c r="G69" s="230"/>
      <c r="H69" s="230"/>
      <c r="I69" s="23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</row>
    <row r="70" ht="15.75" customHeight="1">
      <c r="A70" s="228"/>
      <c r="B70" s="229"/>
      <c r="C70" s="230"/>
      <c r="D70" s="230"/>
      <c r="E70" s="228"/>
      <c r="F70" s="230"/>
      <c r="G70" s="230"/>
      <c r="H70" s="230"/>
      <c r="I70" s="23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</row>
    <row r="71" ht="15.75" customHeight="1">
      <c r="A71" s="228"/>
      <c r="B71" s="229"/>
      <c r="C71" s="230"/>
      <c r="D71" s="230"/>
      <c r="E71" s="228"/>
      <c r="F71" s="230"/>
      <c r="G71" s="230"/>
      <c r="H71" s="230"/>
      <c r="I71" s="23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</row>
    <row r="72" ht="15.75" customHeight="1">
      <c r="A72" s="228"/>
      <c r="B72" s="229"/>
      <c r="C72" s="230"/>
      <c r="D72" s="230"/>
      <c r="E72" s="228"/>
      <c r="F72" s="230"/>
      <c r="G72" s="230"/>
      <c r="H72" s="230"/>
      <c r="I72" s="23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</row>
    <row r="73" ht="15.75" customHeight="1">
      <c r="A73" s="228"/>
      <c r="B73" s="229"/>
      <c r="C73" s="230"/>
      <c r="D73" s="230"/>
      <c r="E73" s="228"/>
      <c r="F73" s="230"/>
      <c r="G73" s="230"/>
      <c r="H73" s="230"/>
      <c r="I73" s="23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</row>
    <row r="74" ht="15.75" customHeight="1">
      <c r="A74" s="228"/>
      <c r="B74" s="229"/>
      <c r="C74" s="230"/>
      <c r="D74" s="230"/>
      <c r="E74" s="228"/>
      <c r="F74" s="230"/>
      <c r="G74" s="230"/>
      <c r="H74" s="230"/>
      <c r="I74" s="23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</row>
    <row r="75" ht="15.75" customHeight="1">
      <c r="A75" s="228"/>
      <c r="B75" s="229"/>
      <c r="C75" s="230"/>
      <c r="D75" s="230"/>
      <c r="E75" s="228"/>
      <c r="F75" s="230"/>
      <c r="G75" s="230"/>
      <c r="H75" s="230"/>
      <c r="I75" s="23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</row>
    <row r="76" ht="15.75" customHeight="1">
      <c r="A76" s="228"/>
      <c r="B76" s="229"/>
      <c r="C76" s="230"/>
      <c r="D76" s="230"/>
      <c r="E76" s="228"/>
      <c r="F76" s="230"/>
      <c r="G76" s="230"/>
      <c r="H76" s="230"/>
      <c r="I76" s="23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</row>
    <row r="77" ht="15.75" customHeight="1">
      <c r="A77" s="228"/>
      <c r="B77" s="229"/>
      <c r="C77" s="230"/>
      <c r="D77" s="230"/>
      <c r="E77" s="228"/>
      <c r="F77" s="230"/>
      <c r="G77" s="230"/>
      <c r="H77" s="230"/>
      <c r="I77" s="23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</row>
    <row r="78" ht="15.75" customHeight="1">
      <c r="A78" s="228"/>
      <c r="B78" s="229"/>
      <c r="C78" s="230"/>
      <c r="D78" s="230"/>
      <c r="E78" s="228"/>
      <c r="F78" s="230"/>
      <c r="G78" s="230"/>
      <c r="H78" s="230"/>
      <c r="I78" s="23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</row>
    <row r="79" ht="15.75" customHeight="1">
      <c r="A79" s="228"/>
      <c r="B79" s="229"/>
      <c r="C79" s="230"/>
      <c r="D79" s="230"/>
      <c r="E79" s="228"/>
      <c r="F79" s="230"/>
      <c r="G79" s="230"/>
      <c r="H79" s="230"/>
      <c r="I79" s="23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</row>
    <row r="80" ht="15.75" customHeight="1">
      <c r="A80" s="228"/>
      <c r="B80" s="229"/>
      <c r="C80" s="230"/>
      <c r="D80" s="230"/>
      <c r="E80" s="228"/>
      <c r="F80" s="230"/>
      <c r="G80" s="230"/>
      <c r="H80" s="230"/>
      <c r="I80" s="23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</row>
    <row r="81" ht="15.75" customHeight="1">
      <c r="A81" s="228"/>
      <c r="B81" s="229"/>
      <c r="C81" s="230"/>
      <c r="D81" s="230"/>
      <c r="E81" s="228"/>
      <c r="F81" s="230"/>
      <c r="G81" s="230"/>
      <c r="H81" s="230"/>
      <c r="I81" s="23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</row>
    <row r="82" ht="15.75" customHeight="1">
      <c r="A82" s="228"/>
      <c r="B82" s="229"/>
      <c r="C82" s="230"/>
      <c r="D82" s="230"/>
      <c r="E82" s="228"/>
      <c r="F82" s="230"/>
      <c r="G82" s="230"/>
      <c r="H82" s="230"/>
      <c r="I82" s="23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</row>
    <row r="83" ht="15.75" customHeight="1">
      <c r="A83" s="228"/>
      <c r="B83" s="229"/>
      <c r="C83" s="230"/>
      <c r="D83" s="230"/>
      <c r="E83" s="228"/>
      <c r="F83" s="230"/>
      <c r="G83" s="230"/>
      <c r="H83" s="230"/>
      <c r="I83" s="23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</row>
    <row r="84" ht="15.75" customHeight="1">
      <c r="A84" s="228"/>
      <c r="B84" s="229"/>
      <c r="C84" s="230"/>
      <c r="D84" s="230"/>
      <c r="E84" s="228"/>
      <c r="F84" s="230"/>
      <c r="G84" s="230"/>
      <c r="H84" s="230"/>
      <c r="I84" s="23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</row>
    <row r="85" ht="15.75" customHeight="1">
      <c r="A85" s="228"/>
      <c r="B85" s="229"/>
      <c r="C85" s="230"/>
      <c r="D85" s="230"/>
      <c r="E85" s="228"/>
      <c r="F85" s="230"/>
      <c r="G85" s="230"/>
      <c r="H85" s="230"/>
      <c r="I85" s="23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</row>
    <row r="86" ht="15.75" customHeight="1">
      <c r="A86" s="228"/>
      <c r="B86" s="229"/>
      <c r="C86" s="230"/>
      <c r="D86" s="230"/>
      <c r="E86" s="228"/>
      <c r="F86" s="230"/>
      <c r="G86" s="230"/>
      <c r="H86" s="230"/>
      <c r="I86" s="23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</row>
    <row r="87" ht="15.75" customHeight="1">
      <c r="A87" s="228"/>
      <c r="B87" s="229"/>
      <c r="C87" s="230"/>
      <c r="D87" s="230"/>
      <c r="E87" s="228"/>
      <c r="F87" s="230"/>
      <c r="G87" s="230"/>
      <c r="H87" s="230"/>
      <c r="I87" s="23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</row>
    <row r="88" ht="15.75" customHeight="1">
      <c r="A88" s="228"/>
      <c r="B88" s="229"/>
      <c r="C88" s="230"/>
      <c r="D88" s="230"/>
      <c r="E88" s="228"/>
      <c r="F88" s="230"/>
      <c r="G88" s="230"/>
      <c r="H88" s="230"/>
      <c r="I88" s="23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</row>
    <row r="89" ht="15.75" customHeight="1">
      <c r="A89" s="228"/>
      <c r="B89" s="229"/>
      <c r="C89" s="230"/>
      <c r="D89" s="230"/>
      <c r="E89" s="228"/>
      <c r="F89" s="230"/>
      <c r="G89" s="230"/>
      <c r="H89" s="230"/>
      <c r="I89" s="23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</row>
    <row r="90" ht="15.75" customHeight="1">
      <c r="A90" s="228"/>
      <c r="B90" s="229"/>
      <c r="C90" s="230"/>
      <c r="D90" s="230"/>
      <c r="E90" s="228"/>
      <c r="F90" s="230"/>
      <c r="G90" s="230"/>
      <c r="H90" s="230"/>
      <c r="I90" s="23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</row>
    <row r="91" ht="15.75" customHeight="1">
      <c r="A91" s="228"/>
      <c r="B91" s="229"/>
      <c r="C91" s="230"/>
      <c r="D91" s="230"/>
      <c r="E91" s="228"/>
      <c r="F91" s="230"/>
      <c r="G91" s="230"/>
      <c r="H91" s="230"/>
      <c r="I91" s="23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</row>
    <row r="92" ht="15.75" customHeight="1">
      <c r="A92" s="228"/>
      <c r="B92" s="229"/>
      <c r="C92" s="230"/>
      <c r="D92" s="230"/>
      <c r="E92" s="228"/>
      <c r="F92" s="230"/>
      <c r="G92" s="230"/>
      <c r="H92" s="230"/>
      <c r="I92" s="23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</row>
    <row r="93" ht="15.75" customHeight="1">
      <c r="A93" s="228"/>
      <c r="B93" s="229"/>
      <c r="C93" s="230"/>
      <c r="D93" s="230"/>
      <c r="E93" s="228"/>
      <c r="F93" s="230"/>
      <c r="G93" s="230"/>
      <c r="H93" s="230"/>
      <c r="I93" s="23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</row>
    <row r="94" ht="15.75" customHeight="1">
      <c r="A94" s="228"/>
      <c r="B94" s="229"/>
      <c r="C94" s="230"/>
      <c r="D94" s="230"/>
      <c r="E94" s="228"/>
      <c r="F94" s="230"/>
      <c r="G94" s="230"/>
      <c r="H94" s="230"/>
      <c r="I94" s="23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</row>
    <row r="95" ht="15.75" customHeight="1">
      <c r="A95" s="228"/>
      <c r="B95" s="229"/>
      <c r="C95" s="230"/>
      <c r="D95" s="230"/>
      <c r="E95" s="228"/>
      <c r="F95" s="230"/>
      <c r="G95" s="230"/>
      <c r="H95" s="230"/>
      <c r="I95" s="23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</row>
    <row r="96" ht="15.75" customHeight="1">
      <c r="A96" s="228"/>
      <c r="B96" s="229"/>
      <c r="C96" s="230"/>
      <c r="D96" s="230"/>
      <c r="E96" s="228"/>
      <c r="F96" s="230"/>
      <c r="G96" s="230"/>
      <c r="H96" s="230"/>
      <c r="I96" s="23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</row>
    <row r="97" ht="15.75" customHeight="1">
      <c r="A97" s="228"/>
      <c r="B97" s="229"/>
      <c r="C97" s="230"/>
      <c r="D97" s="230"/>
      <c r="E97" s="228"/>
      <c r="F97" s="230"/>
      <c r="G97" s="230"/>
      <c r="H97" s="230"/>
      <c r="I97" s="23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</row>
    <row r="98" ht="15.75" customHeight="1">
      <c r="A98" s="228"/>
      <c r="B98" s="229"/>
      <c r="C98" s="230"/>
      <c r="D98" s="230"/>
      <c r="E98" s="228"/>
      <c r="F98" s="230"/>
      <c r="G98" s="230"/>
      <c r="H98" s="230"/>
      <c r="I98" s="23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</row>
    <row r="99" ht="15.75" customHeight="1">
      <c r="A99" s="228"/>
      <c r="B99" s="229"/>
      <c r="C99" s="230"/>
      <c r="D99" s="230"/>
      <c r="E99" s="228"/>
      <c r="F99" s="230"/>
      <c r="G99" s="230"/>
      <c r="H99" s="230"/>
      <c r="I99" s="23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</row>
    <row r="100" ht="15.75" customHeight="1">
      <c r="A100" s="228"/>
      <c r="B100" s="229"/>
      <c r="C100" s="230"/>
      <c r="D100" s="230"/>
      <c r="E100" s="228"/>
      <c r="F100" s="230"/>
      <c r="G100" s="230"/>
      <c r="H100" s="230"/>
      <c r="I100" s="23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</row>
    <row r="101" ht="15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</row>
    <row r="102" ht="15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</row>
    <row r="103" ht="15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</row>
    <row r="104" ht="15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</row>
    <row r="105" ht="15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</row>
    <row r="106" ht="15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</row>
    <row r="107" ht="15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</row>
    <row r="108" ht="15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</row>
    <row r="109" ht="15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</row>
    <row r="110" ht="15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</row>
    <row r="111" ht="15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</row>
    <row r="112" ht="15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</row>
    <row r="113" ht="15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</row>
    <row r="114" ht="15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</row>
    <row r="115" ht="15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</row>
    <row r="116" ht="15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</row>
    <row r="117" ht="15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</row>
    <row r="118" ht="15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</row>
    <row r="119" ht="15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</row>
    <row r="120" ht="15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</row>
    <row r="121" ht="15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</row>
    <row r="122" ht="15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</row>
    <row r="123" ht="15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</row>
    <row r="124" ht="15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</row>
    <row r="125" ht="15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</row>
    <row r="126" ht="15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</row>
    <row r="127" ht="15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</row>
    <row r="128" ht="15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</row>
    <row r="129" ht="15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</row>
    <row r="130" ht="15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</row>
    <row r="131" ht="15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</row>
    <row r="132" ht="15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</row>
    <row r="133" ht="15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</row>
    <row r="134" ht="15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</row>
    <row r="135" ht="15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</row>
    <row r="136" ht="15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</row>
    <row r="137" ht="15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</row>
    <row r="138" ht="15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</row>
    <row r="139" ht="15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</row>
    <row r="140" ht="15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</row>
    <row r="141" ht="15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</row>
    <row r="142" ht="15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</row>
    <row r="143" ht="15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</row>
    <row r="144" ht="15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</row>
    <row r="145" ht="15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</row>
    <row r="146" ht="15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</row>
    <row r="147" ht="15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</row>
    <row r="148" ht="15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</row>
    <row r="149" ht="15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</row>
    <row r="150" ht="15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</row>
    <row r="151" ht="15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</row>
    <row r="152" ht="15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</row>
    <row r="153" ht="15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</row>
    <row r="154" ht="15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</row>
    <row r="155" ht="15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</row>
    <row r="156" ht="15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</row>
    <row r="157" ht="15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</row>
    <row r="158" ht="15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</row>
    <row r="159" ht="15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</row>
    <row r="160" ht="15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</row>
    <row r="161" ht="15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</row>
    <row r="162" ht="15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</row>
    <row r="163" ht="15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</row>
    <row r="164" ht="15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</row>
    <row r="165" ht="15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</row>
    <row r="166" ht="15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</row>
    <row r="167" ht="15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</row>
    <row r="168" ht="15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</row>
    <row r="169" ht="15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</row>
    <row r="170" ht="15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</row>
    <row r="171" ht="15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</row>
    <row r="172" ht="15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</row>
    <row r="173" ht="15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</row>
    <row r="174" ht="15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</row>
    <row r="175" ht="15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</row>
    <row r="176" ht="15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</row>
    <row r="177" ht="15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</row>
    <row r="178" ht="15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</row>
    <row r="179" ht="15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</row>
    <row r="180" ht="15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</row>
    <row r="181" ht="15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</row>
    <row r="182" ht="15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</row>
    <row r="183" ht="15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</row>
    <row r="184" ht="15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</row>
    <row r="185" ht="15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</row>
    <row r="186" ht="15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</row>
    <row r="187" ht="15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</row>
    <row r="188" ht="15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</row>
    <row r="189" ht="15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</row>
    <row r="190" ht="15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</row>
    <row r="191" ht="15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</row>
    <row r="192" ht="15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</row>
    <row r="193" ht="15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</row>
    <row r="194" ht="15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</row>
    <row r="195" ht="15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</row>
    <row r="196" ht="15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</row>
    <row r="197" ht="15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</row>
    <row r="198" ht="15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</row>
    <row r="199" ht="15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</row>
    <row r="200" ht="15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</row>
    <row r="201" ht="15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</row>
    <row r="202" ht="15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</row>
    <row r="203" ht="15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</row>
    <row r="204" ht="15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</row>
    <row r="205" ht="15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</row>
    <row r="206" ht="15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</row>
    <row r="207" ht="15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</row>
    <row r="208" ht="15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</row>
    <row r="209" ht="15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</row>
    <row r="210" ht="15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</row>
    <row r="211" ht="15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</row>
    <row r="212" ht="15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</row>
    <row r="213" ht="15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</row>
    <row r="214" ht="15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</row>
    <row r="215" ht="15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</row>
    <row r="216" ht="15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</row>
    <row r="217" ht="15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</row>
    <row r="218" ht="15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</row>
    <row r="219" ht="15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</row>
    <row r="220" ht="15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3:G100">
    <cfRule type="containsText" dxfId="3" priority="1" operator="containsText" text="Concluída">
      <formula>NOT(ISERROR(SEARCH(("Concluída"),(G3))))</formula>
    </cfRule>
  </conditionalFormatting>
  <conditionalFormatting sqref="G3:G100">
    <cfRule type="containsText" dxfId="9" priority="2" operator="containsText" text="Andamento">
      <formula>NOT(ISERROR(SEARCH(("Andamento"),(G3))))</formula>
    </cfRule>
  </conditionalFormatting>
  <conditionalFormatting sqref="G3:G100">
    <cfRule type="containsText" dxfId="10" priority="3" operator="containsText" text="Bloqueada">
      <formula>NOT(ISERROR(SEARCH(("Bloqueada"),(G3))))</formula>
    </cfRule>
  </conditionalFormatting>
  <conditionalFormatting sqref="D3:D100">
    <cfRule type="cellIs" dxfId="1" priority="4" operator="equal">
      <formula>0</formula>
    </cfRule>
  </conditionalFormatting>
  <conditionalFormatting sqref="A1">
    <cfRule type="cellIs" dxfId="1" priority="5" operator="equal">
      <formula>0</formula>
    </cfRule>
  </conditionalFormatting>
  <conditionalFormatting sqref="D3:D100">
    <cfRule type="containsText" dxfId="4" priority="6" operator="containsText" text="Alta">
      <formula>NOT(ISERROR(SEARCH(("Alta"),(D3))))</formula>
    </cfRule>
  </conditionalFormatting>
  <conditionalFormatting sqref="D3:D100">
    <cfRule type="containsText" dxfId="5" priority="7" operator="containsText" text="Baixa">
      <formula>NOT(ISERROR(SEARCH(("Baixa"),(D3))))</formula>
    </cfRule>
  </conditionalFormatting>
  <conditionalFormatting sqref="B1">
    <cfRule type="cellIs" dxfId="1" priority="8" operator="equal">
      <formula>0</formula>
    </cfRule>
  </conditionalFormatting>
  <conditionalFormatting sqref="E1">
    <cfRule type="cellIs" dxfId="1" priority="9" operator="equal">
      <formula>0</formula>
    </cfRule>
  </conditionalFormatting>
  <conditionalFormatting sqref="B3:B100">
    <cfRule type="notContainsBlanks" dxfId="3" priority="10">
      <formula>LEN(TRIM(B3))&gt;0</formula>
    </cfRule>
  </conditionalFormatting>
  <dataValidations>
    <dataValidation type="decimal" allowBlank="1" showErrorMessage="1" sqref="A3:A100">
      <formula1>1.0</formula1>
      <formula2>7.0</formula2>
    </dataValidation>
    <dataValidation type="list" allowBlank="1" showErrorMessage="1" sqref="D3:D100">
      <formula1>"Alta,Média,Baixa"</formula1>
    </dataValidation>
    <dataValidation type="decimal" operator="greaterThan" allowBlank="1" showDropDown="1" showErrorMessage="1" sqref="E1">
      <formula1>0.0</formula1>
    </dataValidation>
    <dataValidation type="list" allowBlank="1" showErrorMessage="1" sqref="G3:G100">
      <formula1>"Pendente,Em andamento,Bloqueada,Concluída"</formula1>
    </dataValidation>
    <dataValidation type="list" allowBlank="1" sqref="L3:L12 F3:F100">
      <formula1>alunos</formula1>
    </dataValidation>
    <dataValidation type="decimal" allowBlank="1" showDropDown="1" showInputMessage="1" showErrorMessage="1" prompt="Pontuação inválida - Inserir valor entre 1 e 21" sqref="E3:E100">
      <formula1>0.0</formula1>
      <formula2>21.0</formula2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