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35" windowWidth="20115" windowHeight="8445"/>
  </bookViews>
  <sheets>
    <sheet name="General" sheetId="1" r:id="rId1"/>
  </sheets>
  <calcPr calcId="145621"/>
</workbook>
</file>

<file path=xl/calcChain.xml><?xml version="1.0" encoding="utf-8"?>
<calcChain xmlns="http://schemas.openxmlformats.org/spreadsheetml/2006/main">
  <c r="J2" i="1" l="1"/>
  <c r="J9" i="1"/>
  <c r="J12" i="1"/>
  <c r="J3" i="1"/>
  <c r="L7" i="1"/>
  <c r="M7" i="1"/>
  <c r="L2" i="1"/>
  <c r="M2" i="1"/>
  <c r="M9" i="1"/>
  <c r="L12" i="1"/>
  <c r="L10" i="1"/>
  <c r="L18" i="1"/>
  <c r="L11" i="1"/>
  <c r="L19" i="1"/>
  <c r="L3" i="1"/>
  <c r="M3" i="1"/>
  <c r="M10" i="1"/>
  <c r="M18" i="1"/>
  <c r="M11" i="1"/>
  <c r="M19" i="1"/>
  <c r="M12" i="1"/>
  <c r="D25" i="1" l="1"/>
  <c r="C25" i="1"/>
  <c r="D24" i="1"/>
  <c r="C24" i="1"/>
  <c r="D26" i="1"/>
  <c r="C26" i="1"/>
  <c r="D27" i="1"/>
  <c r="C27" i="1"/>
  <c r="I26" i="1" l="1"/>
  <c r="H26" i="1" s="1"/>
  <c r="G26" i="1"/>
  <c r="I27" i="1"/>
  <c r="H27" i="1" s="1"/>
  <c r="G27" i="1"/>
  <c r="I24" i="1"/>
  <c r="H24" i="1" s="1"/>
  <c r="G24" i="1"/>
  <c r="I25" i="1"/>
  <c r="H25" i="1" s="1"/>
  <c r="G25" i="1"/>
  <c r="D23" i="1"/>
  <c r="D28" i="1"/>
  <c r="C28" i="1"/>
  <c r="D29" i="1"/>
  <c r="C29" i="1"/>
  <c r="I23" i="1" l="1"/>
  <c r="H23" i="1" s="1"/>
  <c r="G23" i="1"/>
  <c r="I29" i="1"/>
  <c r="H29" i="1" s="1"/>
  <c r="G29" i="1"/>
  <c r="I28" i="1"/>
  <c r="H28" i="1" s="1"/>
  <c r="G28" i="1"/>
  <c r="D10" i="1"/>
  <c r="D18" i="1"/>
  <c r="D11" i="1"/>
  <c r="D19" i="1"/>
  <c r="D8" i="1"/>
  <c r="D3" i="1"/>
  <c r="D12" i="1"/>
  <c r="D4" i="1"/>
  <c r="D5" i="1"/>
  <c r="D9" i="1"/>
  <c r="D20" i="1"/>
  <c r="D13" i="1"/>
  <c r="D14" i="1"/>
  <c r="D21" i="1"/>
  <c r="D22" i="1"/>
  <c r="D15" i="1"/>
  <c r="D16" i="1"/>
  <c r="D6" i="1"/>
  <c r="D7" i="1"/>
  <c r="D2" i="1"/>
  <c r="D17" i="1"/>
  <c r="C23" i="1"/>
  <c r="C17" i="1"/>
  <c r="C2" i="1"/>
  <c r="C7" i="1"/>
  <c r="C6" i="1"/>
  <c r="C16" i="1"/>
  <c r="C15" i="1"/>
  <c r="C22" i="1"/>
  <c r="C21" i="1"/>
  <c r="C14" i="1"/>
  <c r="C13" i="1"/>
  <c r="C20" i="1"/>
  <c r="C9" i="1"/>
  <c r="C5" i="1"/>
  <c r="C4" i="1"/>
  <c r="C12" i="1"/>
  <c r="C3" i="1"/>
  <c r="C8" i="1"/>
  <c r="C19" i="1"/>
  <c r="C11" i="1"/>
  <c r="C18" i="1"/>
  <c r="C10" i="1"/>
  <c r="I2" i="1" l="1"/>
  <c r="H2" i="1" s="1"/>
  <c r="G2" i="1"/>
  <c r="I6" i="1"/>
  <c r="H6" i="1" s="1"/>
  <c r="G6" i="1"/>
  <c r="I15" i="1"/>
  <c r="H15" i="1" s="1"/>
  <c r="G15" i="1"/>
  <c r="I21" i="1"/>
  <c r="H21" i="1" s="1"/>
  <c r="G21" i="1"/>
  <c r="I13" i="1"/>
  <c r="H13" i="1" s="1"/>
  <c r="G13" i="1"/>
  <c r="I9" i="1"/>
  <c r="H9" i="1" s="1"/>
  <c r="G9" i="1"/>
  <c r="I4" i="1"/>
  <c r="H4" i="1" s="1"/>
  <c r="G4" i="1"/>
  <c r="I3" i="1"/>
  <c r="H3" i="1" s="1"/>
  <c r="G3" i="1"/>
  <c r="I19" i="1"/>
  <c r="H19" i="1" s="1"/>
  <c r="G19" i="1"/>
  <c r="I18" i="1"/>
  <c r="H18" i="1" s="1"/>
  <c r="G18" i="1"/>
  <c r="I17" i="1"/>
  <c r="H17" i="1" s="1"/>
  <c r="G17" i="1"/>
  <c r="I7" i="1"/>
  <c r="H7" i="1" s="1"/>
  <c r="G7" i="1"/>
  <c r="I16" i="1"/>
  <c r="H16" i="1" s="1"/>
  <c r="G16" i="1"/>
  <c r="I22" i="1"/>
  <c r="H22" i="1" s="1"/>
  <c r="G22" i="1"/>
  <c r="I14" i="1"/>
  <c r="H14" i="1" s="1"/>
  <c r="G14" i="1"/>
  <c r="I20" i="1"/>
  <c r="H20" i="1" s="1"/>
  <c r="G20" i="1"/>
  <c r="I5" i="1"/>
  <c r="H5" i="1" s="1"/>
  <c r="G5" i="1"/>
  <c r="I12" i="1"/>
  <c r="H12" i="1" s="1"/>
  <c r="G12" i="1"/>
  <c r="I8" i="1"/>
  <c r="H8" i="1" s="1"/>
  <c r="G8" i="1"/>
  <c r="I11" i="1"/>
  <c r="H11" i="1" s="1"/>
  <c r="G11" i="1"/>
  <c r="I10" i="1"/>
  <c r="H10" i="1" s="1"/>
  <c r="G10" i="1"/>
</calcChain>
</file>

<file path=xl/comments1.xml><?xml version="1.0" encoding="utf-8"?>
<comments xmlns="http://schemas.openxmlformats.org/spreadsheetml/2006/main">
  <authors>
    <author>Dev Nambi</author>
  </authors>
  <commentList>
    <comment ref="T2" authorId="0">
      <text>
        <r>
          <rPr>
            <b/>
            <sz val="9"/>
            <color indexed="81"/>
            <rFont val="Tahoma"/>
            <charset val="1"/>
          </rPr>
          <t>Dev Nambi:</t>
        </r>
        <r>
          <rPr>
            <sz val="9"/>
            <color indexed="81"/>
            <rFont val="Tahoma"/>
            <charset val="1"/>
          </rPr>
          <t xml:space="preserve">
Only with side airbags
</t>
        </r>
      </text>
    </comment>
    <comment ref="K23" authorId="0">
      <text>
        <r>
          <rPr>
            <b/>
            <sz val="8"/>
            <color indexed="81"/>
            <rFont val="Tahoma"/>
            <family val="2"/>
          </rPr>
          <t>Dev Nambi:</t>
        </r>
        <r>
          <rPr>
            <sz val="8"/>
            <color indexed="81"/>
            <rFont val="Tahoma"/>
            <family val="2"/>
          </rPr>
          <t xml:space="preserve">
This is false, but it helps keeps the color formatting correct</t>
        </r>
      </text>
    </comment>
  </commentList>
</comments>
</file>

<file path=xl/sharedStrings.xml><?xml version="1.0" encoding="utf-8"?>
<sst xmlns="http://schemas.openxmlformats.org/spreadsheetml/2006/main" count="140" uniqueCount="61">
  <si>
    <t>Car</t>
  </si>
  <si>
    <t>Cars Mechanics Hate (CarTalk)</t>
  </si>
  <si>
    <t>Used Car Best Bets (Edmunds)</t>
  </si>
  <si>
    <t>Most Popular Used Cars (cars.com)</t>
  </si>
  <si>
    <t>Honda Civic</t>
  </si>
  <si>
    <t>Honda Accord</t>
  </si>
  <si>
    <t>Toyota Camry</t>
  </si>
  <si>
    <t>Toyota Prius</t>
  </si>
  <si>
    <t>Honda CR-V</t>
  </si>
  <si>
    <t>Honda Element</t>
  </si>
  <si>
    <t>Subaru Impreza</t>
  </si>
  <si>
    <t>Subaru Forester</t>
  </si>
  <si>
    <t>Nissan Altima</t>
  </si>
  <si>
    <t>2005 Price</t>
  </si>
  <si>
    <t>X</t>
  </si>
  <si>
    <t>Hyundai Elantra</t>
  </si>
  <si>
    <t>Most Dependable Cars (Cars.com)</t>
  </si>
  <si>
    <t>Car Resale Value</t>
  </si>
  <si>
    <t>X (EX)</t>
  </si>
  <si>
    <t>Honda Civic Hybrid</t>
  </si>
  <si>
    <t>X (Base)</t>
  </si>
  <si>
    <t>Scion xB</t>
  </si>
  <si>
    <t>X (Standard)</t>
  </si>
  <si>
    <t>X (2.5i)</t>
  </si>
  <si>
    <t>Mini Cooper</t>
  </si>
  <si>
    <t>Greenest Cars</t>
  </si>
  <si>
    <t>Honda Insight</t>
  </si>
  <si>
    <t>X (GX)</t>
  </si>
  <si>
    <t>Ford Fiesta</t>
  </si>
  <si>
    <t>X (SFE)</t>
  </si>
  <si>
    <t>Chevrolet Volt</t>
  </si>
  <si>
    <t>Value-Packed Cars (Forbes)</t>
  </si>
  <si>
    <t>X (LX-P PZEV)</t>
  </si>
  <si>
    <t>X (LX)</t>
  </si>
  <si>
    <t>JD Power Dependability</t>
  </si>
  <si>
    <t>Safety (IIHS)</t>
  </si>
  <si>
    <t>JD Power Quality</t>
  </si>
  <si>
    <t>Mileage (city)</t>
  </si>
  <si>
    <t>Mileage (hwy)</t>
  </si>
  <si>
    <t>Mileage (mix)</t>
  </si>
  <si>
    <t>Quality Score</t>
  </si>
  <si>
    <t>3-year fuel cost</t>
  </si>
  <si>
    <t>10-year fuel costs</t>
  </si>
  <si>
    <t>Hyundai Sonata</t>
  </si>
  <si>
    <t>Hyundai Elantra Touring</t>
  </si>
  <si>
    <t>Toyota Matrix</t>
  </si>
  <si>
    <t>Suzuki SX4</t>
  </si>
  <si>
    <t>Hyundai Accent</t>
  </si>
  <si>
    <t>Kia Rio</t>
  </si>
  <si>
    <t>Insurance per year</t>
  </si>
  <si>
    <t>2006-2007 Price</t>
  </si>
  <si>
    <t>2008-2009 Price</t>
  </si>
  <si>
    <t>Toyota Corolla</t>
  </si>
  <si>
    <t>Yes?</t>
  </si>
  <si>
    <t>Y</t>
  </si>
  <si>
    <t>Ford Fusion Hybrid</t>
  </si>
  <si>
    <t>Ford Fusion</t>
  </si>
  <si>
    <t>Honda Fit</t>
  </si>
  <si>
    <t>Toyota Yaris</t>
  </si>
  <si>
    <t>Z: 1995 Honda Civic</t>
  </si>
  <si>
    <t>Price +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</si>
</sst>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44" fontId="1" fillId="0" borderId="0" xfId="1" applyFont="1"/>
    <xf numFmtId="44" fontId="0" fillId="0" borderId="0" xfId="1" applyFont="1"/>
    <xf numFmtId="0" fontId="0" fillId="0" borderId="0" xfId="0" applyNumberFormat="1"/>
    <xf numFmtId="44" fontId="0" fillId="0" borderId="0" xfId="1" applyNumberFormat="1" applyFont="1"/>
    <xf numFmtId="44" fontId="5" fillId="0" borderId="0" xfId="1" applyNumberFormat="1" applyFont="1"/>
    <xf numFmtId="44" fontId="5" fillId="0" borderId="0" xfId="1" applyFont="1"/>
    <xf numFmtId="0" fontId="5" fillId="0" borderId="0" xfId="1" applyNumberFormat="1" applyFont="1"/>
    <xf numFmtId="0" fontId="0" fillId="0" borderId="0" xfId="0" applyBorder="1"/>
    <xf numFmtId="44" fontId="0" fillId="0" borderId="0" xfId="1" applyNumberFormat="1" applyFont="1" applyBorder="1"/>
    <xf numFmtId="44" fontId="0" fillId="0" borderId="0" xfId="1" applyFont="1" applyBorder="1"/>
    <xf numFmtId="0" fontId="0" fillId="0" borderId="0" xfId="1" applyNumberFormat="1" applyFont="1" applyBorder="1"/>
    <xf numFmtId="0" fontId="0" fillId="0" borderId="0" xfId="0" applyNumberFormat="1" applyFont="1" applyBorder="1"/>
    <xf numFmtId="44" fontId="0" fillId="0" borderId="1" xfId="1" applyNumberFormat="1" applyFont="1" applyBorder="1"/>
    <xf numFmtId="0" fontId="0" fillId="0" borderId="1" xfId="0" applyNumberFormat="1" applyBorder="1"/>
  </cellXfs>
  <cellStyles count="2">
    <cellStyle name="Currency" xfId="1" builtinId="4"/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W29" totalsRowShown="0" headerRowDxfId="8">
  <autoFilter ref="A1:W29"/>
  <sortState ref="A2:W29">
    <sortCondition descending="1" ref="C1:C29"/>
  </sortState>
  <tableColumns count="23">
    <tableColumn id="1" name="Car" dataCellStyle="Normal"/>
    <tableColumn id="19" name="Yes?"/>
    <tableColumn id="17" name="Quality Score" dataDxfId="7" dataCellStyle="Currency">
      <calculatedColumnFormula>10-COUNTBLANK(Table1[[#This Row],[Cars Mechanics Hate (CarTalk)]:[JD Power Quality]])</calculatedColumnFormula>
    </tableColumn>
    <tableColumn id="15" name="Mileage (mix)" dataDxfId="6">
      <calculatedColumnFormula>Table1[[#This Row],[Mileage (city)]]*0.7+Table1[[#This Row],[Mileage (hwy)]]*0.3</calculatedColumnFormula>
    </tableColumn>
    <tableColumn id="16" name="Mileage (city)"/>
    <tableColumn id="2" name="Mileage (hwy)"/>
    <tableColumn id="18" name="3-year fuel cost" dataDxfId="5" dataCellStyle="Currency">
      <calculatedColumnFormula>600*12*3*4/Table1[[#This Row],[Mileage (mix)]]</calculatedColumnFormula>
    </tableColumn>
    <tableColumn id="23" name="Price + Gas" dataDxfId="4" dataCellStyle="Currency">
      <calculatedColumnFormula>Table1[[#This Row],[10-year fuel costs]]+Table1[[#This Row],[2005 Price]]</calculatedColumnFormula>
    </tableColumn>
    <tableColumn id="12" name="10-year fuel costs" dataDxfId="3" dataCellStyle="Currency">
      <calculatedColumnFormula>600*12*10*4/Table1[[#This Row],[Mileage (mix)]]</calculatedColumnFormula>
    </tableColumn>
    <tableColumn id="20" name="Insurance per year"/>
    <tableColumn id="3" name="2005 Price" dataDxfId="2" dataCellStyle="Currency"/>
    <tableColumn id="21" name="2006-2007 Price" dataDxfId="1" dataCellStyle="Currency">
      <calculatedColumnFormula>(8513+8100)/2</calculatedColumnFormula>
    </tableColumn>
    <tableColumn id="22" name="2008-2009 Price" dataDxfId="0" dataCellStyle="Currency">
      <calculatedColumnFormula>(14617+16457)/2</calculatedColumnFormula>
    </tableColumn>
    <tableColumn id="4" name="Cars Mechanics Hate (CarTalk)"/>
    <tableColumn id="5" name="Used Car Best Bets (Edmunds)"/>
    <tableColumn id="6" name="Most Popular Used Cars (cars.com)"/>
    <tableColumn id="7" name="Most Dependable Cars (Cars.com)"/>
    <tableColumn id="8" name="Car Resale Value"/>
    <tableColumn id="9" name="Greenest Cars"/>
    <tableColumn id="13" name="Safety (IIHS)"/>
    <tableColumn id="10" name="Value-Packed Cars (Forbes)"/>
    <tableColumn id="11" name="JD Power Dependability"/>
    <tableColumn id="14" name="JD Power Qualit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9"/>
  <sheetViews>
    <sheetView tabSelected="1" zoomScale="130" zoomScaleNormal="130" workbookViewId="0">
      <pane xSplit="1" topLeftCell="C1" activePane="topRight" state="frozen"/>
      <selection pane="topRight" activeCell="H7" sqref="H7"/>
    </sheetView>
  </sheetViews>
  <sheetFormatPr defaultRowHeight="15" x14ac:dyDescent="0.25"/>
  <cols>
    <col min="1" max="1" width="23.140625" customWidth="1"/>
    <col min="2" max="2" width="5.140625" hidden="1" customWidth="1"/>
    <col min="3" max="3" width="16" style="3" customWidth="1"/>
    <col min="4" max="4" width="16" customWidth="1"/>
    <col min="5" max="5" width="15.42578125" hidden="1" customWidth="1"/>
    <col min="6" max="6" width="17" hidden="1" customWidth="1"/>
    <col min="7" max="7" width="18.42578125" hidden="1" customWidth="1"/>
    <col min="8" max="8" width="18.42578125" customWidth="1"/>
    <col min="9" max="9" width="19.7109375" style="3" customWidth="1"/>
    <col min="10" max="10" width="19.42578125" style="3" hidden="1" customWidth="1"/>
    <col min="11" max="11" width="16.42578125" style="3" customWidth="1"/>
    <col min="12" max="13" width="12.85546875" style="3" hidden="1" customWidth="1"/>
    <col min="14" max="14" width="30.28515625" style="3" bestFit="1" customWidth="1"/>
    <col min="15" max="15" width="30.28515625" bestFit="1" customWidth="1"/>
    <col min="16" max="16" width="34.5703125" bestFit="1" customWidth="1"/>
    <col min="17" max="17" width="33.7109375" customWidth="1"/>
    <col min="18" max="18" width="34.5703125" bestFit="1" customWidth="1"/>
    <col min="19" max="19" width="18.42578125" customWidth="1"/>
    <col min="20" max="20" width="15.42578125" customWidth="1"/>
    <col min="21" max="21" width="28" bestFit="1" customWidth="1"/>
    <col min="22" max="22" width="24.85546875" bestFit="1" customWidth="1"/>
    <col min="23" max="23" width="19.28515625" customWidth="1"/>
    <col min="24" max="25" width="24.28515625" customWidth="1"/>
  </cols>
  <sheetData>
    <row r="1" spans="1:23" s="1" customFormat="1" x14ac:dyDescent="0.25">
      <c r="A1" t="s">
        <v>0</v>
      </c>
      <c r="B1" t="s">
        <v>53</v>
      </c>
      <c r="C1" s="2" t="s">
        <v>40</v>
      </c>
      <c r="D1" s="1" t="s">
        <v>39</v>
      </c>
      <c r="E1" s="1" t="s">
        <v>37</v>
      </c>
      <c r="F1" s="1" t="s">
        <v>38</v>
      </c>
      <c r="G1" s="2" t="s">
        <v>41</v>
      </c>
      <c r="H1" s="2" t="s">
        <v>60</v>
      </c>
      <c r="I1" s="2" t="s">
        <v>42</v>
      </c>
      <c r="J1" s="2" t="s">
        <v>49</v>
      </c>
      <c r="K1" s="2" t="s">
        <v>13</v>
      </c>
      <c r="L1" s="2" t="s">
        <v>50</v>
      </c>
      <c r="M1" s="2" t="s">
        <v>51</v>
      </c>
      <c r="N1" s="1" t="s">
        <v>1</v>
      </c>
      <c r="O1" s="1" t="s">
        <v>2</v>
      </c>
      <c r="P1" s="1" t="s">
        <v>3</v>
      </c>
      <c r="Q1" s="1" t="s">
        <v>16</v>
      </c>
      <c r="R1" s="1" t="s">
        <v>17</v>
      </c>
      <c r="S1" s="1" t="s">
        <v>25</v>
      </c>
      <c r="T1" s="1" t="s">
        <v>35</v>
      </c>
      <c r="U1" s="1" t="s">
        <v>31</v>
      </c>
      <c r="V1" s="1" t="s">
        <v>34</v>
      </c>
      <c r="W1" s="1" t="s">
        <v>36</v>
      </c>
    </row>
    <row r="2" spans="1:23" x14ac:dyDescent="0.25">
      <c r="A2" t="s">
        <v>7</v>
      </c>
      <c r="B2" t="s">
        <v>54</v>
      </c>
      <c r="C2" s="4">
        <f>10-COUNTBLANK(Table1[[#This Row],[Cars Mechanics Hate (CarTalk)]:[JD Power Quality]])</f>
        <v>9</v>
      </c>
      <c r="D2">
        <f>Table1[[#This Row],[Mileage (city)]]*0.7+Table1[[#This Row],[Mileage (hwy)]]*0.3</f>
        <v>47.099999999999994</v>
      </c>
      <c r="E2">
        <v>48</v>
      </c>
      <c r="F2">
        <v>45</v>
      </c>
      <c r="G2" s="3">
        <f>600*12*3*4/Table1[[#This Row],[Mileage (mix)]]</f>
        <v>1834.3949044585991</v>
      </c>
      <c r="H2" s="3">
        <f>Table1[[#This Row],[10-year fuel costs]]+Table1[[#This Row],[2005 Price]]</f>
        <v>16524.649681528663</v>
      </c>
      <c r="I2" s="3">
        <f>600*12*10*4/Table1[[#This Row],[Mileage (mix)]]</f>
        <v>6114.6496815286628</v>
      </c>
      <c r="J2" s="3">
        <f>678-19</f>
        <v>659</v>
      </c>
      <c r="K2" s="3">
        <v>10410</v>
      </c>
      <c r="L2" s="3">
        <f>(11561+12530)/2</f>
        <v>12045.5</v>
      </c>
      <c r="M2" s="3">
        <f>(13912+16049)/2</f>
        <v>14980.5</v>
      </c>
      <c r="N2" t="s">
        <v>14</v>
      </c>
      <c r="O2" t="s">
        <v>14</v>
      </c>
      <c r="Q2" t="s">
        <v>14</v>
      </c>
      <c r="R2" t="s">
        <v>22</v>
      </c>
      <c r="S2" t="s">
        <v>14</v>
      </c>
      <c r="T2" t="s">
        <v>14</v>
      </c>
      <c r="U2" t="s">
        <v>14</v>
      </c>
      <c r="V2" t="s">
        <v>14</v>
      </c>
      <c r="W2" t="s">
        <v>14</v>
      </c>
    </row>
    <row r="3" spans="1:23" x14ac:dyDescent="0.25">
      <c r="A3" t="s">
        <v>4</v>
      </c>
      <c r="B3" t="s">
        <v>54</v>
      </c>
      <c r="C3" s="4">
        <f>10-COUNTBLANK(Table1[[#This Row],[Cars Mechanics Hate (CarTalk)]:[JD Power Quality]])</f>
        <v>7</v>
      </c>
      <c r="D3">
        <f>Table1[[#This Row],[Mileage (city)]]*0.7+Table1[[#This Row],[Mileage (hwy)]]*0.3</f>
        <v>29.099999999999998</v>
      </c>
      <c r="E3">
        <v>27</v>
      </c>
      <c r="F3">
        <v>34</v>
      </c>
      <c r="G3" s="3">
        <f>600*12*3*4/Table1[[#This Row],[Mileage (mix)]]</f>
        <v>2969.072164948454</v>
      </c>
      <c r="H3" s="3">
        <f>Table1[[#This Row],[10-year fuel costs]]+Table1[[#This Row],[2005 Price]]</f>
        <v>17094.907216494845</v>
      </c>
      <c r="I3" s="3">
        <f>600*12*10*4/Table1[[#This Row],[Mileage (mix)]]</f>
        <v>9896.9072164948466</v>
      </c>
      <c r="J3" s="3">
        <f>678-19</f>
        <v>659</v>
      </c>
      <c r="K3" s="3">
        <v>7198</v>
      </c>
      <c r="L3" s="3">
        <f>(8513+8100)/2</f>
        <v>8306.5</v>
      </c>
      <c r="M3" s="3">
        <f>(11211+9855)/2</f>
        <v>10533</v>
      </c>
      <c r="N3" t="s">
        <v>14</v>
      </c>
      <c r="P3" t="s">
        <v>14</v>
      </c>
      <c r="R3" t="s">
        <v>18</v>
      </c>
      <c r="S3" t="s">
        <v>27</v>
      </c>
      <c r="T3" t="s">
        <v>14</v>
      </c>
      <c r="U3" t="s">
        <v>18</v>
      </c>
      <c r="W3" t="s">
        <v>14</v>
      </c>
    </row>
    <row r="4" spans="1:23" x14ac:dyDescent="0.25">
      <c r="A4" t="s">
        <v>8</v>
      </c>
      <c r="C4" s="4">
        <f>10-COUNTBLANK(Table1[[#This Row],[Cars Mechanics Hate (CarTalk)]:[JD Power Quality]])</f>
        <v>5</v>
      </c>
      <c r="D4">
        <f>Table1[[#This Row],[Mileage (city)]]*0.7+Table1[[#This Row],[Mileage (hwy)]]*0.3</f>
        <v>21.8</v>
      </c>
      <c r="E4">
        <v>20</v>
      </c>
      <c r="F4">
        <v>26</v>
      </c>
      <c r="G4" s="3">
        <f>600*12*3*4/Table1[[#This Row],[Mileage (mix)]]</f>
        <v>3963.3027522935777</v>
      </c>
      <c r="H4" s="3">
        <f>Table1[[#This Row],[10-year fuel costs]]+Table1[[#This Row],[2005 Price]]</f>
        <v>23395.009174311926</v>
      </c>
      <c r="I4" s="3">
        <f>600*12*10*4/Table1[[#This Row],[Mileage (mix)]]</f>
        <v>13211.009174311926</v>
      </c>
      <c r="K4" s="3">
        <v>10184</v>
      </c>
      <c r="N4" t="s">
        <v>14</v>
      </c>
      <c r="O4" t="s">
        <v>14</v>
      </c>
      <c r="U4" t="s">
        <v>14</v>
      </c>
      <c r="V4" t="s">
        <v>14</v>
      </c>
      <c r="W4" t="s">
        <v>14</v>
      </c>
    </row>
    <row r="5" spans="1:23" x14ac:dyDescent="0.25">
      <c r="A5" t="s">
        <v>9</v>
      </c>
      <c r="C5" s="4">
        <f>10-COUNTBLANK(Table1[[#This Row],[Cars Mechanics Hate (CarTalk)]:[JD Power Quality]])</f>
        <v>5</v>
      </c>
      <c r="D5">
        <f>Table1[[#This Row],[Mileage (city)]]*0.7+Table1[[#This Row],[Mileage (hwy)]]*0.3</f>
        <v>20.2</v>
      </c>
      <c r="E5">
        <v>19</v>
      </c>
      <c r="F5">
        <v>23</v>
      </c>
      <c r="G5" s="3">
        <f>600*12*3*4/Table1[[#This Row],[Mileage (mix)]]</f>
        <v>4277.227722772277</v>
      </c>
      <c r="H5" s="3">
        <f>Table1[[#This Row],[10-year fuel costs]]+Table1[[#This Row],[2005 Price]]</f>
        <v>23768.425742574258</v>
      </c>
      <c r="I5" s="3">
        <f>600*12*10*4/Table1[[#This Row],[Mileage (mix)]]</f>
        <v>14257.425742574258</v>
      </c>
      <c r="K5" s="3">
        <v>9511</v>
      </c>
      <c r="N5" t="s">
        <v>14</v>
      </c>
      <c r="T5" t="s">
        <v>14</v>
      </c>
      <c r="U5" t="s">
        <v>33</v>
      </c>
      <c r="V5" t="s">
        <v>14</v>
      </c>
      <c r="W5" t="s">
        <v>14</v>
      </c>
    </row>
    <row r="6" spans="1:23" x14ac:dyDescent="0.25">
      <c r="A6" t="s">
        <v>6</v>
      </c>
      <c r="C6" s="4">
        <f>10-COUNTBLANK(Table1[[#This Row],[Cars Mechanics Hate (CarTalk)]:[JD Power Quality]])</f>
        <v>5</v>
      </c>
      <c r="D6" s="9">
        <f>Table1[[#This Row],[Mileage (city)]]*0.7+Table1[[#This Row],[Mileage (hwy)]]*0.3</f>
        <v>23.7</v>
      </c>
      <c r="E6">
        <v>21</v>
      </c>
      <c r="F6">
        <v>30</v>
      </c>
      <c r="G6" s="11">
        <f>600*12*3*4/Table1[[#This Row],[Mileage (mix)]]</f>
        <v>3645.5696202531649</v>
      </c>
      <c r="H6" s="3">
        <f>Table1[[#This Row],[10-year fuel costs]]+Table1[[#This Row],[2005 Price]]</f>
        <v>20090.898734177215</v>
      </c>
      <c r="I6" s="3">
        <f>600*12*10*4/Table1[[#This Row],[Mileage (mix)]]</f>
        <v>12151.898734177215</v>
      </c>
      <c r="K6" s="3">
        <v>7939</v>
      </c>
      <c r="N6" t="s">
        <v>14</v>
      </c>
      <c r="O6" t="s">
        <v>14</v>
      </c>
      <c r="P6" t="s">
        <v>14</v>
      </c>
      <c r="V6" t="s">
        <v>14</v>
      </c>
      <c r="W6" t="s">
        <v>14</v>
      </c>
    </row>
    <row r="7" spans="1:23" x14ac:dyDescent="0.25">
      <c r="A7" t="s">
        <v>52</v>
      </c>
      <c r="B7" t="s">
        <v>54</v>
      </c>
      <c r="C7" s="4">
        <f>10-COUNTBLANK(Table1[[#This Row],[Cars Mechanics Hate (CarTalk)]:[JD Power Quality]])</f>
        <v>5</v>
      </c>
      <c r="D7" s="9">
        <f>Table1[[#This Row],[Mileage (city)]]*0.7+Table1[[#This Row],[Mileage (hwy)]]*0.3</f>
        <v>30.699999999999996</v>
      </c>
      <c r="E7">
        <v>28</v>
      </c>
      <c r="F7">
        <v>37</v>
      </c>
      <c r="G7" s="11">
        <f>600*12*3*4/Table1[[#This Row],[Mileage (mix)]]</f>
        <v>2814.3322475570035</v>
      </c>
      <c r="H7" s="11">
        <f>Table1[[#This Row],[10-year fuel costs]]+Table1[[#This Row],[2005 Price]]</f>
        <v>16348.107491856679</v>
      </c>
      <c r="I7" s="3">
        <f>600*12*10*4/Table1[[#This Row],[Mileage (mix)]]</f>
        <v>9381.1074918566792</v>
      </c>
      <c r="J7" s="3">
        <v>678</v>
      </c>
      <c r="K7" s="3">
        <v>6967</v>
      </c>
      <c r="L7" s="6">
        <f>(8158+7691)/2</f>
        <v>7924.5</v>
      </c>
      <c r="M7" s="6">
        <f>(9374+11673)/2</f>
        <v>10523.5</v>
      </c>
      <c r="N7" t="s">
        <v>14</v>
      </c>
      <c r="P7" t="s">
        <v>14</v>
      </c>
      <c r="Q7" t="s">
        <v>14</v>
      </c>
      <c r="T7" t="s">
        <v>14</v>
      </c>
      <c r="V7" t="s">
        <v>14</v>
      </c>
    </row>
    <row r="8" spans="1:23" x14ac:dyDescent="0.25">
      <c r="A8" t="s">
        <v>5</v>
      </c>
      <c r="C8" s="4">
        <f>10-COUNTBLANK(Table1[[#This Row],[Cars Mechanics Hate (CarTalk)]:[JD Power Quality]])</f>
        <v>4</v>
      </c>
      <c r="D8">
        <f>Table1[[#This Row],[Mileage (city)]]*0.7+Table1[[#This Row],[Mileage (hwy)]]*0.3</f>
        <v>24</v>
      </c>
      <c r="E8">
        <v>21</v>
      </c>
      <c r="F8">
        <v>31</v>
      </c>
      <c r="G8" s="3">
        <f>600*12*3*4/Table1[[#This Row],[Mileage (mix)]]</f>
        <v>3600</v>
      </c>
      <c r="H8" s="3">
        <f>Table1[[#This Row],[10-year fuel costs]]+Table1[[#This Row],[2005 Price]]</f>
        <v>19612</v>
      </c>
      <c r="I8" s="3">
        <f>600*12*10*4/Table1[[#This Row],[Mileage (mix)]]</f>
        <v>12000</v>
      </c>
      <c r="K8" s="3">
        <v>7612</v>
      </c>
      <c r="M8" s="6"/>
      <c r="N8" t="s">
        <v>14</v>
      </c>
      <c r="P8" t="s">
        <v>14</v>
      </c>
      <c r="U8" t="s">
        <v>32</v>
      </c>
      <c r="W8" t="s">
        <v>14</v>
      </c>
    </row>
    <row r="9" spans="1:23" x14ac:dyDescent="0.25">
      <c r="A9" t="s">
        <v>57</v>
      </c>
      <c r="B9" t="s">
        <v>54</v>
      </c>
      <c r="C9" s="4">
        <f>10-COUNTBLANK(Table1[[#This Row],[Cars Mechanics Hate (CarTalk)]:[JD Power Quality]])</f>
        <v>4</v>
      </c>
      <c r="D9">
        <f>Table1[[#This Row],[Mileage (city)]]*0.7+Table1[[#This Row],[Mileage (hwy)]]*0.3</f>
        <v>29.799999999999997</v>
      </c>
      <c r="E9">
        <v>28</v>
      </c>
      <c r="F9">
        <v>34</v>
      </c>
      <c r="G9" s="3">
        <f>600*12*3*4/Table1[[#This Row],[Mileage (mix)]]</f>
        <v>2899.3288590604029</v>
      </c>
      <c r="H9" s="3">
        <f>Table1[[#This Row],[10-year fuel costs]]+Table1[[#This Row],[2005 Price]]</f>
        <v>19550.429530201342</v>
      </c>
      <c r="I9" s="3">
        <f>600*12*10*4/Table1[[#This Row],[Mileage (mix)]]</f>
        <v>9664.4295302013434</v>
      </c>
      <c r="J9" s="3">
        <f>678-19</f>
        <v>659</v>
      </c>
      <c r="K9" s="3">
        <v>9886</v>
      </c>
      <c r="L9" s="3">
        <v>9609</v>
      </c>
      <c r="M9" s="3">
        <f>(10624+12604)/2</f>
        <v>11614</v>
      </c>
      <c r="N9"/>
      <c r="Q9" t="s">
        <v>14</v>
      </c>
      <c r="R9" t="s">
        <v>20</v>
      </c>
      <c r="V9" t="s">
        <v>14</v>
      </c>
      <c r="W9" t="s">
        <v>14</v>
      </c>
    </row>
    <row r="10" spans="1:23" x14ac:dyDescent="0.25">
      <c r="A10" t="s">
        <v>30</v>
      </c>
      <c r="C10" s="4">
        <f>10-COUNTBLANK(Table1[[#This Row],[Cars Mechanics Hate (CarTalk)]:[JD Power Quality]])</f>
        <v>3</v>
      </c>
      <c r="D10">
        <f>Table1[[#This Row],[Mileage (city)]]*0.7+Table1[[#This Row],[Mileage (hwy)]]*0.3</f>
        <v>92.1</v>
      </c>
      <c r="E10">
        <v>93</v>
      </c>
      <c r="F10">
        <v>90</v>
      </c>
      <c r="G10" s="3">
        <f>600*12*3*4/Table1[[#This Row],[Mileage (mix)]]</f>
        <v>938.11074918566783</v>
      </c>
      <c r="H10" s="3">
        <f>Table1[[#This Row],[10-year fuel costs]]+Table1[[#This Row],[2005 Price]]</f>
        <v>43407.035830618894</v>
      </c>
      <c r="I10" s="3">
        <f>600*12*10*4/Table1[[#This Row],[Mileage (mix)]]</f>
        <v>3127.0358306188928</v>
      </c>
      <c r="K10" s="3">
        <v>40280</v>
      </c>
      <c r="L10" s="3">
        <f>(8513+8100)/2</f>
        <v>8306.5</v>
      </c>
      <c r="M10" s="3">
        <f>(14617+16457)/2</f>
        <v>15537</v>
      </c>
      <c r="N10"/>
      <c r="S10" t="s">
        <v>14</v>
      </c>
      <c r="T10" t="s">
        <v>14</v>
      </c>
      <c r="W10" t="s">
        <v>14</v>
      </c>
    </row>
    <row r="11" spans="1:23" x14ac:dyDescent="0.25">
      <c r="A11" t="s">
        <v>56</v>
      </c>
      <c r="C11" s="4">
        <f>10-COUNTBLANK(Table1[[#This Row],[Cars Mechanics Hate (CarTalk)]:[JD Power Quality]])</f>
        <v>3</v>
      </c>
      <c r="D11">
        <f>Table1[[#This Row],[Mileage (city)]]*0.7+Table1[[#This Row],[Mileage (hwy)]]*0.3</f>
        <v>22.4</v>
      </c>
      <c r="E11">
        <v>20</v>
      </c>
      <c r="F11">
        <v>28</v>
      </c>
      <c r="G11" s="3">
        <f>600*12*3*4/Table1[[#This Row],[Mileage (mix)]]</f>
        <v>3857.1428571428573</v>
      </c>
      <c r="H11" s="3">
        <f>Table1[[#This Row],[10-year fuel costs]]+Table1[[#This Row],[2005 Price]]</f>
        <v>20649.142857142859</v>
      </c>
      <c r="I11" s="3">
        <f>600*12*10*4/Table1[[#This Row],[Mileage (mix)]]</f>
        <v>12857.142857142859</v>
      </c>
      <c r="K11" s="3">
        <v>7792</v>
      </c>
      <c r="L11" s="3">
        <f>(8513+8100)/2</f>
        <v>8306.5</v>
      </c>
      <c r="M11" s="3">
        <f>(14617+16457)/2</f>
        <v>15537</v>
      </c>
      <c r="N11" t="s">
        <v>14</v>
      </c>
      <c r="T11" t="s">
        <v>14</v>
      </c>
      <c r="V11" t="s">
        <v>14</v>
      </c>
    </row>
    <row r="12" spans="1:23" x14ac:dyDescent="0.25">
      <c r="A12" t="s">
        <v>19</v>
      </c>
      <c r="B12" t="s">
        <v>54</v>
      </c>
      <c r="C12" s="4">
        <f>10-COUNTBLANK(Table1[[#This Row],[Cars Mechanics Hate (CarTalk)]:[JD Power Quality]])</f>
        <v>3</v>
      </c>
      <c r="D12">
        <f>Table1[[#This Row],[Mileage (city)]]*0.7+Table1[[#This Row],[Mileage (hwy)]]*0.3</f>
        <v>39.4</v>
      </c>
      <c r="E12">
        <v>37</v>
      </c>
      <c r="F12">
        <v>45</v>
      </c>
      <c r="G12" s="3">
        <f>600*12*3*4/Table1[[#This Row],[Mileage (mix)]]</f>
        <v>2192.8934010152284</v>
      </c>
      <c r="H12" s="3">
        <f>Table1[[#This Row],[10-year fuel costs]]+Table1[[#This Row],[2005 Price]]</f>
        <v>17074.644670050762</v>
      </c>
      <c r="I12" s="3">
        <f>600*12*10*4/Table1[[#This Row],[Mileage (mix)]]</f>
        <v>7309.6446700507613</v>
      </c>
      <c r="J12" s="3">
        <f>678-19</f>
        <v>659</v>
      </c>
      <c r="K12" s="3">
        <v>9765</v>
      </c>
      <c r="L12" s="3">
        <f>(11972+11122)/2</f>
        <v>11547</v>
      </c>
      <c r="M12" s="3">
        <f>(14617+16457)/2</f>
        <v>15537</v>
      </c>
      <c r="N12"/>
      <c r="R12" t="s">
        <v>20</v>
      </c>
      <c r="S12" t="s">
        <v>14</v>
      </c>
      <c r="W12" t="s">
        <v>14</v>
      </c>
    </row>
    <row r="13" spans="1:23" x14ac:dyDescent="0.25">
      <c r="A13" t="s">
        <v>15</v>
      </c>
      <c r="C13" s="4">
        <f>10-COUNTBLANK(Table1[[#This Row],[Cars Mechanics Hate (CarTalk)]:[JD Power Quality]])</f>
        <v>3</v>
      </c>
      <c r="D13">
        <f>Table1[[#This Row],[Mileage (city)]]*0.7+Table1[[#This Row],[Mileage (hwy)]]*0.3</f>
        <v>25.4</v>
      </c>
      <c r="E13">
        <v>23</v>
      </c>
      <c r="F13">
        <v>31</v>
      </c>
      <c r="G13" s="3">
        <f>600*12*3*4/Table1[[#This Row],[Mileage (mix)]]</f>
        <v>3401.5748031496064</v>
      </c>
      <c r="H13" s="3">
        <f>Table1[[#This Row],[10-year fuel costs]]+Table1[[#This Row],[2005 Price]]</f>
        <v>16759.582677165356</v>
      </c>
      <c r="I13" s="3">
        <f>600*12*10*4/Table1[[#This Row],[Mileage (mix)]]</f>
        <v>11338.582677165356</v>
      </c>
      <c r="K13" s="3">
        <v>5421</v>
      </c>
      <c r="N13"/>
      <c r="O13" t="s">
        <v>14</v>
      </c>
      <c r="S13" t="s">
        <v>14</v>
      </c>
      <c r="V13" t="s">
        <v>14</v>
      </c>
    </row>
    <row r="14" spans="1:23" x14ac:dyDescent="0.25">
      <c r="A14" t="s">
        <v>24</v>
      </c>
      <c r="C14" s="4">
        <f>10-COUNTBLANK(Table1[[#This Row],[Cars Mechanics Hate (CarTalk)]:[JD Power Quality]])</f>
        <v>3</v>
      </c>
      <c r="D14">
        <f>Table1[[#This Row],[Mileage (city)]]*0.7+Table1[[#This Row],[Mileage (hwy)]]*0.3</f>
        <v>26.699999999999996</v>
      </c>
      <c r="E14">
        <v>24</v>
      </c>
      <c r="F14">
        <v>33</v>
      </c>
      <c r="G14" s="3">
        <f>600*12*3*4/Table1[[#This Row],[Mileage (mix)]]</f>
        <v>3235.955056179776</v>
      </c>
      <c r="H14" s="3">
        <f>Table1[[#This Row],[10-year fuel costs]]+Table1[[#This Row],[2005 Price]]</f>
        <v>20658.516853932586</v>
      </c>
      <c r="I14" s="3">
        <f>600*12*10*4/Table1[[#This Row],[Mileage (mix)]]</f>
        <v>10786.516853932586</v>
      </c>
      <c r="K14" s="3">
        <v>9872</v>
      </c>
      <c r="N14"/>
      <c r="R14" t="s">
        <v>14</v>
      </c>
      <c r="S14" t="s">
        <v>14</v>
      </c>
      <c r="T14" t="s">
        <v>14</v>
      </c>
    </row>
    <row r="15" spans="1:23" x14ac:dyDescent="0.25">
      <c r="A15" t="s">
        <v>11</v>
      </c>
      <c r="C15" s="4">
        <f>10-COUNTBLANK(Table1[[#This Row],[Cars Mechanics Hate (CarTalk)]:[JD Power Quality]])</f>
        <v>3</v>
      </c>
      <c r="D15">
        <f>Table1[[#This Row],[Mileage (city)]]*0.7+Table1[[#This Row],[Mileage (hwy)]]*0.3</f>
        <v>22.1</v>
      </c>
      <c r="E15">
        <v>20</v>
      </c>
      <c r="F15">
        <v>27</v>
      </c>
      <c r="G15" s="3">
        <f>600*12*3*4/Table1[[#This Row],[Mileage (mix)]]</f>
        <v>3909.5022624434387</v>
      </c>
      <c r="H15" s="3">
        <f>Table1[[#This Row],[10-year fuel costs]]+Table1[[#This Row],[2005 Price]]</f>
        <v>22175.674208144796</v>
      </c>
      <c r="I15" s="3">
        <f>600*12*10*4/Table1[[#This Row],[Mileage (mix)]]</f>
        <v>13031.674208144796</v>
      </c>
      <c r="K15" s="3">
        <v>9144</v>
      </c>
      <c r="N15" t="s">
        <v>14</v>
      </c>
      <c r="T15" t="s">
        <v>14</v>
      </c>
      <c r="V15" t="s">
        <v>14</v>
      </c>
    </row>
    <row r="16" spans="1:23" x14ac:dyDescent="0.25">
      <c r="A16" t="s">
        <v>10</v>
      </c>
      <c r="C16" s="4">
        <f>10-COUNTBLANK(Table1[[#This Row],[Cars Mechanics Hate (CarTalk)]:[JD Power Quality]])</f>
        <v>3</v>
      </c>
      <c r="D16">
        <f>Table1[[#This Row],[Mileage (city)]]*0.7+Table1[[#This Row],[Mileage (hwy)]]*0.3</f>
        <v>22.1</v>
      </c>
      <c r="E16">
        <v>20</v>
      </c>
      <c r="F16">
        <v>27</v>
      </c>
      <c r="G16" s="3">
        <f>600*12*3*4/Table1[[#This Row],[Mileage (mix)]]</f>
        <v>3909.5022624434387</v>
      </c>
      <c r="H16" s="3">
        <f>Table1[[#This Row],[10-year fuel costs]]+Table1[[#This Row],[2005 Price]]</f>
        <v>21875.674208144796</v>
      </c>
      <c r="I16" s="3">
        <f>600*12*10*4/Table1[[#This Row],[Mileage (mix)]]</f>
        <v>13031.674208144796</v>
      </c>
      <c r="K16" s="3">
        <v>8844</v>
      </c>
      <c r="N16" t="s">
        <v>14</v>
      </c>
      <c r="R16" t="s">
        <v>23</v>
      </c>
      <c r="T16" t="s">
        <v>14</v>
      </c>
    </row>
    <row r="17" spans="1:23" x14ac:dyDescent="0.25">
      <c r="A17" t="s">
        <v>58</v>
      </c>
      <c r="C17" s="4">
        <f>10-COUNTBLANK(Table1[[#This Row],[Cars Mechanics Hate (CarTalk)]:[JD Power Quality]])</f>
        <v>3</v>
      </c>
      <c r="D17">
        <f>Table1[[#This Row],[Mileage (city)]]*0.7+Table1[[#This Row],[Mileage (hwy)]]*0.3</f>
        <v>31.099999999999994</v>
      </c>
      <c r="E17">
        <v>29</v>
      </c>
      <c r="F17">
        <v>36</v>
      </c>
      <c r="G17" s="3">
        <f>600*12*3*4/Table1[[#This Row],[Mileage (mix)]]</f>
        <v>2778.135048231512</v>
      </c>
      <c r="H17" s="3">
        <f>Table1[[#This Row],[10-year fuel costs]]+Table1[[#This Row],[2005 Price]]</f>
        <v>17558.450160771707</v>
      </c>
      <c r="I17" s="3">
        <f>600*12*10*4/Table1[[#This Row],[Mileage (mix)]]</f>
        <v>9260.4501607717066</v>
      </c>
      <c r="K17" s="3">
        <v>8298</v>
      </c>
      <c r="N17"/>
      <c r="Q17" t="s">
        <v>14</v>
      </c>
      <c r="S17" t="s">
        <v>14</v>
      </c>
      <c r="V17" t="s">
        <v>14</v>
      </c>
    </row>
    <row r="18" spans="1:23" x14ac:dyDescent="0.25">
      <c r="A18" t="s">
        <v>28</v>
      </c>
      <c r="C18" s="4">
        <f>10-COUNTBLANK(Table1[[#This Row],[Cars Mechanics Hate (CarTalk)]:[JD Power Quality]])</f>
        <v>2</v>
      </c>
      <c r="D18" s="9">
        <f>Table1[[#This Row],[Mileage (city)]]*0.7+Table1[[#This Row],[Mileage (hwy)]]*0.3</f>
        <v>31.699999999999996</v>
      </c>
      <c r="E18">
        <v>29</v>
      </c>
      <c r="F18">
        <v>38</v>
      </c>
      <c r="G18" s="11">
        <f>600*12*3*4/Table1[[#This Row],[Mileage (mix)]]</f>
        <v>2725.5520504731867</v>
      </c>
      <c r="H18" s="3">
        <f>Table1[[#This Row],[10-year fuel costs]]+Table1[[#This Row],[2005 Price]]</f>
        <v>22580.173501577287</v>
      </c>
      <c r="I18" s="3">
        <f>600*12*10*4/Table1[[#This Row],[Mileage (mix)]]</f>
        <v>9085.1735015772883</v>
      </c>
      <c r="K18" s="3">
        <v>13495</v>
      </c>
      <c r="L18" s="3">
        <f>(8513+8100)/2</f>
        <v>8306.5</v>
      </c>
      <c r="M18" s="3">
        <f>(14617+16457)/2</f>
        <v>15537</v>
      </c>
      <c r="N18"/>
      <c r="S18" t="s">
        <v>29</v>
      </c>
      <c r="T18" t="s">
        <v>14</v>
      </c>
    </row>
    <row r="19" spans="1:23" x14ac:dyDescent="0.25">
      <c r="A19" t="s">
        <v>55</v>
      </c>
      <c r="C19" s="4">
        <f>10-COUNTBLANK(Table1[[#This Row],[Cars Mechanics Hate (CarTalk)]:[JD Power Quality]])</f>
        <v>2</v>
      </c>
      <c r="D19">
        <f>Table1[[#This Row],[Mileage (city)]]*0.7+Table1[[#This Row],[Mileage (hwy)]]*0.3</f>
        <v>39.5</v>
      </c>
      <c r="E19">
        <v>41</v>
      </c>
      <c r="F19">
        <v>36</v>
      </c>
      <c r="G19" s="3">
        <f>600*12*3*4/Table1[[#This Row],[Mileage (mix)]]</f>
        <v>2187.3417721518986</v>
      </c>
      <c r="H19" s="3">
        <f>Table1[[#This Row],[10-year fuel costs]]+Table1[[#This Row],[2005 Price]]</f>
        <v>35241.139240506331</v>
      </c>
      <c r="I19" s="3">
        <f>600*12*10*4/Table1[[#This Row],[Mileage (mix)]]</f>
        <v>7291.1392405063289</v>
      </c>
      <c r="K19" s="3">
        <v>27950</v>
      </c>
      <c r="L19" s="3">
        <f>(8513+8100)/2</f>
        <v>8306.5</v>
      </c>
      <c r="M19" s="3">
        <f>(14617+16457)/2</f>
        <v>15537</v>
      </c>
      <c r="N19" t="s">
        <v>14</v>
      </c>
      <c r="T19" t="s">
        <v>14</v>
      </c>
    </row>
    <row r="20" spans="1:23" x14ac:dyDescent="0.25">
      <c r="A20" t="s">
        <v>26</v>
      </c>
      <c r="C20" s="4">
        <f>10-COUNTBLANK(Table1[[#This Row],[Cars Mechanics Hate (CarTalk)]:[JD Power Quality]])</f>
        <v>2</v>
      </c>
      <c r="D20">
        <f>Table1[[#This Row],[Mileage (city)]]*0.7+Table1[[#This Row],[Mileage (hwy)]]*0.3</f>
        <v>50.999999999999993</v>
      </c>
      <c r="E20">
        <v>48</v>
      </c>
      <c r="F20">
        <v>58</v>
      </c>
      <c r="G20" s="3">
        <f>600*12*3*4/Table1[[#This Row],[Mileage (mix)]]</f>
        <v>1694.1176470588239</v>
      </c>
      <c r="H20" s="3">
        <f>Table1[[#This Row],[10-year fuel costs]]+Table1[[#This Row],[2005 Price]]</f>
        <v>16244.058823529413</v>
      </c>
      <c r="I20" s="3">
        <f>600*12*10*4/Table1[[#This Row],[Mileage (mix)]]</f>
        <v>5647.0588235294126</v>
      </c>
      <c r="K20" s="3">
        <v>10597</v>
      </c>
      <c r="N20"/>
      <c r="S20" t="s">
        <v>14</v>
      </c>
      <c r="W20" t="s">
        <v>14</v>
      </c>
    </row>
    <row r="21" spans="1:23" x14ac:dyDescent="0.25">
      <c r="A21" t="s">
        <v>12</v>
      </c>
      <c r="C21" s="4">
        <f>10-COUNTBLANK(Table1[[#This Row],[Cars Mechanics Hate (CarTalk)]:[JD Power Quality]])</f>
        <v>2</v>
      </c>
      <c r="D21">
        <f>Table1[[#This Row],[Mileage (city)]]*0.7+Table1[[#This Row],[Mileage (hwy)]]*0.3</f>
        <v>23.4</v>
      </c>
      <c r="E21">
        <v>21</v>
      </c>
      <c r="F21">
        <v>29</v>
      </c>
      <c r="G21" s="3">
        <f>600*12*3*4/Table1[[#This Row],[Mileage (mix)]]</f>
        <v>3692.3076923076924</v>
      </c>
      <c r="H21" s="3">
        <f>Table1[[#This Row],[10-year fuel costs]]+Table1[[#This Row],[2005 Price]]</f>
        <v>19402.692307692309</v>
      </c>
      <c r="I21" s="3">
        <f>600*12*10*4/Table1[[#This Row],[Mileage (mix)]]</f>
        <v>12307.692307692309</v>
      </c>
      <c r="K21" s="3">
        <v>7095</v>
      </c>
      <c r="N21" t="s">
        <v>14</v>
      </c>
      <c r="P21" t="s">
        <v>14</v>
      </c>
    </row>
    <row r="22" spans="1:23" x14ac:dyDescent="0.25">
      <c r="A22" t="s">
        <v>21</v>
      </c>
      <c r="C22" s="4">
        <f>10-COUNTBLANK(Table1[[#This Row],[Cars Mechanics Hate (CarTalk)]:[JD Power Quality]])</f>
        <v>2</v>
      </c>
      <c r="D22">
        <f>Table1[[#This Row],[Mileage (city)]]*0.7+Table1[[#This Row],[Mileage (hwy)]]*0.3</f>
        <v>28.199999999999996</v>
      </c>
      <c r="E22">
        <v>27</v>
      </c>
      <c r="F22">
        <v>31</v>
      </c>
      <c r="G22" s="3">
        <f>600*12*3*4/Table1[[#This Row],[Mileage (mix)]]</f>
        <v>3063.8297872340431</v>
      </c>
      <c r="H22" s="3">
        <f>Table1[[#This Row],[10-year fuel costs]]+Table1[[#This Row],[2005 Price]]</f>
        <v>17826.765957446813</v>
      </c>
      <c r="I22" s="3">
        <f>600*12*10*4/Table1[[#This Row],[Mileage (mix)]]</f>
        <v>10212.765957446811</v>
      </c>
      <c r="K22" s="3">
        <v>7614</v>
      </c>
      <c r="N22"/>
      <c r="R22" t="s">
        <v>20</v>
      </c>
      <c r="T22" t="s">
        <v>14</v>
      </c>
    </row>
    <row r="23" spans="1:23" x14ac:dyDescent="0.25">
      <c r="A23" t="s">
        <v>59</v>
      </c>
      <c r="C23" s="12">
        <f>10-COUNTBLANK(Table1[[#This Row],[Cars Mechanics Hate (CarTalk)]:[JD Power Quality]])</f>
        <v>2</v>
      </c>
      <c r="D23" s="13">
        <f>Table1[[#This Row],[Mileage (city)]]*0.7+Table1[[#This Row],[Mileage (hwy)]]*0.3</f>
        <v>29.4</v>
      </c>
      <c r="E23" s="9">
        <v>27</v>
      </c>
      <c r="F23" s="9">
        <v>35</v>
      </c>
      <c r="G23" s="10">
        <f>600*12*3*4/Table1[[#This Row],[Mileage (mix)]]</f>
        <v>2938.7755102040819</v>
      </c>
      <c r="H23" s="10">
        <f>Table1[[#This Row],[10-year fuel costs]]+Table1[[#This Row],[2005 Price]]</f>
        <v>19795.918367346938</v>
      </c>
      <c r="I23" s="10">
        <f>600*12*10*4/Table1[[#This Row],[Mileage (mix)]]</f>
        <v>9795.9183673469397</v>
      </c>
      <c r="J23" s="10"/>
      <c r="K23" s="11">
        <v>10000</v>
      </c>
      <c r="L23" s="11"/>
      <c r="M23" s="11"/>
      <c r="N23" s="9" t="s">
        <v>14</v>
      </c>
      <c r="O23" s="9"/>
      <c r="P23" s="9"/>
      <c r="Q23" s="9"/>
      <c r="R23" s="9"/>
      <c r="S23" s="9"/>
      <c r="T23" s="9"/>
      <c r="U23" s="9"/>
      <c r="V23" s="9"/>
      <c r="W23" s="9" t="s">
        <v>14</v>
      </c>
    </row>
    <row r="24" spans="1:23" x14ac:dyDescent="0.25">
      <c r="A24" t="s">
        <v>47</v>
      </c>
      <c r="C24" s="8">
        <f>10-COUNTBLANK(Table1[[#This Row],[Cars Mechanics Hate (CarTalk)]:[JD Power Quality]])</f>
        <v>1</v>
      </c>
      <c r="D24" s="15">
        <f>Table1[[#This Row],[Mileage (city)]]*0.7+Table1[[#This Row],[Mileage (hwy)]]*0.3</f>
        <v>33</v>
      </c>
      <c r="E24">
        <v>30</v>
      </c>
      <c r="F24">
        <v>40</v>
      </c>
      <c r="G24" s="14">
        <f>600*12*3*4/Table1[[#This Row],[Mileage (mix)]]</f>
        <v>2618.181818181818</v>
      </c>
      <c r="H24" s="10">
        <f>Table1[[#This Row],[10-year fuel costs]]+Table1[[#This Row],[2005 Price]]</f>
        <v>16040.272727272728</v>
      </c>
      <c r="I24" s="6">
        <f>600*12*10*4/Table1[[#This Row],[Mileage (mix)]]</f>
        <v>8727.2727272727279</v>
      </c>
      <c r="J24" s="6"/>
      <c r="K24" s="7">
        <v>7313</v>
      </c>
      <c r="L24" s="7"/>
      <c r="M24" s="7"/>
      <c r="N24"/>
      <c r="V24" t="s">
        <v>14</v>
      </c>
    </row>
    <row r="25" spans="1:23" x14ac:dyDescent="0.25">
      <c r="A25" t="s">
        <v>48</v>
      </c>
      <c r="C25" s="8">
        <f>10-COUNTBLANK(Table1[[#This Row],[Cars Mechanics Hate (CarTalk)]:[JD Power Quality]])</f>
        <v>1</v>
      </c>
      <c r="D25" s="4">
        <f>Table1[[#This Row],[Mileage (city)]]*0.7+Table1[[#This Row],[Mileage (hwy)]]*0.3</f>
        <v>29.799999999999997</v>
      </c>
      <c r="E25">
        <v>28</v>
      </c>
      <c r="F25">
        <v>34</v>
      </c>
      <c r="G25" s="5">
        <f>600*12*3*4/Table1[[#This Row],[Mileage (mix)]]</f>
        <v>2899.3288590604029</v>
      </c>
      <c r="H25" s="5">
        <f>Table1[[#This Row],[10-year fuel costs]]+Table1[[#This Row],[2005 Price]]</f>
        <v>14116.429530201343</v>
      </c>
      <c r="I25" s="6">
        <f>600*12*10*4/Table1[[#This Row],[Mileage (mix)]]</f>
        <v>9664.4295302013434</v>
      </c>
      <c r="J25" s="6"/>
      <c r="K25" s="7">
        <v>4452</v>
      </c>
      <c r="L25" s="7"/>
      <c r="M25" s="7"/>
      <c r="N25"/>
      <c r="V25" t="s">
        <v>14</v>
      </c>
    </row>
    <row r="26" spans="1:23" x14ac:dyDescent="0.25">
      <c r="A26" t="s">
        <v>46</v>
      </c>
      <c r="C26" s="8">
        <f>10-COUNTBLANK(Table1[[#This Row],[Cars Mechanics Hate (CarTalk)]:[JD Power Quality]])</f>
        <v>1</v>
      </c>
      <c r="D26" s="4">
        <f>Table1[[#This Row],[Mileage (city)]]*0.7+Table1[[#This Row],[Mileage (hwy)]]*0.3</f>
        <v>24.4</v>
      </c>
      <c r="E26">
        <v>22</v>
      </c>
      <c r="F26">
        <v>30</v>
      </c>
      <c r="G26" s="5">
        <f>600*12*3*4/Table1[[#This Row],[Mileage (mix)]]</f>
        <v>3540.9836065573772</v>
      </c>
      <c r="H26" s="5">
        <f>Table1[[#This Row],[10-year fuel costs]]+Table1[[#This Row],[2005 Price]]</f>
        <v>16686.278688524591</v>
      </c>
      <c r="I26" s="6">
        <f>600*12*10*4/Table1[[#This Row],[Mileage (mix)]]</f>
        <v>11803.278688524591</v>
      </c>
      <c r="J26" s="6"/>
      <c r="K26" s="7">
        <v>4883</v>
      </c>
      <c r="L26" s="7"/>
      <c r="M26" s="7"/>
      <c r="N26"/>
      <c r="V26" t="s">
        <v>14</v>
      </c>
    </row>
    <row r="27" spans="1:23" x14ac:dyDescent="0.25">
      <c r="A27" t="s">
        <v>45</v>
      </c>
      <c r="C27" s="8">
        <f>10-COUNTBLANK(Table1[[#This Row],[Cars Mechanics Hate (CarTalk)]:[JD Power Quality]])</f>
        <v>1</v>
      </c>
      <c r="D27" s="4">
        <f>Table1[[#This Row],[Mileage (city)]]*0.7+Table1[[#This Row],[Mileage (hwy)]]*0.3</f>
        <v>27.799999999999997</v>
      </c>
      <c r="E27">
        <v>26</v>
      </c>
      <c r="F27">
        <v>32</v>
      </c>
      <c r="G27" s="5">
        <f>600*12*3*4/Table1[[#This Row],[Mileage (mix)]]</f>
        <v>3107.9136690647483</v>
      </c>
      <c r="H27" s="5">
        <f>Table1[[#This Row],[10-year fuel costs]]+Table1[[#This Row],[2005 Price]]</f>
        <v>20359.712230215828</v>
      </c>
      <c r="I27" s="6">
        <f>600*12*10*4/Table1[[#This Row],[Mileage (mix)]]</f>
        <v>10359.712230215828</v>
      </c>
      <c r="J27" s="6"/>
      <c r="K27" s="7">
        <v>10000</v>
      </c>
      <c r="L27" s="7"/>
      <c r="M27" s="7"/>
      <c r="N27"/>
      <c r="V27" t="s">
        <v>14</v>
      </c>
    </row>
    <row r="28" spans="1:23" x14ac:dyDescent="0.25">
      <c r="A28" t="s">
        <v>44</v>
      </c>
      <c r="C28" s="8">
        <f>10-COUNTBLANK(Table1[[#This Row],[Cars Mechanics Hate (CarTalk)]:[JD Power Quality]])</f>
        <v>0</v>
      </c>
      <c r="D28" s="4">
        <f>Table1[[#This Row],[Mileage (city)]]*0.7+Table1[[#This Row],[Mileage (hwy)]]*0.3</f>
        <v>25.4</v>
      </c>
      <c r="E28">
        <v>23</v>
      </c>
      <c r="F28">
        <v>31</v>
      </c>
      <c r="G28" s="5">
        <f>600*12*3*4/Table1[[#This Row],[Mileage (mix)]]</f>
        <v>3401.5748031496064</v>
      </c>
      <c r="H28" s="5">
        <f>Table1[[#This Row],[10-year fuel costs]]+Table1[[#This Row],[2005 Price]]</f>
        <v>23338.582677165356</v>
      </c>
      <c r="I28" s="6">
        <f>600*12*10*4/Table1[[#This Row],[Mileage (mix)]]</f>
        <v>11338.582677165356</v>
      </c>
      <c r="J28" s="6"/>
      <c r="K28" s="7">
        <v>12000</v>
      </c>
      <c r="L28" s="7"/>
      <c r="M28" s="7"/>
      <c r="N28"/>
    </row>
    <row r="29" spans="1:23" x14ac:dyDescent="0.25">
      <c r="A29" t="s">
        <v>43</v>
      </c>
      <c r="C29" s="8">
        <f>10-COUNTBLANK(Table1[[#This Row],[Cars Mechanics Hate (CarTalk)]:[JD Power Quality]])</f>
        <v>0</v>
      </c>
      <c r="D29" s="4">
        <f>Table1[[#This Row],[Mileage (city)]]*0.7+Table1[[#This Row],[Mileage (hwy)]]*0.3</f>
        <v>27.299999999999997</v>
      </c>
      <c r="E29">
        <v>24</v>
      </c>
      <c r="F29">
        <v>35</v>
      </c>
      <c r="G29" s="5">
        <f>600*12*3*4/Table1[[#This Row],[Mileage (mix)]]</f>
        <v>3164.835164835165</v>
      </c>
      <c r="H29" s="5">
        <f>Table1[[#This Row],[10-year fuel costs]]+Table1[[#This Row],[2005 Price]]</f>
        <v>19549.45054945055</v>
      </c>
      <c r="I29" s="6">
        <f>600*12*10*4/Table1[[#This Row],[Mileage (mix)]]</f>
        <v>10549.45054945055</v>
      </c>
      <c r="J29" s="6"/>
      <c r="K29" s="7">
        <v>9000</v>
      </c>
      <c r="L29" s="7"/>
      <c r="M29" s="7"/>
      <c r="N29"/>
    </row>
  </sheetData>
  <sortState ref="A2:I23">
    <sortCondition ref="A2:A23"/>
  </sortState>
  <conditionalFormatting sqref="D1:D1048576">
    <cfRule type="top10" dxfId="17" priority="21" percent="1" bottom="1" rank="20"/>
    <cfRule type="top10" dxfId="16" priority="22" percent="1" rank="20"/>
  </conditionalFormatting>
  <conditionalFormatting sqref="I30:I1048576 G1:G29">
    <cfRule type="top10" dxfId="15" priority="10" percent="1" bottom="1" rank="15"/>
  </conditionalFormatting>
  <conditionalFormatting sqref="L30:L1048576 K1:K2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21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29">
    <cfRule type="top10" dxfId="14" priority="36" percent="1" bottom="1" rank="15"/>
    <cfRule type="top10" dxfId="13" priority="37" percent="1" rank="15"/>
    <cfRule type="top10" dxfId="12" priority="38" percent="1" bottom="1" rank="10"/>
    <cfRule type="top10" dxfId="11" priority="39" percent="1" rank="10"/>
  </conditionalFormatting>
  <conditionalFormatting sqref="I2:I29">
    <cfRule type="top10" dxfId="10" priority="44" percent="1" bottom="1" rank="15"/>
    <cfRule type="top10" dxfId="9" priority="45" percent="1" rank="15"/>
  </conditionalFormatting>
  <conditionalFormatting sqref="L7:L26">
    <cfRule type="colorScale" priority="4">
      <colorScale>
        <cfvo type="min"/>
        <cfvo type="max"/>
        <color rgb="FF63BE7B"/>
        <color rgb="FFFCFCFF"/>
      </colorScale>
    </cfRule>
  </conditionalFormatting>
  <conditionalFormatting sqref="M7:M26">
    <cfRule type="colorScale" priority="3">
      <colorScale>
        <cfvo type="min"/>
        <cfvo type="max"/>
        <color rgb="FF63BE7B"/>
        <color rgb="FFFCFCFF"/>
      </colorScale>
    </cfRule>
  </conditionalFormatting>
  <conditionalFormatting sqref="K7:K26">
    <cfRule type="colorScale" priority="2">
      <colorScale>
        <cfvo type="min"/>
        <cfvo type="max"/>
        <color rgb="FF63BE7B"/>
        <color rgb="FFFCFCFF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200" verticalDpi="200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3747B192-ED12-49BD-9092-87BD48A749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29</xm:f>
              </x14:cfvo>
              <x14:cfIcon iconSet="NoIcons" iconId="0"/>
              <x14:cfIcon iconSet="NoIcons" iconId="0"/>
              <x14:cfIcon iconSet="3Arrows" iconId="2"/>
            </x14:iconSet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Nambi</dc:creator>
  <cp:lastModifiedBy>Dev Nambi</cp:lastModifiedBy>
  <dcterms:created xsi:type="dcterms:W3CDTF">2011-02-15T16:04:36Z</dcterms:created>
  <dcterms:modified xsi:type="dcterms:W3CDTF">2014-05-09T01:58:43Z</dcterms:modified>
</cp:coreProperties>
</file>