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445"/>
  </bookViews>
  <sheets>
    <sheet name="Specific Cars" sheetId="3" r:id="rId1"/>
    <sheet name="Value vs Distance" sheetId="4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P101" i="3" l="1"/>
  <c r="E101" i="3" s="1"/>
  <c r="R101" i="3"/>
  <c r="N101" i="3" s="1"/>
  <c r="T101" i="3"/>
  <c r="U101" i="3"/>
  <c r="W101" i="3" s="1"/>
  <c r="Y101" i="3"/>
  <c r="P92" i="3"/>
  <c r="E92" i="3" s="1"/>
  <c r="R92" i="3"/>
  <c r="N92" i="3" s="1"/>
  <c r="T92" i="3"/>
  <c r="U92" i="3"/>
  <c r="W92" i="3" s="1"/>
  <c r="Y92" i="3"/>
  <c r="P64" i="3"/>
  <c r="E64" i="3" s="1"/>
  <c r="R64" i="3"/>
  <c r="N64" i="3" s="1"/>
  <c r="T64" i="3"/>
  <c r="U64" i="3"/>
  <c r="W64" i="3" s="1"/>
  <c r="Y64" i="3"/>
  <c r="P13" i="3"/>
  <c r="E13" i="3" s="1"/>
  <c r="R13" i="3"/>
  <c r="N13" i="3" s="1"/>
  <c r="T13" i="3"/>
  <c r="U13" i="3"/>
  <c r="W13" i="3" s="1"/>
  <c r="Y13" i="3"/>
  <c r="P4" i="3"/>
  <c r="E4" i="3" s="1"/>
  <c r="R4" i="3"/>
  <c r="T4" i="3"/>
  <c r="U4" i="3"/>
  <c r="W4" i="3" s="1"/>
  <c r="Y4" i="3"/>
  <c r="P26" i="3"/>
  <c r="E26" i="3" s="1"/>
  <c r="R26" i="3"/>
  <c r="N26" i="3" s="1"/>
  <c r="T26" i="3"/>
  <c r="U26" i="3"/>
  <c r="W26" i="3" s="1"/>
  <c r="Y26" i="3"/>
  <c r="P32" i="3"/>
  <c r="E32" i="3" s="1"/>
  <c r="R32" i="3"/>
  <c r="N32" i="3" s="1"/>
  <c r="T32" i="3"/>
  <c r="U32" i="3"/>
  <c r="W32" i="3" s="1"/>
  <c r="Y32" i="3"/>
  <c r="P56" i="3"/>
  <c r="E56" i="3" s="1"/>
  <c r="R56" i="3"/>
  <c r="N56" i="3" s="1"/>
  <c r="T56" i="3"/>
  <c r="U56" i="3"/>
  <c r="W56" i="3" s="1"/>
  <c r="Y56" i="3"/>
  <c r="E29" i="3"/>
  <c r="R29" i="3"/>
  <c r="N29" i="3" s="1"/>
  <c r="T29" i="3"/>
  <c r="U29" i="3"/>
  <c r="W29" i="3" s="1"/>
  <c r="Y29" i="3"/>
  <c r="P53" i="3"/>
  <c r="E53" i="3" s="1"/>
  <c r="R53" i="3"/>
  <c r="N53" i="3" s="1"/>
  <c r="T53" i="3"/>
  <c r="U53" i="3"/>
  <c r="W53" i="3" s="1"/>
  <c r="Y53" i="3"/>
  <c r="E16" i="3"/>
  <c r="R16" i="3"/>
  <c r="N16" i="3" s="1"/>
  <c r="T16" i="3"/>
  <c r="U16" i="3"/>
  <c r="W16" i="3" s="1"/>
  <c r="Y16" i="3"/>
  <c r="P2" i="3"/>
  <c r="E2" i="3" s="1"/>
  <c r="R2" i="3"/>
  <c r="T2" i="3"/>
  <c r="U2" i="3"/>
  <c r="W2" i="3" s="1"/>
  <c r="Y2" i="3"/>
  <c r="P11" i="3"/>
  <c r="E11" i="3" s="1"/>
  <c r="R11" i="3"/>
  <c r="T11" i="3"/>
  <c r="U11" i="3"/>
  <c r="W11" i="3" s="1"/>
  <c r="Y11" i="3"/>
  <c r="P41" i="3"/>
  <c r="E41" i="3" s="1"/>
  <c r="R41" i="3"/>
  <c r="N41" i="3" s="1"/>
  <c r="T41" i="3"/>
  <c r="U41" i="3"/>
  <c r="W41" i="3" s="1"/>
  <c r="Y41" i="3"/>
  <c r="E50" i="3"/>
  <c r="R50" i="3"/>
  <c r="N50" i="3" s="1"/>
  <c r="T50" i="3"/>
  <c r="U50" i="3"/>
  <c r="W50" i="3" s="1"/>
  <c r="Y50" i="3"/>
  <c r="P102" i="3"/>
  <c r="E102" i="3" s="1"/>
  <c r="R102" i="3"/>
  <c r="N102" i="3" s="1"/>
  <c r="T102" i="3"/>
  <c r="U102" i="3"/>
  <c r="W102" i="3" s="1"/>
  <c r="Y102" i="3"/>
  <c r="P104" i="3"/>
  <c r="E104" i="3" s="1"/>
  <c r="R104" i="3"/>
  <c r="N104" i="3" s="1"/>
  <c r="T104" i="3"/>
  <c r="U104" i="3"/>
  <c r="W104" i="3" s="1"/>
  <c r="Y104" i="3"/>
  <c r="P105" i="3"/>
  <c r="E105" i="3" s="1"/>
  <c r="R105" i="3"/>
  <c r="N105" i="3" s="1"/>
  <c r="T105" i="3"/>
  <c r="U105" i="3"/>
  <c r="W105" i="3" s="1"/>
  <c r="Y105" i="3"/>
  <c r="P103" i="3"/>
  <c r="E103" i="3" s="1"/>
  <c r="R103" i="3"/>
  <c r="N103" i="3" s="1"/>
  <c r="T103" i="3"/>
  <c r="U103" i="3"/>
  <c r="W103" i="3" s="1"/>
  <c r="Y103" i="3"/>
  <c r="P98" i="3"/>
  <c r="E98" i="3" s="1"/>
  <c r="R98" i="3"/>
  <c r="N98" i="3" s="1"/>
  <c r="T98" i="3"/>
  <c r="U98" i="3"/>
  <c r="W98" i="3" s="1"/>
  <c r="Y98" i="3"/>
  <c r="X101" i="3" l="1"/>
  <c r="X98" i="3"/>
  <c r="X105" i="3"/>
  <c r="X102" i="3"/>
  <c r="X2" i="3"/>
  <c r="N2" i="3" s="1"/>
  <c r="X53" i="3"/>
  <c r="X26" i="3"/>
  <c r="X92" i="3"/>
  <c r="X103" i="3"/>
  <c r="X104" i="3"/>
  <c r="X16" i="3"/>
  <c r="X4" i="3"/>
  <c r="N4" i="3" s="1"/>
  <c r="X50" i="3"/>
  <c r="X41" i="3"/>
  <c r="X56" i="3"/>
  <c r="X13" i="3"/>
  <c r="X11" i="3"/>
  <c r="N11" i="3" s="1"/>
  <c r="X29" i="3"/>
  <c r="X32" i="3"/>
  <c r="X64" i="3"/>
  <c r="J101" i="3"/>
  <c r="L101" i="3"/>
  <c r="J92" i="3"/>
  <c r="L92" i="3"/>
  <c r="J64" i="3"/>
  <c r="L64" i="3"/>
  <c r="J13" i="3"/>
  <c r="L13" i="3"/>
  <c r="J4" i="3"/>
  <c r="L4" i="3"/>
  <c r="J26" i="3"/>
  <c r="L26" i="3"/>
  <c r="J32" i="3"/>
  <c r="L32" i="3"/>
  <c r="J56" i="3"/>
  <c r="L56" i="3"/>
  <c r="J29" i="3"/>
  <c r="L29" i="3"/>
  <c r="J53" i="3"/>
  <c r="L53" i="3"/>
  <c r="J16" i="3"/>
  <c r="L16" i="3"/>
  <c r="J2" i="3"/>
  <c r="L2" i="3"/>
  <c r="J11" i="3"/>
  <c r="L11" i="3"/>
  <c r="L41" i="3"/>
  <c r="J41" i="3"/>
  <c r="J50" i="3"/>
  <c r="L50" i="3"/>
  <c r="L102" i="3"/>
  <c r="J102" i="3"/>
  <c r="J104" i="3"/>
  <c r="L104" i="3"/>
  <c r="J105" i="3"/>
  <c r="L105" i="3"/>
  <c r="J103" i="3"/>
  <c r="L103" i="3"/>
  <c r="J98" i="3"/>
  <c r="L98" i="3"/>
  <c r="T8" i="3"/>
  <c r="T19" i="3"/>
  <c r="T10" i="3"/>
  <c r="T42" i="3"/>
  <c r="T30" i="3"/>
  <c r="T17" i="3"/>
  <c r="T21" i="3"/>
  <c r="T33" i="3"/>
  <c r="T25" i="3"/>
  <c r="T18" i="3"/>
  <c r="T22" i="3"/>
  <c r="T20" i="3"/>
  <c r="T24" i="3"/>
  <c r="T54" i="3"/>
  <c r="T23" i="3"/>
  <c r="T12" i="3"/>
  <c r="T5" i="3"/>
  <c r="T7" i="3"/>
  <c r="T6" i="3"/>
  <c r="T9" i="3"/>
  <c r="T40" i="3"/>
  <c r="T28" i="3"/>
  <c r="T39" i="3"/>
  <c r="T55" i="3"/>
  <c r="T59" i="3"/>
  <c r="T62" i="3"/>
  <c r="T31" i="3"/>
  <c r="T58" i="3"/>
  <c r="T57" i="3"/>
  <c r="T79" i="3"/>
  <c r="T83" i="3"/>
  <c r="T70" i="3"/>
  <c r="T48" i="3"/>
  <c r="T74" i="3"/>
  <c r="T80" i="3"/>
  <c r="T82" i="3"/>
  <c r="T63" i="3"/>
  <c r="T81" i="3"/>
  <c r="T60" i="3"/>
  <c r="T61" i="3"/>
  <c r="T71" i="3"/>
  <c r="T85" i="3"/>
  <c r="T91" i="3"/>
  <c r="T72" i="3"/>
  <c r="T88" i="3"/>
  <c r="T93" i="3"/>
  <c r="T99" i="3"/>
  <c r="T68" i="3"/>
  <c r="T95" i="3"/>
  <c r="T94" i="3"/>
  <c r="T75" i="3"/>
  <c r="T97" i="3"/>
  <c r="T78" i="3"/>
  <c r="T38" i="3"/>
  <c r="T37" i="3"/>
  <c r="T44" i="3"/>
  <c r="T35" i="3"/>
  <c r="T45" i="3"/>
  <c r="T66" i="3"/>
  <c r="T15" i="3"/>
  <c r="T96" i="3"/>
  <c r="T84" i="3"/>
  <c r="T51" i="3"/>
  <c r="T14" i="3"/>
  <c r="T49" i="3"/>
  <c r="T27" i="3"/>
  <c r="T69" i="3"/>
  <c r="T77" i="3"/>
  <c r="T36" i="3"/>
  <c r="T76" i="3"/>
  <c r="T46" i="3"/>
  <c r="T90" i="3"/>
  <c r="T73" i="3"/>
  <c r="T65" i="3"/>
  <c r="T52" i="3"/>
  <c r="T67" i="3"/>
  <c r="T89" i="3"/>
  <c r="T106" i="3"/>
  <c r="T3" i="3"/>
  <c r="T87" i="3"/>
  <c r="T43" i="3"/>
  <c r="T34" i="3"/>
  <c r="T47" i="3"/>
  <c r="T100" i="3"/>
  <c r="T86" i="3"/>
  <c r="P65" i="3" l="1"/>
  <c r="E65" i="3" s="1"/>
  <c r="R65" i="3"/>
  <c r="U65" i="3"/>
  <c r="Y65" i="3"/>
  <c r="P36" i="3"/>
  <c r="E36" i="3" s="1"/>
  <c r="R36" i="3"/>
  <c r="U36" i="3"/>
  <c r="Y36" i="3"/>
  <c r="P87" i="3"/>
  <c r="E87" i="3" s="1"/>
  <c r="R87" i="3"/>
  <c r="U87" i="3"/>
  <c r="Y87" i="3"/>
  <c r="P90" i="3"/>
  <c r="E90" i="3" s="1"/>
  <c r="R90" i="3"/>
  <c r="U90" i="3"/>
  <c r="Y90" i="3"/>
  <c r="P77" i="3"/>
  <c r="E77" i="3" s="1"/>
  <c r="R77" i="3"/>
  <c r="U77" i="3"/>
  <c r="Y77" i="3"/>
  <c r="P69" i="3"/>
  <c r="E69" i="3" s="1"/>
  <c r="R69" i="3"/>
  <c r="U69" i="3"/>
  <c r="Y69" i="3"/>
  <c r="P14" i="3"/>
  <c r="E14" i="3" s="1"/>
  <c r="R14" i="3"/>
  <c r="U14" i="3"/>
  <c r="Y14" i="3"/>
  <c r="P51" i="3"/>
  <c r="E51" i="3" s="1"/>
  <c r="R51" i="3"/>
  <c r="U51" i="3"/>
  <c r="Y51" i="3"/>
  <c r="P38" i="3"/>
  <c r="E38" i="3" s="1"/>
  <c r="R38" i="3"/>
  <c r="U38" i="3"/>
  <c r="W38" i="3" s="1"/>
  <c r="Y38" i="3"/>
  <c r="P5" i="3"/>
  <c r="P6" i="3"/>
  <c r="P9" i="3"/>
  <c r="P7" i="3"/>
  <c r="P12" i="3"/>
  <c r="P20" i="3"/>
  <c r="P22" i="3"/>
  <c r="P10" i="3"/>
  <c r="P3" i="3"/>
  <c r="P17" i="3"/>
  <c r="P25" i="3"/>
  <c r="P21" i="3"/>
  <c r="P40" i="3"/>
  <c r="P23" i="3"/>
  <c r="P24" i="3"/>
  <c r="P34" i="3"/>
  <c r="P33" i="3"/>
  <c r="P35" i="3"/>
  <c r="P43" i="3"/>
  <c r="P30" i="3"/>
  <c r="P75" i="3"/>
  <c r="P73" i="3"/>
  <c r="P52" i="3"/>
  <c r="P47" i="3"/>
  <c r="P78" i="3"/>
  <c r="P46" i="3"/>
  <c r="P54" i="3"/>
  <c r="P31" i="3"/>
  <c r="P19" i="3"/>
  <c r="P68" i="3"/>
  <c r="P44" i="3"/>
  <c r="P67" i="3"/>
  <c r="P72" i="3"/>
  <c r="P60" i="3"/>
  <c r="P61" i="3"/>
  <c r="P42" i="3"/>
  <c r="P89" i="3"/>
  <c r="P48" i="3"/>
  <c r="P63" i="3"/>
  <c r="P86" i="3"/>
  <c r="P66" i="3"/>
  <c r="P71" i="3"/>
  <c r="P28" i="3"/>
  <c r="P97" i="3"/>
  <c r="P94" i="3"/>
  <c r="P81" i="3"/>
  <c r="P74" i="3"/>
  <c r="P84" i="3"/>
  <c r="P95" i="3"/>
  <c r="P45" i="3"/>
  <c r="P57" i="3"/>
  <c r="P88" i="3"/>
  <c r="P80" i="3"/>
  <c r="P58" i="3"/>
  <c r="P82" i="3"/>
  <c r="P85" i="3"/>
  <c r="P70" i="3"/>
  <c r="P93" i="3"/>
  <c r="P55" i="3"/>
  <c r="P59" i="3"/>
  <c r="P91" i="3"/>
  <c r="P62" i="3"/>
  <c r="P100" i="3"/>
  <c r="E100" i="3" s="1"/>
  <c r="P79" i="3"/>
  <c r="P99" i="3"/>
  <c r="P83" i="3"/>
  <c r="P106" i="3"/>
  <c r="E106" i="3" s="1"/>
  <c r="P15" i="3"/>
  <c r="E15" i="3" s="1"/>
  <c r="P96" i="3"/>
  <c r="E96" i="3" s="1"/>
  <c r="R96" i="3"/>
  <c r="U96" i="3"/>
  <c r="Y96" i="3"/>
  <c r="R15" i="3"/>
  <c r="U15" i="3"/>
  <c r="Y15" i="3"/>
  <c r="E37" i="3"/>
  <c r="R37" i="3"/>
  <c r="U37" i="3"/>
  <c r="Y37" i="3"/>
  <c r="E49" i="3"/>
  <c r="R49" i="3"/>
  <c r="U49" i="3"/>
  <c r="Y49" i="3"/>
  <c r="R100" i="3"/>
  <c r="U100" i="3"/>
  <c r="Y100" i="3"/>
  <c r="R106" i="3"/>
  <c r="U106" i="3"/>
  <c r="Y106" i="3"/>
  <c r="E27" i="3"/>
  <c r="R27" i="3"/>
  <c r="U27" i="3"/>
  <c r="Y27" i="3"/>
  <c r="X96" i="3" l="1"/>
  <c r="N96" i="3" s="1"/>
  <c r="W96" i="3"/>
  <c r="X51" i="3"/>
  <c r="N51" i="3" s="1"/>
  <c r="W51" i="3"/>
  <c r="X14" i="3"/>
  <c r="N14" i="3" s="1"/>
  <c r="W14" i="3"/>
  <c r="X69" i="3"/>
  <c r="N69" i="3" s="1"/>
  <c r="W69" i="3"/>
  <c r="X100" i="3"/>
  <c r="N100" i="3" s="1"/>
  <c r="W100" i="3"/>
  <c r="X27" i="3"/>
  <c r="N27" i="3" s="1"/>
  <c r="W27" i="3"/>
  <c r="X106" i="3"/>
  <c r="N106" i="3" s="1"/>
  <c r="W106" i="3"/>
  <c r="X49" i="3"/>
  <c r="N49" i="3" s="1"/>
  <c r="W49" i="3"/>
  <c r="X37" i="3"/>
  <c r="N37" i="3" s="1"/>
  <c r="W37" i="3"/>
  <c r="X15" i="3"/>
  <c r="N15" i="3" s="1"/>
  <c r="W15" i="3"/>
  <c r="X77" i="3"/>
  <c r="N77" i="3" s="1"/>
  <c r="W77" i="3"/>
  <c r="X90" i="3"/>
  <c r="N90" i="3" s="1"/>
  <c r="W90" i="3"/>
  <c r="X87" i="3"/>
  <c r="N87" i="3" s="1"/>
  <c r="W87" i="3"/>
  <c r="X36" i="3"/>
  <c r="N36" i="3" s="1"/>
  <c r="W36" i="3"/>
  <c r="X65" i="3"/>
  <c r="N65" i="3" s="1"/>
  <c r="W65" i="3"/>
  <c r="X38" i="3"/>
  <c r="N38" i="3" s="1"/>
  <c r="L65" i="3"/>
  <c r="J65" i="3"/>
  <c r="L36" i="3"/>
  <c r="J36" i="3"/>
  <c r="L87" i="3"/>
  <c r="J87" i="3"/>
  <c r="L90" i="3"/>
  <c r="J90" i="3"/>
  <c r="L77" i="3"/>
  <c r="J77" i="3"/>
  <c r="L69" i="3"/>
  <c r="J69" i="3"/>
  <c r="L14" i="3"/>
  <c r="J14" i="3"/>
  <c r="L51" i="3"/>
  <c r="J51" i="3"/>
  <c r="L38" i="3"/>
  <c r="J38" i="3"/>
  <c r="L96" i="3"/>
  <c r="J96" i="3"/>
  <c r="L15" i="3"/>
  <c r="J15" i="3"/>
  <c r="L37" i="3"/>
  <c r="J37" i="3"/>
  <c r="L49" i="3"/>
  <c r="J49" i="3"/>
  <c r="L100" i="3"/>
  <c r="J100" i="3"/>
  <c r="J106" i="3"/>
  <c r="L106" i="3"/>
  <c r="L27" i="3"/>
  <c r="J27" i="3"/>
  <c r="E3" i="3"/>
  <c r="E5" i="3"/>
  <c r="E10" i="3"/>
  <c r="E20" i="3"/>
  <c r="E18" i="3"/>
  <c r="E22" i="3"/>
  <c r="E34" i="3"/>
  <c r="E17" i="3"/>
  <c r="E25" i="3"/>
  <c r="E21" i="3"/>
  <c r="E75" i="3"/>
  <c r="E33" i="3"/>
  <c r="E9" i="3"/>
  <c r="E6" i="3"/>
  <c r="E24" i="3"/>
  <c r="E35" i="3"/>
  <c r="E30" i="3"/>
  <c r="E7" i="3"/>
  <c r="E12" i="3"/>
  <c r="E73" i="3"/>
  <c r="E52" i="3"/>
  <c r="E78" i="3"/>
  <c r="E43" i="3"/>
  <c r="E47" i="3"/>
  <c r="E46" i="3"/>
  <c r="E40" i="3"/>
  <c r="E31" i="3"/>
  <c r="E76" i="3"/>
  <c r="E54" i="3"/>
  <c r="E42" i="3"/>
  <c r="E8" i="3"/>
  <c r="E89" i="3"/>
  <c r="E68" i="3"/>
  <c r="E67" i="3"/>
  <c r="E72" i="3"/>
  <c r="E60" i="3"/>
  <c r="E63" i="3"/>
  <c r="E61" i="3"/>
  <c r="E44" i="3"/>
  <c r="E48" i="3"/>
  <c r="E86" i="3"/>
  <c r="E66" i="3"/>
  <c r="E71" i="3"/>
  <c r="E28" i="3"/>
  <c r="E97" i="3"/>
  <c r="E23" i="3"/>
  <c r="E94" i="3"/>
  <c r="E19" i="3"/>
  <c r="E81" i="3"/>
  <c r="E95" i="3"/>
  <c r="E84" i="3"/>
  <c r="E58" i="3"/>
  <c r="E39" i="3"/>
  <c r="E57" i="3"/>
  <c r="E88" i="3"/>
  <c r="E80" i="3"/>
  <c r="E45" i="3"/>
  <c r="E74" i="3"/>
  <c r="E55" i="3"/>
  <c r="E93" i="3"/>
  <c r="E70" i="3"/>
  <c r="E82" i="3"/>
  <c r="E59" i="3"/>
  <c r="E85" i="3"/>
  <c r="E62" i="3"/>
  <c r="E91" i="3"/>
  <c r="E79" i="3"/>
  <c r="E99" i="3"/>
  <c r="E83" i="3"/>
  <c r="H101" i="3" l="1"/>
  <c r="H92" i="3"/>
  <c r="H64" i="3"/>
  <c r="H13" i="3"/>
  <c r="H4" i="3"/>
  <c r="H26" i="3"/>
  <c r="H32" i="3"/>
  <c r="H56" i="3"/>
  <c r="H29" i="3"/>
  <c r="H53" i="3"/>
  <c r="H16" i="3"/>
  <c r="H2" i="3"/>
  <c r="H11" i="3"/>
  <c r="H41" i="3"/>
  <c r="H50" i="3"/>
  <c r="H102" i="3"/>
  <c r="H104" i="3"/>
  <c r="H105" i="3"/>
  <c r="H103" i="3"/>
  <c r="H98" i="3"/>
  <c r="H79" i="3"/>
  <c r="H59" i="3"/>
  <c r="H91" i="3"/>
  <c r="H14" i="3"/>
  <c r="H83" i="3"/>
  <c r="H70" i="3"/>
  <c r="H39" i="3"/>
  <c r="H99" i="3"/>
  <c r="H85" i="3"/>
  <c r="H93" i="3"/>
  <c r="H80" i="3"/>
  <c r="H58" i="3"/>
  <c r="H81" i="3"/>
  <c r="H97" i="3"/>
  <c r="H66" i="3"/>
  <c r="H61" i="3"/>
  <c r="H67" i="3"/>
  <c r="H40" i="3"/>
  <c r="H12" i="3"/>
  <c r="H75" i="3"/>
  <c r="H34" i="3"/>
  <c r="H77" i="3"/>
  <c r="H36" i="3"/>
  <c r="H87" i="3"/>
  <c r="H90" i="3"/>
  <c r="H55" i="3"/>
  <c r="H88" i="3"/>
  <c r="H84" i="3"/>
  <c r="H86" i="3"/>
  <c r="H63" i="3"/>
  <c r="H68" i="3"/>
  <c r="H46" i="3"/>
  <c r="H78" i="3"/>
  <c r="H7" i="3"/>
  <c r="H6" i="3"/>
  <c r="H51" i="3"/>
  <c r="H38" i="3"/>
  <c r="H69" i="3"/>
  <c r="H82" i="3"/>
  <c r="H74" i="3"/>
  <c r="H57" i="3"/>
  <c r="H94" i="3"/>
  <c r="H28" i="3"/>
  <c r="H48" i="3"/>
  <c r="H60" i="3"/>
  <c r="H89" i="3"/>
  <c r="H76" i="3"/>
  <c r="H47" i="3"/>
  <c r="H52" i="3"/>
  <c r="H9" i="3"/>
  <c r="H10" i="3"/>
  <c r="H21" i="3"/>
  <c r="H20" i="3"/>
  <c r="H8" i="3"/>
  <c r="H42" i="3"/>
  <c r="H25" i="3"/>
  <c r="H24" i="3"/>
  <c r="H5" i="3"/>
  <c r="H19" i="3"/>
  <c r="H30" i="3"/>
  <c r="H18" i="3"/>
  <c r="H54" i="3"/>
  <c r="H17" i="3"/>
  <c r="H22" i="3"/>
  <c r="H33" i="3"/>
  <c r="H15" i="3"/>
  <c r="H96" i="3"/>
  <c r="H100" i="3"/>
  <c r="H62" i="3"/>
  <c r="H45" i="3"/>
  <c r="H95" i="3"/>
  <c r="H23" i="3"/>
  <c r="H71" i="3"/>
  <c r="H44" i="3"/>
  <c r="H72" i="3"/>
  <c r="H31" i="3"/>
  <c r="H43" i="3"/>
  <c r="H73" i="3"/>
  <c r="H35" i="3"/>
  <c r="H3" i="3"/>
  <c r="H65" i="3"/>
  <c r="H27" i="3"/>
  <c r="H49" i="3"/>
  <c r="H37" i="3"/>
  <c r="H106" i="3"/>
  <c r="J79" i="3"/>
  <c r="J62" i="3"/>
  <c r="J59" i="3"/>
  <c r="J70" i="3"/>
  <c r="J55" i="3"/>
  <c r="J45" i="3"/>
  <c r="J88" i="3"/>
  <c r="J57" i="3"/>
  <c r="J58" i="3"/>
  <c r="J19" i="3"/>
  <c r="J23" i="3"/>
  <c r="J71" i="3"/>
  <c r="J86" i="3"/>
  <c r="J44" i="3"/>
  <c r="J63" i="3"/>
  <c r="J72" i="3"/>
  <c r="J68" i="3"/>
  <c r="J8" i="3"/>
  <c r="J76" i="3"/>
  <c r="J31" i="3"/>
  <c r="J46" i="3"/>
  <c r="J43" i="3"/>
  <c r="J78" i="3"/>
  <c r="J52" i="3"/>
  <c r="J12" i="3"/>
  <c r="J24" i="3"/>
  <c r="J9" i="3"/>
  <c r="J83" i="3"/>
  <c r="J99" i="3"/>
  <c r="J91" i="3"/>
  <c r="J85" i="3"/>
  <c r="J82" i="3"/>
  <c r="J93" i="3"/>
  <c r="J74" i="3"/>
  <c r="J80" i="3"/>
  <c r="J39" i="3"/>
  <c r="J84" i="3"/>
  <c r="J95" i="3"/>
  <c r="J81" i="3"/>
  <c r="J94" i="3"/>
  <c r="J97" i="3"/>
  <c r="J28" i="3"/>
  <c r="J66" i="3"/>
  <c r="J48" i="3"/>
  <c r="J61" i="3"/>
  <c r="J60" i="3"/>
  <c r="J67" i="3"/>
  <c r="J89" i="3"/>
  <c r="J42" i="3"/>
  <c r="J54" i="3"/>
  <c r="J40" i="3"/>
  <c r="J47" i="3"/>
  <c r="J73" i="3"/>
  <c r="J7" i="3"/>
  <c r="J30" i="3"/>
  <c r="J35" i="3"/>
  <c r="J75" i="3"/>
  <c r="J21" i="3"/>
  <c r="J22" i="3"/>
  <c r="J5" i="3"/>
  <c r="J6" i="3"/>
  <c r="J33" i="3"/>
  <c r="J25" i="3"/>
  <c r="J17" i="3"/>
  <c r="J34" i="3"/>
  <c r="J18" i="3"/>
  <c r="J20" i="3"/>
  <c r="J10" i="3"/>
  <c r="J3" i="3"/>
  <c r="I101" i="3" l="1"/>
  <c r="I92" i="3"/>
  <c r="I64" i="3"/>
  <c r="I13" i="3"/>
  <c r="I4" i="3"/>
  <c r="I26" i="3"/>
  <c r="I32" i="3"/>
  <c r="I56" i="3"/>
  <c r="I29" i="3"/>
  <c r="I53" i="3"/>
  <c r="I16" i="3"/>
  <c r="I2" i="3"/>
  <c r="I11" i="3"/>
  <c r="I41" i="3"/>
  <c r="I50" i="3"/>
  <c r="I102" i="3"/>
  <c r="I104" i="3"/>
  <c r="I105" i="3"/>
  <c r="I103" i="3"/>
  <c r="I98" i="3"/>
  <c r="I65" i="3"/>
  <c r="I87" i="3"/>
  <c r="I36" i="3"/>
  <c r="I90" i="3"/>
  <c r="I77" i="3"/>
  <c r="I38" i="3"/>
  <c r="I69" i="3"/>
  <c r="I51" i="3"/>
  <c r="I14" i="3"/>
  <c r="I15" i="3"/>
  <c r="I96" i="3"/>
  <c r="I49" i="3"/>
  <c r="I37" i="3"/>
  <c r="I100" i="3"/>
  <c r="I106" i="3"/>
  <c r="I27" i="3"/>
  <c r="I28" i="3"/>
  <c r="I31" i="3"/>
  <c r="I59" i="3"/>
  <c r="I62" i="3"/>
  <c r="I66" i="3"/>
  <c r="I79" i="3"/>
  <c r="I83" i="3"/>
  <c r="I48" i="3"/>
  <c r="I60" i="3"/>
  <c r="I81" i="3"/>
  <c r="I19" i="3"/>
  <c r="I23" i="3"/>
  <c r="I68" i="3"/>
  <c r="I93" i="3"/>
  <c r="I85" i="3"/>
  <c r="I88" i="3"/>
  <c r="I95" i="3"/>
  <c r="I44" i="3"/>
  <c r="I84" i="3"/>
  <c r="I8" i="3"/>
  <c r="I46" i="3"/>
  <c r="I73" i="3"/>
  <c r="I3" i="3"/>
  <c r="I67" i="3"/>
  <c r="I52" i="3"/>
  <c r="I12" i="3"/>
  <c r="I24" i="3"/>
  <c r="I9" i="3"/>
  <c r="I43" i="3"/>
  <c r="I21" i="3"/>
  <c r="I22" i="3"/>
  <c r="I5" i="3"/>
  <c r="I55" i="3"/>
  <c r="I58" i="3"/>
  <c r="I39" i="3"/>
  <c r="I57" i="3"/>
  <c r="I70" i="3"/>
  <c r="I63" i="3"/>
  <c r="I71" i="3"/>
  <c r="I61" i="3"/>
  <c r="I80" i="3"/>
  <c r="I82" i="3"/>
  <c r="I72" i="3"/>
  <c r="I74" i="3"/>
  <c r="I91" i="3"/>
  <c r="I35" i="3"/>
  <c r="I99" i="3"/>
  <c r="I75" i="3"/>
  <c r="I94" i="3"/>
  <c r="I78" i="3"/>
  <c r="I97" i="3"/>
  <c r="I45" i="3"/>
  <c r="I42" i="3"/>
  <c r="I54" i="3"/>
  <c r="I40" i="3"/>
  <c r="I76" i="3"/>
  <c r="I34" i="3"/>
  <c r="I7" i="3"/>
  <c r="I30" i="3"/>
  <c r="I89" i="3"/>
  <c r="I6" i="3"/>
  <c r="I33" i="3"/>
  <c r="I25" i="3"/>
  <c r="I17" i="3"/>
  <c r="I47" i="3"/>
  <c r="I18" i="3"/>
  <c r="I20" i="3"/>
  <c r="I10" i="3"/>
  <c r="I86" i="3"/>
  <c r="U75" i="3"/>
  <c r="W75" i="3" s="1"/>
  <c r="U5" i="3"/>
  <c r="W5" i="3" s="1"/>
  <c r="U10" i="3"/>
  <c r="W10" i="3" s="1"/>
  <c r="U20" i="3"/>
  <c r="W20" i="3" s="1"/>
  <c r="U18" i="3"/>
  <c r="W18" i="3" s="1"/>
  <c r="U22" i="3"/>
  <c r="W22" i="3" s="1"/>
  <c r="U78" i="3"/>
  <c r="W78" i="3" s="1"/>
  <c r="U17" i="3"/>
  <c r="W17" i="3" s="1"/>
  <c r="U25" i="3"/>
  <c r="W25" i="3" s="1"/>
  <c r="U21" i="3"/>
  <c r="W21" i="3" s="1"/>
  <c r="U3" i="3"/>
  <c r="W3" i="3" s="1"/>
  <c r="U33" i="3"/>
  <c r="W33" i="3" s="1"/>
  <c r="U9" i="3"/>
  <c r="W9" i="3" s="1"/>
  <c r="U6" i="3"/>
  <c r="W6" i="3" s="1"/>
  <c r="U24" i="3"/>
  <c r="W24" i="3" s="1"/>
  <c r="U34" i="3"/>
  <c r="W34" i="3" s="1"/>
  <c r="U30" i="3"/>
  <c r="W30" i="3" s="1"/>
  <c r="U7" i="3"/>
  <c r="W7" i="3" s="1"/>
  <c r="U12" i="3"/>
  <c r="W12" i="3" s="1"/>
  <c r="U73" i="3"/>
  <c r="W73" i="3" s="1"/>
  <c r="U52" i="3"/>
  <c r="W52" i="3" s="1"/>
  <c r="U72" i="3"/>
  <c r="W72" i="3" s="1"/>
  <c r="U68" i="3"/>
  <c r="W68" i="3" s="1"/>
  <c r="U31" i="3"/>
  <c r="W31" i="3" s="1"/>
  <c r="U63" i="3"/>
  <c r="W63" i="3" s="1"/>
  <c r="U40" i="3"/>
  <c r="W40" i="3" s="1"/>
  <c r="U43" i="3"/>
  <c r="W43" i="3" s="1"/>
  <c r="U60" i="3"/>
  <c r="W60" i="3" s="1"/>
  <c r="U54" i="3"/>
  <c r="W54" i="3" s="1"/>
  <c r="U42" i="3"/>
  <c r="W42" i="3" s="1"/>
  <c r="U8" i="3"/>
  <c r="W8" i="3" s="1"/>
  <c r="U97" i="3"/>
  <c r="W97" i="3" s="1"/>
  <c r="U48" i="3"/>
  <c r="W48" i="3" s="1"/>
  <c r="U61" i="3"/>
  <c r="W61" i="3" s="1"/>
  <c r="U76" i="3"/>
  <c r="W76" i="3" s="1"/>
  <c r="U47" i="3"/>
  <c r="W47" i="3" s="1"/>
  <c r="U71" i="3"/>
  <c r="W71" i="3" s="1"/>
  <c r="U94" i="3"/>
  <c r="W94" i="3" s="1"/>
  <c r="U35" i="3"/>
  <c r="W35" i="3" s="1"/>
  <c r="U89" i="3"/>
  <c r="W89" i="3" s="1"/>
  <c r="U95" i="3"/>
  <c r="W95" i="3" s="1"/>
  <c r="U46" i="3"/>
  <c r="W46" i="3" s="1"/>
  <c r="U86" i="3"/>
  <c r="W86" i="3" s="1"/>
  <c r="U67" i="3"/>
  <c r="W67" i="3" s="1"/>
  <c r="U93" i="3"/>
  <c r="W93" i="3" s="1"/>
  <c r="U81" i="3"/>
  <c r="W81" i="3" s="1"/>
  <c r="U23" i="3"/>
  <c r="W23" i="3" s="1"/>
  <c r="U88" i="3"/>
  <c r="W88" i="3" s="1"/>
  <c r="U19" i="3"/>
  <c r="W19" i="3" s="1"/>
  <c r="U74" i="3"/>
  <c r="W74" i="3" s="1"/>
  <c r="U85" i="3"/>
  <c r="W85" i="3" s="1"/>
  <c r="U80" i="3"/>
  <c r="W80" i="3" s="1"/>
  <c r="U91" i="3"/>
  <c r="W91" i="3" s="1"/>
  <c r="U99" i="3"/>
  <c r="W99" i="3" s="1"/>
  <c r="U44" i="3"/>
  <c r="W44" i="3" s="1"/>
  <c r="U82" i="3"/>
  <c r="W82" i="3" s="1"/>
  <c r="U66" i="3"/>
  <c r="W66" i="3" s="1"/>
  <c r="U70" i="3"/>
  <c r="W70" i="3" s="1"/>
  <c r="U57" i="3"/>
  <c r="W57" i="3" s="1"/>
  <c r="U39" i="3"/>
  <c r="W39" i="3" s="1"/>
  <c r="U28" i="3"/>
  <c r="W28" i="3" s="1"/>
  <c r="U58" i="3"/>
  <c r="W58" i="3" s="1"/>
  <c r="U79" i="3"/>
  <c r="W79" i="3" s="1"/>
  <c r="U55" i="3"/>
  <c r="W55" i="3" s="1"/>
  <c r="U83" i="3"/>
  <c r="W83" i="3" s="1"/>
  <c r="U84" i="3"/>
  <c r="W84" i="3" s="1"/>
  <c r="U59" i="3"/>
  <c r="W59" i="3" s="1"/>
  <c r="U62" i="3"/>
  <c r="W62" i="3" s="1"/>
  <c r="U45" i="3"/>
  <c r="W45" i="3" s="1"/>
  <c r="Y75" i="3"/>
  <c r="Y5" i="3"/>
  <c r="Y10" i="3"/>
  <c r="Y20" i="3"/>
  <c r="Y18" i="3"/>
  <c r="Y22" i="3"/>
  <c r="Y78" i="3"/>
  <c r="Y17" i="3"/>
  <c r="Y25" i="3"/>
  <c r="Y21" i="3"/>
  <c r="Y3" i="3"/>
  <c r="Y33" i="3"/>
  <c r="Y9" i="3"/>
  <c r="Y6" i="3"/>
  <c r="Y24" i="3"/>
  <c r="Y34" i="3"/>
  <c r="Y30" i="3"/>
  <c r="Y7" i="3"/>
  <c r="Y12" i="3"/>
  <c r="Y73" i="3"/>
  <c r="Y52" i="3"/>
  <c r="Y72" i="3"/>
  <c r="Y68" i="3"/>
  <c r="Y31" i="3"/>
  <c r="Y63" i="3"/>
  <c r="Y40" i="3"/>
  <c r="Y43" i="3"/>
  <c r="Y60" i="3"/>
  <c r="Y54" i="3"/>
  <c r="Y42" i="3"/>
  <c r="Y8" i="3"/>
  <c r="Y97" i="3"/>
  <c r="Y48" i="3"/>
  <c r="Y61" i="3"/>
  <c r="Y76" i="3"/>
  <c r="Y47" i="3"/>
  <c r="Y71" i="3"/>
  <c r="Y94" i="3"/>
  <c r="Y35" i="3"/>
  <c r="Y89" i="3"/>
  <c r="Y95" i="3"/>
  <c r="Y46" i="3"/>
  <c r="Y86" i="3"/>
  <c r="Y67" i="3"/>
  <c r="Y93" i="3"/>
  <c r="Y81" i="3"/>
  <c r="Y23" i="3"/>
  <c r="Y88" i="3"/>
  <c r="Y19" i="3"/>
  <c r="Y74" i="3"/>
  <c r="Y85" i="3"/>
  <c r="Y80" i="3"/>
  <c r="Y91" i="3"/>
  <c r="Y99" i="3"/>
  <c r="Y44" i="3"/>
  <c r="Y82" i="3"/>
  <c r="Y66" i="3"/>
  <c r="Y70" i="3"/>
  <c r="Y57" i="3"/>
  <c r="Y39" i="3"/>
  <c r="Y28" i="3"/>
  <c r="Y58" i="3"/>
  <c r="Y79" i="3"/>
  <c r="Y55" i="3"/>
  <c r="Y83" i="3"/>
  <c r="Y84" i="3"/>
  <c r="Y59" i="3"/>
  <c r="Y62" i="3"/>
  <c r="Y45" i="3"/>
  <c r="L84" i="3" l="1"/>
  <c r="X84" i="3"/>
  <c r="L58" i="3"/>
  <c r="X58" i="3"/>
  <c r="L70" i="3"/>
  <c r="X70" i="3"/>
  <c r="L82" i="3"/>
  <c r="X82" i="3"/>
  <c r="L99" i="3"/>
  <c r="X99" i="3"/>
  <c r="L80" i="3"/>
  <c r="X80" i="3"/>
  <c r="L85" i="3"/>
  <c r="X85" i="3"/>
  <c r="L23" i="3"/>
  <c r="X23" i="3"/>
  <c r="L93" i="3"/>
  <c r="X93" i="3"/>
  <c r="L86" i="3"/>
  <c r="X86" i="3"/>
  <c r="L95" i="3"/>
  <c r="X95" i="3"/>
  <c r="L71" i="3"/>
  <c r="X71" i="3"/>
  <c r="L76" i="3"/>
  <c r="X76" i="3"/>
  <c r="L48" i="3"/>
  <c r="X48" i="3"/>
  <c r="L54" i="3"/>
  <c r="X54" i="3"/>
  <c r="L43" i="3"/>
  <c r="X43" i="3"/>
  <c r="L63" i="3"/>
  <c r="X63" i="3"/>
  <c r="L68" i="3"/>
  <c r="X68" i="3"/>
  <c r="L72" i="3"/>
  <c r="X72" i="3"/>
  <c r="L73" i="3"/>
  <c r="X73" i="3"/>
  <c r="L7" i="3"/>
  <c r="X7" i="3"/>
  <c r="L34" i="3"/>
  <c r="X34" i="3"/>
  <c r="L6" i="3"/>
  <c r="X6" i="3"/>
  <c r="L33" i="3"/>
  <c r="X33" i="3"/>
  <c r="L21" i="3"/>
  <c r="X21" i="3"/>
  <c r="L17" i="3"/>
  <c r="X17" i="3"/>
  <c r="L22" i="3"/>
  <c r="X22" i="3"/>
  <c r="L20" i="3"/>
  <c r="X20" i="3"/>
  <c r="L5" i="3"/>
  <c r="X5" i="3"/>
  <c r="L45" i="3"/>
  <c r="X45" i="3"/>
  <c r="L83" i="3"/>
  <c r="X83" i="3"/>
  <c r="L79" i="3"/>
  <c r="X79" i="3"/>
  <c r="L57" i="3"/>
  <c r="X57" i="3"/>
  <c r="L66" i="3"/>
  <c r="X66" i="3"/>
  <c r="L91" i="3"/>
  <c r="X91" i="3"/>
  <c r="L74" i="3"/>
  <c r="X74" i="3"/>
  <c r="L88" i="3"/>
  <c r="X88" i="3"/>
  <c r="L81" i="3"/>
  <c r="X81" i="3"/>
  <c r="L67" i="3"/>
  <c r="X67" i="3"/>
  <c r="L46" i="3"/>
  <c r="X46" i="3"/>
  <c r="L89" i="3"/>
  <c r="X89" i="3"/>
  <c r="L94" i="3"/>
  <c r="X94" i="3"/>
  <c r="L47" i="3"/>
  <c r="X47" i="3"/>
  <c r="L61" i="3"/>
  <c r="X61" i="3"/>
  <c r="L97" i="3"/>
  <c r="X97" i="3"/>
  <c r="L42" i="3"/>
  <c r="X42" i="3"/>
  <c r="L60" i="3"/>
  <c r="X60" i="3"/>
  <c r="L40" i="3"/>
  <c r="X40" i="3"/>
  <c r="L52" i="3"/>
  <c r="X52" i="3"/>
  <c r="L12" i="3"/>
  <c r="X12" i="3"/>
  <c r="L30" i="3"/>
  <c r="X30" i="3"/>
  <c r="L24" i="3"/>
  <c r="X24" i="3"/>
  <c r="L9" i="3"/>
  <c r="X9" i="3"/>
  <c r="L3" i="3"/>
  <c r="X3" i="3"/>
  <c r="L25" i="3"/>
  <c r="X25" i="3"/>
  <c r="L78" i="3"/>
  <c r="X78" i="3"/>
  <c r="L18" i="3"/>
  <c r="X18" i="3"/>
  <c r="L75" i="3"/>
  <c r="X75" i="3"/>
  <c r="L62" i="3"/>
  <c r="X62" i="3"/>
  <c r="L55" i="3"/>
  <c r="X55" i="3"/>
  <c r="L39" i="3"/>
  <c r="X39" i="3"/>
  <c r="L19" i="3"/>
  <c r="X19" i="3"/>
  <c r="L35" i="3"/>
  <c r="X35" i="3"/>
  <c r="L8" i="3"/>
  <c r="X8" i="3"/>
  <c r="L59" i="3"/>
  <c r="X59" i="3"/>
  <c r="L28" i="3"/>
  <c r="X28" i="3"/>
  <c r="L44" i="3"/>
  <c r="X44" i="3"/>
  <c r="L31" i="3"/>
  <c r="X31" i="3"/>
  <c r="L10" i="3"/>
  <c r="X10" i="3"/>
  <c r="R82" i="3"/>
  <c r="N82" i="3" s="1"/>
  <c r="R62" i="3"/>
  <c r="N62" i="3" s="1"/>
  <c r="R83" i="3"/>
  <c r="N83" i="3" s="1"/>
  <c r="R80" i="3"/>
  <c r="N80" i="3" s="1"/>
  <c r="R57" i="3"/>
  <c r="N57" i="3" s="1"/>
  <c r="R55" i="3"/>
  <c r="N55" i="3" s="1"/>
  <c r="R88" i="3"/>
  <c r="N88" i="3" s="1"/>
  <c r="R85" i="3"/>
  <c r="N85" i="3" s="1"/>
  <c r="R58" i="3"/>
  <c r="N58" i="3" s="1"/>
  <c r="R39" i="3"/>
  <c r="N39" i="3" s="1"/>
  <c r="R74" i="3"/>
  <c r="N74" i="3" s="1"/>
  <c r="R28" i="3"/>
  <c r="N28" i="3" s="1"/>
  <c r="R93" i="3"/>
  <c r="N93" i="3" s="1"/>
  <c r="R99" i="3"/>
  <c r="N99" i="3" s="1"/>
  <c r="R84" i="3"/>
  <c r="R59" i="3"/>
  <c r="N59" i="3" s="1"/>
  <c r="R70" i="3"/>
  <c r="N70" i="3" s="1"/>
  <c r="R79" i="3"/>
  <c r="N79" i="3" s="1"/>
  <c r="R91" i="3"/>
  <c r="N91" i="3" s="1"/>
  <c r="R66" i="3"/>
  <c r="R81" i="3"/>
  <c r="N81" i="3" s="1"/>
  <c r="K101" i="3" l="1"/>
  <c r="K75" i="3"/>
  <c r="K78" i="3"/>
  <c r="K6" i="3"/>
  <c r="K73" i="3"/>
  <c r="K54" i="3"/>
  <c r="K47" i="3"/>
  <c r="K67" i="3"/>
  <c r="K85" i="3"/>
  <c r="K57" i="3"/>
  <c r="K45" i="3"/>
  <c r="K3" i="3"/>
  <c r="K52" i="3"/>
  <c r="K43" i="3"/>
  <c r="K76" i="3"/>
  <c r="K86" i="3"/>
  <c r="K55" i="3"/>
  <c r="K28" i="3"/>
  <c r="K77" i="3"/>
  <c r="K104" i="3"/>
  <c r="K29" i="3"/>
  <c r="K36" i="3"/>
  <c r="K20" i="3"/>
  <c r="K25" i="3"/>
  <c r="K30" i="3"/>
  <c r="K31" i="3"/>
  <c r="K97" i="3"/>
  <c r="K89" i="3"/>
  <c r="K88" i="3"/>
  <c r="K44" i="3"/>
  <c r="K83" i="3"/>
  <c r="K22" i="3"/>
  <c r="K24" i="3"/>
  <c r="K68" i="3"/>
  <c r="K8" i="3"/>
  <c r="K35" i="3"/>
  <c r="K23" i="3"/>
  <c r="K82" i="3"/>
  <c r="K106" i="3"/>
  <c r="K38" i="3"/>
  <c r="K65" i="3"/>
  <c r="K11" i="3"/>
  <c r="K4" i="3"/>
  <c r="K59" i="3"/>
  <c r="K64" i="3"/>
  <c r="K19" i="3"/>
  <c r="K39" i="3"/>
  <c r="K62" i="3"/>
  <c r="K18" i="3"/>
  <c r="K9" i="3"/>
  <c r="K12" i="3"/>
  <c r="K60" i="3"/>
  <c r="K10" i="3"/>
  <c r="K17" i="3"/>
  <c r="K33" i="3"/>
  <c r="K34" i="3"/>
  <c r="K7" i="3"/>
  <c r="K40" i="3"/>
  <c r="K42" i="3"/>
  <c r="K61" i="3"/>
  <c r="K94" i="3"/>
  <c r="K46" i="3"/>
  <c r="K81" i="3"/>
  <c r="K74" i="3"/>
  <c r="K91" i="3"/>
  <c r="K66" i="3"/>
  <c r="K79" i="3"/>
  <c r="K5" i="3"/>
  <c r="K21" i="3"/>
  <c r="K72" i="3"/>
  <c r="K63" i="3"/>
  <c r="K48" i="3"/>
  <c r="K71" i="3"/>
  <c r="K95" i="3"/>
  <c r="K93" i="3"/>
  <c r="K80" i="3"/>
  <c r="K49" i="3"/>
  <c r="K96" i="3"/>
  <c r="K14" i="3"/>
  <c r="K87" i="3"/>
  <c r="K103" i="3"/>
  <c r="K50" i="3"/>
  <c r="K16" i="3"/>
  <c r="K32" i="3"/>
  <c r="K92" i="3"/>
  <c r="K99" i="3"/>
  <c r="K70" i="3"/>
  <c r="K58" i="3"/>
  <c r="K84" i="3"/>
  <c r="K27" i="3"/>
  <c r="K100" i="3"/>
  <c r="K37" i="3"/>
  <c r="K15" i="3"/>
  <c r="K51" i="3"/>
  <c r="K69" i="3"/>
  <c r="K90" i="3"/>
  <c r="K98" i="3"/>
  <c r="K105" i="3"/>
  <c r="K102" i="3"/>
  <c r="K41" i="3"/>
  <c r="K2" i="3"/>
  <c r="K53" i="3"/>
  <c r="K56" i="3"/>
  <c r="K26" i="3"/>
  <c r="K13" i="3"/>
  <c r="N84" i="3"/>
  <c r="N66" i="3"/>
  <c r="R86" i="3" l="1"/>
  <c r="N86" i="3" s="1"/>
  <c r="R89" i="3"/>
  <c r="N89" i="3" s="1"/>
  <c r="R46" i="3"/>
  <c r="N46" i="3" s="1"/>
  <c r="R43" i="3"/>
  <c r="N43" i="3" s="1"/>
  <c r="R54" i="3" l="1"/>
  <c r="N54" i="3" s="1"/>
  <c r="R40" i="3"/>
  <c r="N40" i="3" s="1"/>
  <c r="R12" i="3"/>
  <c r="N12" i="3" s="1"/>
  <c r="R8" i="3"/>
  <c r="N8" i="3" s="1"/>
  <c r="R30" i="3"/>
  <c r="N30" i="3" s="1"/>
  <c r="R7" i="3"/>
  <c r="N7" i="3" s="1"/>
  <c r="R24" i="3"/>
  <c r="N24" i="3" s="1"/>
  <c r="R9" i="3"/>
  <c r="N9" i="3" s="1"/>
  <c r="R21" i="3"/>
  <c r="N21" i="3" s="1"/>
  <c r="R17" i="3"/>
  <c r="N17" i="3" s="1"/>
  <c r="R22" i="3"/>
  <c r="N22" i="3" s="1"/>
  <c r="R18" i="3"/>
  <c r="N18" i="3" s="1"/>
  <c r="R10" i="3"/>
  <c r="N10" i="3" s="1"/>
  <c r="R20" i="3"/>
  <c r="N20" i="3" s="1"/>
  <c r="R23" i="3"/>
  <c r="N23" i="3" s="1"/>
  <c r="R6" i="3"/>
  <c r="N6" i="3" s="1"/>
  <c r="R33" i="3"/>
  <c r="N33" i="3" s="1"/>
  <c r="R25" i="3"/>
  <c r="N25" i="3" s="1"/>
  <c r="R5" i="3"/>
  <c r="N5" i="3" s="1"/>
  <c r="R42" i="3"/>
  <c r="N42" i="3" s="1"/>
  <c r="R35" i="3"/>
  <c r="N35" i="3" s="1"/>
  <c r="R31" i="3"/>
  <c r="N31" i="3" s="1"/>
  <c r="R19" i="3"/>
  <c r="N19" i="3" s="1"/>
  <c r="R71" i="3"/>
  <c r="N71" i="3" s="1"/>
  <c r="R45" i="3"/>
  <c r="N45" i="3" s="1"/>
  <c r="R63" i="3"/>
  <c r="N63" i="3" s="1"/>
  <c r="R44" i="3"/>
  <c r="N44" i="3" s="1"/>
  <c r="R60" i="3"/>
  <c r="N60" i="3" s="1"/>
  <c r="R61" i="3"/>
  <c r="N61" i="3" s="1"/>
  <c r="R73" i="3"/>
  <c r="N73" i="3" s="1"/>
  <c r="R48" i="3"/>
  <c r="N48" i="3" s="1"/>
  <c r="R68" i="3"/>
  <c r="N68" i="3" s="1"/>
  <c r="R72" i="3"/>
  <c r="N72" i="3" s="1"/>
  <c r="R75" i="3"/>
  <c r="N75" i="3" s="1"/>
  <c r="R76" i="3"/>
  <c r="N76" i="3" s="1"/>
  <c r="R52" i="3"/>
  <c r="N52" i="3" s="1"/>
  <c r="R67" i="3"/>
  <c r="N67" i="3" s="1"/>
  <c r="R47" i="3"/>
  <c r="N47" i="3" s="1"/>
  <c r="R78" i="3"/>
  <c r="N78" i="3" s="1"/>
  <c r="R3" i="3"/>
  <c r="N3" i="3" s="1"/>
  <c r="R34" i="3"/>
  <c r="N34" i="3" s="1"/>
  <c r="R97" i="3"/>
  <c r="N97" i="3" s="1"/>
  <c r="R94" i="3"/>
  <c r="N94" i="3" s="1"/>
  <c r="R95" i="3"/>
  <c r="N95" i="3" s="1"/>
  <c r="M101" i="3" l="1"/>
  <c r="O101" i="3" s="1"/>
  <c r="M92" i="3"/>
  <c r="O92" i="3" s="1"/>
  <c r="M64" i="3"/>
  <c r="O64" i="3" s="1"/>
  <c r="M13" i="3"/>
  <c r="O13" i="3" s="1"/>
  <c r="M4" i="3"/>
  <c r="O4" i="3" s="1"/>
  <c r="M26" i="3"/>
  <c r="O26" i="3" s="1"/>
  <c r="M32" i="3"/>
  <c r="O32" i="3" s="1"/>
  <c r="M56" i="3"/>
  <c r="O56" i="3" s="1"/>
  <c r="M29" i="3"/>
  <c r="O29" i="3" s="1"/>
  <c r="M53" i="3"/>
  <c r="O53" i="3" s="1"/>
  <c r="M16" i="3"/>
  <c r="O16" i="3" s="1"/>
  <c r="M2" i="3"/>
  <c r="O2" i="3" s="1"/>
  <c r="M11" i="3"/>
  <c r="O11" i="3" s="1"/>
  <c r="M41" i="3"/>
  <c r="O41" i="3" s="1"/>
  <c r="M50" i="3"/>
  <c r="O50" i="3" s="1"/>
  <c r="M102" i="3"/>
  <c r="O102" i="3" s="1"/>
  <c r="M104" i="3"/>
  <c r="O104" i="3" s="1"/>
  <c r="M105" i="3"/>
  <c r="O105" i="3" s="1"/>
  <c r="M103" i="3"/>
  <c r="O103" i="3" s="1"/>
  <c r="M98" i="3"/>
  <c r="O98" i="3" s="1"/>
  <c r="M65" i="3"/>
  <c r="O65" i="3" s="1"/>
  <c r="M36" i="3"/>
  <c r="O36" i="3" s="1"/>
  <c r="M87" i="3"/>
  <c r="O87" i="3" s="1"/>
  <c r="M90" i="3"/>
  <c r="O90" i="3" s="1"/>
  <c r="M77" i="3"/>
  <c r="O77" i="3" s="1"/>
  <c r="M69" i="3"/>
  <c r="O69" i="3" s="1"/>
  <c r="M51" i="3"/>
  <c r="O51" i="3" s="1"/>
  <c r="M14" i="3"/>
  <c r="O14" i="3" s="1"/>
  <c r="M38" i="3"/>
  <c r="O38" i="3" s="1"/>
  <c r="M96" i="3"/>
  <c r="O96" i="3" s="1"/>
  <c r="M15" i="3"/>
  <c r="O15" i="3" s="1"/>
  <c r="M37" i="3"/>
  <c r="O37" i="3" s="1"/>
  <c r="M49" i="3"/>
  <c r="O49" i="3" s="1"/>
  <c r="M100" i="3"/>
  <c r="O100" i="3" s="1"/>
  <c r="M106" i="3"/>
  <c r="O106" i="3" s="1"/>
  <c r="M27" i="3"/>
  <c r="O27" i="3" s="1"/>
  <c r="M34" i="3"/>
  <c r="O34" i="3" s="1"/>
  <c r="M67" i="3"/>
  <c r="O67" i="3" s="1"/>
  <c r="M73" i="3"/>
  <c r="O73" i="3" s="1"/>
  <c r="M5" i="3"/>
  <c r="O5" i="3" s="1"/>
  <c r="M23" i="3"/>
  <c r="O23" i="3" s="1"/>
  <c r="M3" i="3"/>
  <c r="O3" i="3" s="1"/>
  <c r="M47" i="3"/>
  <c r="O47" i="3" s="1"/>
  <c r="M52" i="3"/>
  <c r="O52" i="3" s="1"/>
  <c r="M44" i="3"/>
  <c r="O44" i="3" s="1"/>
  <c r="M45" i="3"/>
  <c r="O45" i="3" s="1"/>
  <c r="M10" i="3"/>
  <c r="O10" i="3" s="1"/>
  <c r="M20" i="3"/>
  <c r="O20" i="3" s="1"/>
  <c r="M18" i="3"/>
  <c r="O18" i="3" s="1"/>
  <c r="M17" i="3"/>
  <c r="O17" i="3" s="1"/>
  <c r="M25" i="3"/>
  <c r="O25" i="3" s="1"/>
  <c r="M33" i="3"/>
  <c r="O33" i="3" s="1"/>
  <c r="M30" i="3"/>
  <c r="O30" i="3" s="1"/>
  <c r="M54" i="3"/>
  <c r="O54" i="3" s="1"/>
  <c r="M42" i="3"/>
  <c r="O42" i="3" s="1"/>
  <c r="M59" i="3"/>
  <c r="O59" i="3" s="1"/>
  <c r="M31" i="3"/>
  <c r="O31" i="3" s="1"/>
  <c r="M39" i="3"/>
  <c r="O39" i="3" s="1"/>
  <c r="M79" i="3"/>
  <c r="O79" i="3" s="1"/>
  <c r="M83" i="3"/>
  <c r="O83" i="3" s="1"/>
  <c r="M70" i="3"/>
  <c r="O70" i="3" s="1"/>
  <c r="M82" i="3"/>
  <c r="O82" i="3" s="1"/>
  <c r="M80" i="3"/>
  <c r="O80" i="3" s="1"/>
  <c r="M48" i="3"/>
  <c r="O48" i="3" s="1"/>
  <c r="M61" i="3"/>
  <c r="O61" i="3" s="1"/>
  <c r="M71" i="3"/>
  <c r="O71" i="3" s="1"/>
  <c r="M74" i="3"/>
  <c r="O74" i="3" s="1"/>
  <c r="M85" i="3"/>
  <c r="O85" i="3" s="1"/>
  <c r="M93" i="3"/>
  <c r="O93" i="3" s="1"/>
  <c r="M68" i="3"/>
  <c r="O68" i="3" s="1"/>
  <c r="M94" i="3"/>
  <c r="O94" i="3" s="1"/>
  <c r="M97" i="3"/>
  <c r="O97" i="3" s="1"/>
  <c r="M22" i="3"/>
  <c r="O22" i="3" s="1"/>
  <c r="M21" i="3"/>
  <c r="O21" i="3" s="1"/>
  <c r="M24" i="3"/>
  <c r="O24" i="3" s="1"/>
  <c r="M8" i="3"/>
  <c r="O8" i="3" s="1"/>
  <c r="M28" i="3"/>
  <c r="O28" i="3" s="1"/>
  <c r="M62" i="3"/>
  <c r="O62" i="3" s="1"/>
  <c r="M55" i="3"/>
  <c r="O55" i="3" s="1"/>
  <c r="M58" i="3"/>
  <c r="O58" i="3" s="1"/>
  <c r="M57" i="3"/>
  <c r="O57" i="3" s="1"/>
  <c r="M19" i="3"/>
  <c r="O19" i="3" s="1"/>
  <c r="M63" i="3"/>
  <c r="O63" i="3" s="1"/>
  <c r="M81" i="3"/>
  <c r="O81" i="3" s="1"/>
  <c r="M60" i="3"/>
  <c r="O60" i="3" s="1"/>
  <c r="M91" i="3"/>
  <c r="O91" i="3" s="1"/>
  <c r="M72" i="3"/>
  <c r="O72" i="3" s="1"/>
  <c r="M88" i="3"/>
  <c r="O88" i="3" s="1"/>
  <c r="M99" i="3"/>
  <c r="O99" i="3" s="1"/>
  <c r="M95" i="3"/>
  <c r="O95" i="3" s="1"/>
  <c r="M75" i="3"/>
  <c r="O75" i="3" s="1"/>
  <c r="M78" i="3"/>
  <c r="O78" i="3" s="1"/>
  <c r="M84" i="3"/>
  <c r="O84" i="3" s="1"/>
  <c r="M66" i="3"/>
  <c r="O66" i="3" s="1"/>
  <c r="M46" i="3"/>
  <c r="O46" i="3" s="1"/>
  <c r="M89" i="3"/>
  <c r="O89" i="3" s="1"/>
  <c r="M76" i="3"/>
  <c r="O76" i="3" s="1"/>
  <c r="M35" i="3"/>
  <c r="O35" i="3" s="1"/>
  <c r="M6" i="3"/>
  <c r="O6" i="3" s="1"/>
  <c r="M9" i="3"/>
  <c r="O9" i="3" s="1"/>
  <c r="M7" i="3"/>
  <c r="O7" i="3" s="1"/>
  <c r="M12" i="3"/>
  <c r="O12" i="3" s="1"/>
  <c r="M40" i="3"/>
  <c r="O40" i="3" s="1"/>
  <c r="M86" i="3"/>
  <c r="O86" i="3" s="1"/>
  <c r="M43" i="3"/>
  <c r="O43" i="3" s="1"/>
</calcChain>
</file>

<file path=xl/comments1.xml><?xml version="1.0" encoding="utf-8"?>
<comments xmlns="http://schemas.openxmlformats.org/spreadsheetml/2006/main">
  <authors>
    <author>Dev Nambi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price of the car including re-painting cost
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sale price of the car
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score rating, based on cost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score rating, based on mileage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score rating, based on the car's age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'score' given to a car, based on its mileage, age, price, and whether it comes with a certified-used-car warranty. Right now the formula is as follows: 50% Price, 17% mileage, 17% age, 17% warranty.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Is this car a used certified car?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number of years left on the car's warranty (based on age of the car)
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The number of years left on the car's warranty (based on how far Kate &amp; I drive each year)</t>
        </r>
      </text>
    </comment>
    <comment ref="S2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Does the car have leather seats?</t>
        </r>
      </text>
    </comment>
    <comment ref="Q44" authorId="0">
      <text>
        <r>
          <rPr>
            <b/>
            <sz val="9"/>
            <color indexed="81"/>
            <rFont val="Tahoma"/>
            <charset val="1"/>
          </rPr>
          <t>Dev Nambi:</t>
        </r>
        <r>
          <rPr>
            <sz val="9"/>
            <color indexed="81"/>
            <rFont val="Tahoma"/>
            <charset val="1"/>
          </rPr>
          <t xml:space="preserve">
Sunset Pearl</t>
        </r>
      </text>
    </comment>
  </commentList>
</comments>
</file>

<file path=xl/sharedStrings.xml><?xml version="1.0" encoding="utf-8"?>
<sst xmlns="http://schemas.openxmlformats.org/spreadsheetml/2006/main" count="553" uniqueCount="297">
  <si>
    <t>Year</t>
  </si>
  <si>
    <t>Model</t>
  </si>
  <si>
    <t>VIN</t>
  </si>
  <si>
    <t>Mileage</t>
  </si>
  <si>
    <t>2007 Toyota Prius</t>
  </si>
  <si>
    <t>JTDKB20U077644620</t>
  </si>
  <si>
    <t>Red</t>
  </si>
  <si>
    <t>Black</t>
  </si>
  <si>
    <t>Silver</t>
  </si>
  <si>
    <t>URL</t>
  </si>
  <si>
    <t>Gold</t>
  </si>
  <si>
    <t>http://www.autotrader.com/fyc/vdp.jsp?ct=u&amp;car_id=311713125&amp;dealer_id=57977810&amp;car_year=2007&amp;systime=&amp;doors=&amp;model=CIVIC&amp;search_lang=en&amp;start_year=2006&amp;keywordsfyc=&amp;keywordsrep=&amp;highlightFirstMakeModel=&amp;search_type=both&amp;distance=200&amp;min_price=&amp;rdm=1325697923503&amp;drive=&amp;marketZipError=false&amp;advanced=y&amp;fuel=&amp;keywords_display=&amp;sownerid=575701&amp;lastBeginningStartYear=1981&amp;end_year=2010&amp;make3=TOYOTA&amp;showZipError=y&amp;make2=HONDA&amp;certified=&amp;engine=&amp;dma=SEATTLE-TACOMA_NO&amp;page_location=findacar%3A%3Aispsearchform&amp;body_code=0&amp;isFlashPlugin=true&amp;transmission=Automatic&amp;default_sort=mileageASC&amp;max_mileage=45000&amp;model3=PRIUS&amp;color=&amp;address=98133&amp;sort_type=mileageASC&amp;model2=FIT&amp;max_price=16000&amp;make=HONDA&amp;seller_type=b&amp;num_records=25&amp;cardist=1&amp;standard=false</t>
  </si>
  <si>
    <t>2008 Honda Fit Sport</t>
  </si>
  <si>
    <t>Blue</t>
  </si>
  <si>
    <t xml:space="preserve">JHMGD38618S047209 </t>
  </si>
  <si>
    <t>http://www.autotrader.com/fyc/vdp.jsp?ct=c&amp;car_id=308465769&amp;dealer_id=1391122&amp;car_year=2008&amp;model=CIVIC&amp;pager.offset=25&amp;search_lang=en&amp;start_year=2006&amp;search_type=both&amp;distance=200&amp;rdm=1325697923503&amp;marketZipError=false&amp;advanced=y&amp;sownerid=575701&amp;lastBeginningStartYear=1981&amp;end_year=2010&amp;make3=TOYOTA&amp;showZipError=y&amp;make2=HONDA&amp;dma=SEATTLE-TACOMA_NO&amp;page_location=findacar%3A%3Aispsearchform&amp;body_code=0&amp;first_record=26&amp;transmission=Automatic&amp;isFlashPlugin=true&amp;default_sort=mileageASC&amp;max_mileage=45000&amp;model3=PRIUS&amp;address=98133&amp;sort_type=mileageASC&amp;model2=FIT&amp;max_price=16000&amp;make=HONDA&amp;num_records=25&amp;seller_type=b&amp;cardist=71&amp;standard=false</t>
  </si>
  <si>
    <t>2008 Toyota Prius</t>
  </si>
  <si>
    <t>http://www.autotrader.com/fyc/vdp.jsp?ct=c&amp;car_id=312008335&amp;dealer_id=64936417&amp;car_year=2008&amp;model=CIVIC&amp;pager.offset=25&amp;search_lang=en&amp;start_year=2006&amp;search_type=both&amp;distance=200&amp;rdm=1325697923503&amp;marketZipError=false&amp;advanced=y&amp;sownerid=575701&amp;lastBeginningStartYear=1981&amp;end_year=2010&amp;make3=TOYOTA&amp;showZipError=y&amp;make2=HONDA&amp;dma=SEATTLE-TACOMA_NO&amp;page_location=findacar%3A%3Aispsearchform&amp;body_code=0&amp;first_record=26&amp;transmission=Automatic&amp;isFlashPlugin=true&amp;default_sort=mileageASC&amp;max_mileage=45000&amp;model3=PRIUS&amp;address=98133&amp;sort_type=mileageASC&amp;model2=FIT&amp;max_price=16000&amp;make=HONDA&amp;num_records=25&amp;seller_type=b&amp;cardist=229&amp;standard=false</t>
  </si>
  <si>
    <t xml:space="preserve">JTDKB20U387700986 </t>
  </si>
  <si>
    <t>2009 Honda Fit Sport</t>
  </si>
  <si>
    <t xml:space="preserve">JHMGE884X9S027597 </t>
  </si>
  <si>
    <t>2010 Honda Fit Sport</t>
  </si>
  <si>
    <t>Gray</t>
  </si>
  <si>
    <t>http://www.autotrader.com/fyc/vdp.jsp?ct=u&amp;car_id=312867942&amp;dealer_id=1150141&amp;car_year=2008&amp;model=CIVIC&amp;pager.offset=75&amp;search_lang=en&amp;start_year=2006&amp;search_type=both&amp;distance=200&amp;rdm=1325697923503&amp;marketZipError=false&amp;advanced=y&amp;sownerid=575701&amp;lastBeginningStartYear=1981&amp;end_year=2010&amp;make3=TOYOTA&amp;showZipError=y&amp;make2=HONDA&amp;dma=SEATTLE-TACOMA_NO&amp;page_location=findacar%3A%3Aispsearchform&amp;body_code=0&amp;first_record=76&amp;transmission=Automatic&amp;isFlashPlugin=true&amp;default_sort=mileageASC&amp;max_mileage=45000&amp;model3=PRIUS&amp;address=98133&amp;sort_type=mileageASC&amp;model2=FIT&amp;max_price=16000&amp;make=HONDA&amp;num_records=25&amp;seller_type=b&amp;cardist=145&amp;standard=false</t>
  </si>
  <si>
    <t xml:space="preserve">JHMGD38678S044654 </t>
  </si>
  <si>
    <t>JTDKB20UX83331051</t>
  </si>
  <si>
    <t>https://usedcars.truecar.com/detail/cars/ob-NxS5sLSwC22wNAy7MLtrlht7e2uzkQaHg93JBhuU3bRJDw==/?pl=1&amp;csearch=1&amp;v_ref=aHR0cHM6Ly91c2VkY2Fycy50cnVlY2FyLmNvbS9jYXJzL3VzZWQtZm9yLXNhbGUtVG95b3RhLlByaXVzL2xvY2F0aW9uLUJlbGxldnVlLS1XQS9wcmljZS1taW4uMTcwMDAvbWlsZWFnZS1taW4uNDAwMDA%3D&amp;v_user=dHJ1ZWNhcg%3D%3D</t>
  </si>
  <si>
    <t>Location</t>
  </si>
  <si>
    <t>Spokane, WA</t>
  </si>
  <si>
    <t>128th &amp; Aurora</t>
  </si>
  <si>
    <t>Auburn, WA</t>
  </si>
  <si>
    <t>Lynnwood, WA</t>
  </si>
  <si>
    <t xml:space="preserve">JTDKB20U783376089 </t>
  </si>
  <si>
    <t>Olympia</t>
  </si>
  <si>
    <t>http://www.autotrader.com/fyc/vdp.jsp?ct=u&amp;car_id=313660287&amp;dealer_id=6134479&amp;car_year=2008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56&amp;standard=false&amp;captcha=success</t>
  </si>
  <si>
    <t>http://www.autotrader.com/fyc/vdp.jsp?ct=u&amp;car_id=313672520&amp;dealer_id=1359282&amp;car_year=2008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56&amp;standard=false</t>
  </si>
  <si>
    <t xml:space="preserve">JTDKB20U883380765 </t>
  </si>
  <si>
    <t>2007 Toyota Prius (certified)</t>
  </si>
  <si>
    <t>http://www.autotrader.com/fyc/vdp.jsp?ct=c&amp;car_id=313660281&amp;dealer_id=6134479&amp;car_year=2007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56&amp;standard=false</t>
  </si>
  <si>
    <t xml:space="preserve">JTDKB20U977587334 </t>
  </si>
  <si>
    <t>2008 Toyota Prius (certified)</t>
  </si>
  <si>
    <t>2009 Toyota Prius</t>
  </si>
  <si>
    <t>Puyallup</t>
  </si>
  <si>
    <t>http://www.autotrader.com/fyc/vdp.jsp?ct=u&amp;car_id=307296093&amp;dealer_id=595416&amp;car_year=2009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36&amp;standard=false</t>
  </si>
  <si>
    <t xml:space="preserve">JTDKB20U393521551 </t>
  </si>
  <si>
    <t>White</t>
  </si>
  <si>
    <t>http://www.autotrader.com/fyc/vdp.jsp?ct=u&amp;car_id=307370102&amp;dealer_id=595416&amp;car_year=2009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36&amp;standard=false</t>
  </si>
  <si>
    <t xml:space="preserve">JTDKB20U593466035 </t>
  </si>
  <si>
    <t xml:space="preserve">JTDKB20U277690076 </t>
  </si>
  <si>
    <t>http://www.autotrader.com/fyc/vdp.jsp?ct=c&amp;car_id=313660277&amp;dealer_id=6134479&amp;car_year=2007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56&amp;standard=false&amp;captcha=success</t>
  </si>
  <si>
    <t>Edmonds</t>
  </si>
  <si>
    <t>Mt. Vernon</t>
  </si>
  <si>
    <t>Beaverton</t>
  </si>
  <si>
    <t xml:space="preserve">JTDKB20U587765984 </t>
  </si>
  <si>
    <t>http://www.autotrader.com/fyc/vdp.jsp?ct=u&amp;car_id=307743840&amp;dealer_id=557916&amp;car_year=2008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157&amp;standard=false</t>
  </si>
  <si>
    <t>2010 Toyota Prius</t>
  </si>
  <si>
    <t xml:space="preserve">JTDKN3DU6A0153265 </t>
  </si>
  <si>
    <t>Hillsboro</t>
  </si>
  <si>
    <t>http://www.autotrader.com/fyc/vdp.jsp?ct=u&amp;car_id=310937281&amp;dealer_id=52454684&amp;car_year=2010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156&amp;standard=false</t>
  </si>
  <si>
    <t>Bellevue</t>
  </si>
  <si>
    <t xml:space="preserve">JTDKB20U893466062 </t>
  </si>
  <si>
    <t>http://www.autotrader.com/fyc/vdp.jsp?ct=u&amp;car_id=312718892&amp;dealer_id=566660&amp;car_year=2009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11&amp;standard=true</t>
  </si>
  <si>
    <t>Kennewick</t>
  </si>
  <si>
    <t xml:space="preserve">JTDKB20U183398248 </t>
  </si>
  <si>
    <t>http://www.autotrader.com/fyc/vdp.jsp?ct=u&amp;car_id=300870828&amp;dealer_id=82055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183&amp;standard=false</t>
  </si>
  <si>
    <t>Seattle</t>
  </si>
  <si>
    <t>http://www.autotrader.com/fyc/vdp.jsp?ct=c&amp;car_id=312631913&amp;dealer_id=73726&amp;car_year=2007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8&amp;standard=false</t>
  </si>
  <si>
    <t xml:space="preserve">JTDKB20U977645376 </t>
  </si>
  <si>
    <t>http://www.autotrader.com/fyc/vdp.jsp?ct=c&amp;car_id=308039009&amp;dealer_id=6134479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56&amp;standard=false</t>
  </si>
  <si>
    <t xml:space="preserve">JTDKB20U983344793 </t>
  </si>
  <si>
    <t>http://www.autotrader.com/fyc/vdp.jsp?ct=c&amp;car_id=313350294&amp;dealer_id=73726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8&amp;standard=false</t>
  </si>
  <si>
    <t xml:space="preserve">JTDKB20UX87722774 </t>
  </si>
  <si>
    <t>http://www.autotrader.com/fyc/vdp.jsp?ct=c&amp;car_id=310988775&amp;dealer_id=72505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5&amp;standard=false</t>
  </si>
  <si>
    <t>2009 Toyota Prius (certified)</t>
  </si>
  <si>
    <t xml:space="preserve">JTDKB20U993507525 </t>
  </si>
  <si>
    <t>Salem</t>
  </si>
  <si>
    <t>http://www.autotrader.com/fyc/vdp.jsp?ct=u&amp;car_id=313079983&amp;dealer_id=100022500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195&amp;standard=false</t>
  </si>
  <si>
    <t>Vancouver</t>
  </si>
  <si>
    <t xml:space="preserve">JTDKB20U193526232 </t>
  </si>
  <si>
    <t xml:space="preserve">JTDKB20U997839280 </t>
  </si>
  <si>
    <t>Walla Walla</t>
  </si>
  <si>
    <t>http://www.autotrader.com/fyc/vdp.jsp?ct=c&amp;car_id=311376795&amp;dealer_id=70228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222&amp;standard=false</t>
  </si>
  <si>
    <t xml:space="preserve">JTDKB20U593481554 </t>
  </si>
  <si>
    <t>Hubbard (between Pdx and Salem)</t>
  </si>
  <si>
    <t xml:space="preserve">JTDKB20U583311449 </t>
  </si>
  <si>
    <t>http://www.autotrader.com/fyc/vdp.jsp?ct=u&amp;car_id=299030787&amp;dealer_id=573546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178&amp;standard=false</t>
  </si>
  <si>
    <t>Portland</t>
  </si>
  <si>
    <t>http://www.autotrader.com/fyc/vdp.jsp?ct=p&amp;car_id=310960284&amp;dealer_id=66814459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153&amp;standard=false</t>
  </si>
  <si>
    <t xml:space="preserve">JTDKB20U383455761 </t>
  </si>
  <si>
    <t>http://www.autotrader.com/fyc/vdp.jsp?ct=u&amp;car_id=312826563&amp;dealer_id=78694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14&amp;standard=false</t>
  </si>
  <si>
    <t xml:space="preserve">JTDKB20U583391819 </t>
  </si>
  <si>
    <t>http://www.autotrader.com/fyc/vdp.jsp?ct=c&amp;car_id=313717062&amp;dealer_id=85980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144&amp;standard=false</t>
  </si>
  <si>
    <t>Car Type</t>
  </si>
  <si>
    <t>2010 Honda Fit Sport (certified)</t>
  </si>
  <si>
    <t>Color</t>
  </si>
  <si>
    <t xml:space="preserve">JHMGE8H41AC026336 </t>
  </si>
  <si>
    <t>Wilsonville (S of Tigard)</t>
  </si>
  <si>
    <t>http://www.autotrader.com/fyc/vdp.jsp?ct=c&amp;car_id=312130876&amp;dealer_id=56162128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170&amp;standard=false</t>
  </si>
  <si>
    <t>http://www.autotrader.com/fyc/vdp.jsp?ct=u&amp;car_id=312666359&amp;dealer_id=78694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14&amp;standard=false</t>
  </si>
  <si>
    <t xml:space="preserve">JHMGE8H44AC038772 </t>
  </si>
  <si>
    <t>http://www.autotrader.com/fyc/vdp.jsp?ct=u&amp;car_id=310026600&amp;dealer_id=78694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14&amp;standard=false</t>
  </si>
  <si>
    <t>Warranty Years Left</t>
  </si>
  <si>
    <t xml:space="preserve">JHMGE88429S026153 </t>
  </si>
  <si>
    <t>http://www.autotrader.com/fyc/vdp.jsp?ct=c&amp;car_id=311430309&amp;dealer_id=100022500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195&amp;standard=false</t>
  </si>
  <si>
    <t xml:space="preserve">JHMGE8H43AC015709 </t>
  </si>
  <si>
    <t>Bellingham</t>
  </si>
  <si>
    <t>2009 Honda Fit Sport (certified)</t>
  </si>
  <si>
    <t xml:space="preserve">JHMGE88419S073125 </t>
  </si>
  <si>
    <t>http://www.autotrader.com/fyc/vdp.jsp?ct=c&amp;car_id=310456699&amp;dealer_id=143062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5&amp;standard=false</t>
  </si>
  <si>
    <t>http://www.autotrader.com/fyc/vdp.jsp?ct=u&amp;car_id=311035218&amp;dealer_id=571327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11&amp;standard=false</t>
  </si>
  <si>
    <t xml:space="preserve">JHMGE8H41AC005146 </t>
  </si>
  <si>
    <t>http://www.autotrader.com/fyc/vdp.jsp?ct=u&amp;car_id=300814205&amp;dealer_id=56346953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11&amp;standard=false</t>
  </si>
  <si>
    <t>Purple</t>
  </si>
  <si>
    <t>Poulsbo</t>
  </si>
  <si>
    <t>http://www.autotrader.com/fyc/vdp.jsp?ct=u&amp;car_id=309376078&amp;dealer_id=75835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14&amp;standard=false</t>
  </si>
  <si>
    <t xml:space="preserve">JHMGE88669S046312 </t>
  </si>
  <si>
    <t>Sumner</t>
  </si>
  <si>
    <t>http://www.autotrader.com/fyc/vdp.jsp?ct=c&amp;car_id=309877284&amp;dealer_id=64560097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38&amp;standard=false</t>
  </si>
  <si>
    <t xml:space="preserve">JHMGE8H69AC036565 </t>
  </si>
  <si>
    <t>Bothell</t>
  </si>
  <si>
    <t>http://www.autotrader.com/fyc/vdp.jsp?ct=u&amp;car_id=304434780&amp;dealer_id=1048236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6&amp;standard=false</t>
  </si>
  <si>
    <t xml:space="preserve">JHMGE8H44AS002926 </t>
  </si>
  <si>
    <t>Kirkland</t>
  </si>
  <si>
    <t>http://www.autotrader.com/fyc/vdp.jsp?ct=u&amp;car_id=310886836&amp;dealer_id=64223515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8&amp;standard=false</t>
  </si>
  <si>
    <t xml:space="preserve">JHMGE8H41AC008922 </t>
  </si>
  <si>
    <t xml:space="preserve">JHMGD38638S017113 </t>
  </si>
  <si>
    <t>Orange</t>
  </si>
  <si>
    <t>http://www.autotrader.com/fyc/vdp.jsp?ct=c&amp;car_id=311333716&amp;dealer_id=80321&amp;car_year=2008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56&amp;standard=false</t>
  </si>
  <si>
    <t>http://www.autotrader.com/fyc/vdp.jsp?ct=u&amp;car_id=307713371&amp;dealer_id=595416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36&amp;standard=false</t>
  </si>
  <si>
    <t xml:space="preserve">JHMGE8H49AC007761 </t>
  </si>
  <si>
    <t>http://www.autotrader.com/fyc/vdp.jsp?ct=c&amp;car_id=312203296&amp;dealer_id=568287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156&amp;standard=false</t>
  </si>
  <si>
    <t xml:space="preserve">JHMGE8H29AC011789 </t>
  </si>
  <si>
    <t>http://www.autotrader.com/fyc/vdp.jsp?ct=u&amp;car_id=311602605&amp;dealer_id=64223515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8&amp;standard=false</t>
  </si>
  <si>
    <t xml:space="preserve">JHMGE88609S067575 </t>
  </si>
  <si>
    <t>Yakima</t>
  </si>
  <si>
    <t>http://www.autotrader.com/fyc/vdp.jsp?ct=u&amp;car_id=309394957&amp;dealer_id=626204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118&amp;standard=false</t>
  </si>
  <si>
    <t xml:space="preserve">JHMGE88449S004400 </t>
  </si>
  <si>
    <t xml:space="preserve">JHMGE88419S052100 </t>
  </si>
  <si>
    <t>Renton</t>
  </si>
  <si>
    <t>http://www.autotrader.com/fyc/vdp.jsp?ct=c&amp;car_id=311421731&amp;dealer_id=71228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19&amp;standard=false</t>
  </si>
  <si>
    <t xml:space="preserve">JHMGE88279C006862 </t>
  </si>
  <si>
    <t>http://www.autotrader.com/fyc/vdp.jsp?ct=c&amp;car_id=311789870&amp;dealer_id=80321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56&amp;standard=false</t>
  </si>
  <si>
    <t>http://www.autotrader.com/fyc/vdp.jsp?ct=u&amp;car_id=312047636&amp;dealer_id=63767093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71&amp;standard=false</t>
  </si>
  <si>
    <t xml:space="preserve">JHMGE88479S062534 </t>
  </si>
  <si>
    <t>Tacoma</t>
  </si>
  <si>
    <t>Green</t>
  </si>
  <si>
    <t>http://www.toyotacertified.com/inventory/?SearchRadius=100&amp;SearchZipCode=98133&amp;SearchModel=Prius&amp;VehicleCategory=&amp;action=quicksearch#page4</t>
  </si>
  <si>
    <t>JTDKB20U783349555</t>
  </si>
  <si>
    <t>http://www.toyotacertified.com/inventory/?SearchRadius=100&amp;SearchZipCode=98133&amp;SearchModel=Prius&amp;VehicleCategory=&amp;action=quicksearch#page5</t>
  </si>
  <si>
    <t>JTDKB20U493521378</t>
  </si>
  <si>
    <t>JTDKB20U077618258</t>
  </si>
  <si>
    <t>http://www.toyotacertified.com/inventory/?SearchRadius=100&amp;SearchZipCode=98133&amp;SearchModel=Prius&amp;VehicleCategory=&amp;action=quicksearch#page8</t>
  </si>
  <si>
    <t>JTDKB20U883389305</t>
  </si>
  <si>
    <t>http://www.toyotacertified.com/inventory/?SearchRadius=100&amp;SearchZipCode=98133&amp;SearchModel=Prius&amp;VehicleCategory=&amp;action=quicksearch#page17</t>
  </si>
  <si>
    <t>Good Deal Score</t>
  </si>
  <si>
    <t>http://www.autotrader.com/fyc/vdp.jsp?ct=u&amp;car_id=312382471&amp;dealer_id=82055&amp;car_year=2008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183&amp;standard=false</t>
  </si>
  <si>
    <t xml:space="preserve">JTDKB20U683324985 </t>
  </si>
  <si>
    <t>http://www.autotrader.com/fyc/vdp.jsp?ct=u&amp;car_id=313660291&amp;dealer_id=6134479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56&amp;standard=false</t>
  </si>
  <si>
    <t xml:space="preserve">JTDKB20U973292869 </t>
  </si>
  <si>
    <t xml:space="preserve">JTDKB20U083406713 </t>
  </si>
  <si>
    <t>http://www.autotrader.com/fyc/vdp.jsp?ct=u&amp;car_id=312441288&amp;dealer_id=558992&amp;car_year=2008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118&amp;standard=false</t>
  </si>
  <si>
    <t xml:space="preserve">JTDKB20U677639955 </t>
  </si>
  <si>
    <t>http://www.autotrader.com/fyc/vdp.jsp?ct=u&amp;car_id=313340458&amp;dealer_id=1048236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6&amp;standard=false</t>
  </si>
  <si>
    <t>http://www.autotrader.com/fyc/vdp.jsp?ct=u&amp;car_id=312295056&amp;dealer_id=100022500&amp;car_year=2008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195&amp;standard=false</t>
  </si>
  <si>
    <t xml:space="preserve">JTDKB20UX83301807 </t>
  </si>
  <si>
    <t>http://www.autotrader.com/fyc/vdp.jsp?ct=u&amp;car_id=313118967&amp;dealer_id=562872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198&amp;standard=false</t>
  </si>
  <si>
    <t xml:space="preserve">JTDKB20U273239432 </t>
  </si>
  <si>
    <t>http://www.autotrader.com/fyc/vdp.jsp?ct=c&amp;car_id=312975814&amp;dealer_id=1370479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157&amp;standard=false</t>
  </si>
  <si>
    <t xml:space="preserve">JTDKB20U477553415 </t>
  </si>
  <si>
    <t xml:space="preserve">JTDKB20U583341924 </t>
  </si>
  <si>
    <t>http://www.autotrader.com/fyc/vdp.jsp?ct=u&amp;car_id=301306221&amp;dealer_id=72285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28&amp;standard=false</t>
  </si>
  <si>
    <t>http://www.autotrader.com/fyc/vdp.jsp?ct=u&amp;car_id=310663291&amp;dealer_id=557916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157&amp;standard=false</t>
  </si>
  <si>
    <t xml:space="preserve">JTDKB20U983438706 </t>
  </si>
  <si>
    <t>http://www.autotrader.com/fyc/vdp.jsp?ct=u&amp;car_id=313848598&amp;dealer_id=41805352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11&amp;standard=false</t>
  </si>
  <si>
    <t xml:space="preserve">JTDKB20U473241666 </t>
  </si>
  <si>
    <t>http://www.autotrader.com/fyc/vdp.jsp?ct=u&amp;car_id=313053749&amp;dealer_id=66823181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145&amp;standard=false</t>
  </si>
  <si>
    <t xml:space="preserve">JTDKB20U487766981 </t>
  </si>
  <si>
    <t>http://www.autotrader.com/fyc/vdp.jsp?ct=u&amp;car_id=313349633&amp;dealer_id=100009816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168&amp;standard=false</t>
  </si>
  <si>
    <t xml:space="preserve">JTDKB20U577586052 </t>
  </si>
  <si>
    <t>Port Orchard</t>
  </si>
  <si>
    <t xml:space="preserve">JTDKB20U573274935 </t>
  </si>
  <si>
    <t>http://www.autotrader.com/fyc/vdp.jsp?ct=u&amp;car_id=312193554&amp;dealer_id=80758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21&amp;standard=false</t>
  </si>
  <si>
    <t>Gladtone</t>
  </si>
  <si>
    <t>http://www.autotrader.com/fyc/vdp.jsp?ct=u&amp;car_id=308041072&amp;dealer_id=66673309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164&amp;standard=false</t>
  </si>
  <si>
    <t xml:space="preserve">JTDKB20U587759098 </t>
  </si>
  <si>
    <t>http://www.autotrader.com/fyc/vdp.jsp?ct=u&amp;car_id=308460629&amp;dealer_id=562872&amp;car_year=2009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198&amp;standard=false</t>
  </si>
  <si>
    <t xml:space="preserve">JTDKB20U693539638 </t>
  </si>
  <si>
    <t>http://www.autotrader.com/fyc/vdp.jsp?ct=u&amp;car_id=313744750&amp;dealer_id=100024864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8&amp;standard=false</t>
  </si>
  <si>
    <t xml:space="preserve">JTDKB20U673267234 </t>
  </si>
  <si>
    <t xml:space="preserve">JTDKB20U783318984 </t>
  </si>
  <si>
    <t>http://www.autotrader.com/fyc/vdp.jsp?ct=p&amp;car_id=301188529&amp;dealer_id=66351903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41&amp;standard=false</t>
  </si>
  <si>
    <t>Cornelius, OR</t>
  </si>
  <si>
    <t>http://www.autotrader.com/fyc/vdp.jsp?ct=u&amp;car_id=312118859&amp;dealer_id=64974457&amp;car_year=2009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157&amp;standard=false</t>
  </si>
  <si>
    <t xml:space="preserve">JTDKB20U593512849 </t>
  </si>
  <si>
    <t>http://www.autotrader.com/fyc/vdp.jsp?ct=u&amp;car_id=313232807&amp;dealer_id=75835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14&amp;standard=false</t>
  </si>
  <si>
    <t xml:space="preserve">JTDKB20U173277489 </t>
  </si>
  <si>
    <t>Ellensburg</t>
  </si>
  <si>
    <t>http://www.autotrader.com/fyc/vdp.jsp?ct=u&amp;car_id=312342397&amp;dealer_id=577669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98&amp;standard=false</t>
  </si>
  <si>
    <t xml:space="preserve">JTDKB20U173293434 </t>
  </si>
  <si>
    <t>http://www.autotrader.com/fyc/vdp.jsp?ct=u&amp;car_id=303680627&amp;dealer_id=71591&amp;car_year=2009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34&amp;standard=false</t>
  </si>
  <si>
    <t xml:space="preserve">JTDKB20U297829786 </t>
  </si>
  <si>
    <t>Warranty Mileage Years Left</t>
  </si>
  <si>
    <t>Mile-Cost Rating Raw</t>
  </si>
  <si>
    <t>Mile-Cost Rating Adj</t>
  </si>
  <si>
    <t>Age-Cost Rating Raw</t>
  </si>
  <si>
    <t>Age-Cost Rating Adj</t>
  </si>
  <si>
    <t>Warranty-Cost Rating Raw</t>
  </si>
  <si>
    <t>Warranty-Cost Rating Adj</t>
  </si>
  <si>
    <t>Price, Raw</t>
  </si>
  <si>
    <t>Price, Adj</t>
  </si>
  <si>
    <t>JTDKB20U293500240</t>
  </si>
  <si>
    <t>http://www.toyotacertified.com/inventory/?SearchRadius=100&amp;SearchZipCode=98133&amp;SearchModel=Prius&amp;VehicleCategory=&amp;action=quicksearch#page2</t>
  </si>
  <si>
    <t>JTDKB20UX77692979</t>
  </si>
  <si>
    <t>http://www.toyotacertified.com/inventory/?SearchRadius=100&amp;SearchZipCode=98133&amp;SearchModel=Prius&amp;VehicleCategory=&amp;action=quicksearch#page3</t>
  </si>
  <si>
    <t>JTDKB20U283438742</t>
  </si>
  <si>
    <t>http://www.toyotacertified.com/inventory/?SearchRadius=100&amp;SearchZipCode=98133&amp;SearchModel=Prius&amp;VehicleCategory=&amp;action=quicksearch#page6</t>
  </si>
  <si>
    <t>JTDKB20U983363425</t>
  </si>
  <si>
    <t>http://www.toyotacertified.com/inventory/?SearchRadius=100&amp;SearchZipCode=98133&amp;SearchModel=Prius&amp;VehicleCategory=&amp;action=quicksearch#page7</t>
  </si>
  <si>
    <t>JTDKB20U387781665</t>
  </si>
  <si>
    <t>http://www.toyotacertified.com/inventory/?SearchRadius=100&amp;SearchZipCode=98133&amp;SearchModel=Prius&amp;VehicleCategory=&amp;action=quicksearch#page9</t>
  </si>
  <si>
    <t>JTDKB20U693488318</t>
  </si>
  <si>
    <t>http://www.toyotacertified.com/inventory/?SearchRadius=100&amp;SearchZipCode=98133&amp;SearchModel=Prius&amp;VehicleCategory=&amp;action=quicksearch#page14</t>
  </si>
  <si>
    <t>JTDKB20U877631839</t>
  </si>
  <si>
    <t>http://www.toyotacertified.com/inventory/?SearchRadius=100&amp;SearchZipCode=98133&amp;SearchModel=Prius&amp;VehicleCategory=&amp;action=quicksearch#page16</t>
  </si>
  <si>
    <t>JTDKB20U177660258</t>
  </si>
  <si>
    <t>http://www.toyotacertified.com/inventory/?SearchRadius=100&amp;SearchZipCode=98133&amp;SearchModel=Prius&amp;VehicleCategory=&amp;action=quicksearch#page29</t>
  </si>
  <si>
    <t>JTDKB20U283346739</t>
  </si>
  <si>
    <t>http://www.toyotacertified.com/inventory/?SearchRadius=100&amp;SearchZipCode=98133&amp;SearchModel=Prius&amp;VehicleCategory=&amp;action=quicksearch#page31</t>
  </si>
  <si>
    <t>JTDKB20U093506487</t>
  </si>
  <si>
    <t>Bremerton</t>
  </si>
  <si>
    <t>http://www.toyotacertified.com/inventory/?SearchRadius=100&amp;SearchZipCode=98133&amp;SearchModel=Prius&amp;VehicleCategory=&amp;action=quicksearch#page32</t>
  </si>
  <si>
    <t>JTDKB20U083461923</t>
  </si>
  <si>
    <t>http://www.toyotacertified.com/inventory/?SearchRadius=100&amp;SearchZipCode=98133&amp;SearchModel=Prius&amp;VehicleCategory=&amp;action=quicksearch#page33</t>
  </si>
  <si>
    <t>Everett</t>
  </si>
  <si>
    <t>JTDKB20U883444948</t>
  </si>
  <si>
    <t>http://www.toyotacertified.com/inventory/?SearchRadius=100&amp;SearchZipCode=98133&amp;SearchModel=Prius&amp;VehicleCategory=&amp;action=quicksearch#page36</t>
  </si>
  <si>
    <t>JTDKB20U573224911</t>
  </si>
  <si>
    <t>JTDKB20U083366911</t>
  </si>
  <si>
    <t>http://www.toyotacertified.com/inventory/?SearchRadius=100&amp;SearchZipCode=98133&amp;SearchModel=Prius&amp;VehicleCategory=&amp;action=quicksearch#page43</t>
  </si>
  <si>
    <t>JTDKB20U897848942</t>
  </si>
  <si>
    <t>http://www.toyotacertified.com/inventory/?SearchRadius=100&amp;SearchZipCode=98133&amp;SearchModel=Prius&amp;VehicleCategory=&amp;action=quicksearch#page44</t>
  </si>
  <si>
    <t>JTDKB20U887714463</t>
  </si>
  <si>
    <t>Cost Rating, Adj</t>
  </si>
  <si>
    <t>http://www.edmunds.com/inventory/used/vin.html?vin=JTDKB20U887714463&amp;radius=50&amp;make=Toyota&amp;model=Prius&amp;year=2008&amp;defaultType=&amp;mode=&amp;invtype=USED</t>
  </si>
  <si>
    <t>JTDKN3DUXA0060216 </t>
  </si>
  <si>
    <t>http://www.edmunds.com/inventory/used/vin.html?vin=JTDKN3DUXA0060216&amp;radius=50&amp;make=Toyota&amp;model=Prius&amp;year=2010&amp;defaultType=&amp;mode=&amp;invtype=USED</t>
  </si>
  <si>
    <t>JTDKN3DU0A0045577</t>
  </si>
  <si>
    <t>http://www.edmunds.com/inventory/used/vin.html?vin=JTDKN3DU0A0045577&amp;radius=50&amp;make=Toyota&amp;model=Prius&amp;year=2010&amp;defaultType=&amp;mode=&amp;invtype=USED</t>
  </si>
  <si>
    <t>JTDKB20U283344988</t>
  </si>
  <si>
    <t>http://www.edmunds.com/inventory/used/vin.html?vin=JTDKB20U283344988&amp;radius=50&amp;make=Toyota&amp;model=Prius&amp;year=2008&amp;defaultType=&amp;mode=&amp;invtype=USED</t>
  </si>
  <si>
    <t>JTDKN3DU6A0027990</t>
  </si>
  <si>
    <t>http://www.edmunds.com/inventory/used/vin.html?vin=JTDKN3DU6A0027990&amp;radius=50&amp;make=Toyota&amp;model=Prius&amp;year=2010&amp;defaultType=&amp;mode=&amp;invtype=USED</t>
  </si>
  <si>
    <t>JTDKB20U463166451</t>
  </si>
  <si>
    <t>http://www.edmunds.com/inventory/used/vin.html?vin=JTDKB20U463166451&amp;radius=50&amp;make=Toyota&amp;model=Prius&amp;year=2006&amp;defaultType=&amp;mode=&amp;invtype=USED</t>
  </si>
  <si>
    <t>JTDKB20U167531872</t>
  </si>
  <si>
    <t>2006 Toyota Prius</t>
  </si>
  <si>
    <t>http://www.edmunds.com/inventory/used/vin.html?vin=JTDKB20U167531872&amp;radius=50&amp;make=Toyota&amp;model=Prius&amp;year=2006&amp;defaultType=&amp;mode=&amp;invtype=USED</t>
  </si>
  <si>
    <t>JTDKB20U577587220</t>
  </si>
  <si>
    <t>http://www.edmunds.com/inventory/used/vin.html?vin=JTDKB20U577587220&amp;radius=50&amp;make=Toyota&amp;model=Prius&amp;year=2007&amp;defaultType=&amp;mode=&amp;invtype=USED</t>
  </si>
  <si>
    <t>JHMGE884X9S010671</t>
  </si>
  <si>
    <t>JHMGE8H51BC000605</t>
  </si>
  <si>
    <t>2011 Honda Fit Sport (certified)</t>
  </si>
  <si>
    <t>http://www.autotrader.com/fyc/vdp.jsp?ct=c&amp;car_id=311985998&amp;dealer_id=64961691&amp;car_year=2011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235&amp;standard=false</t>
  </si>
  <si>
    <t>http://www.autotrader.com/fyc/vdp.jsp?ct=c&amp;car_id=302980833&amp;dealer_id=575701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50&amp;standard=false</t>
  </si>
  <si>
    <t>JHMGE88689S047123</t>
  </si>
  <si>
    <t>http://www.autotrader.com/fyc/vdp.jsp?ct=u&amp;car_id=313603078&amp;dealer_id=84285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11&amp;standard=false</t>
  </si>
  <si>
    <t>JHMGE88439S040241</t>
  </si>
  <si>
    <t>http://www.autotrader.com/fyc/vdp.jsp?ct=u&amp;car_id=313840031&amp;dealer_id=91617&amp;car_year=2009&amp;model=FIT&amp;pager.offset=25&amp;search_lang=en&amp;start_year=2009&amp;keywordsrep=099114117105115101&amp;keywordsfyc=__Y3J1aXNl__&amp;scarid=302980833&amp;search_type=both&amp;distance=200&amp;rdm=1326246216398&amp;marketZipError=false&amp;advanced=y&amp;keywords_display=cruise&amp;lastBeginningStartYear=1981&amp;end_year=2013&amp;showZipError=y&amp;dma=SEATTLE-TACOMA_NO&amp;page_location=findacar%3A%3Aispsearchform&amp;body_code=0&amp;first_record=26&amp;transmission=Automatic&amp;isFlashPlugin=true&amp;default_sort=priceASC&amp;max_mileage=75000&amp;address=98133&amp;sort_type=priceASC&amp;max_price=18000&amp;make=HONDA&amp;num_records=25&amp;seller_type=b&amp;cardist=13&amp;standard=false</t>
  </si>
  <si>
    <t>JTDKB20U173248929</t>
  </si>
  <si>
    <t>http://www.carsdirect.com/used_cars/vehicle-detail/ul405390962/toyota/prius?source=UsedCarListings</t>
  </si>
  <si>
    <t>JTDKB20U087796916</t>
  </si>
  <si>
    <t>http://www.carsdirect.com/used_cars/vehicle-detail/ul404958123/toyota/prius?source=UsedCarListings</t>
  </si>
  <si>
    <t>JHMGE88489S011785</t>
  </si>
  <si>
    <t>Albany, OR</t>
  </si>
  <si>
    <t>http://www.autotrader.com/fyc/vdp.jsp?ct=u&amp;car_id=312100827&amp;dealer_id=66066249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217&amp;standard=false</t>
  </si>
  <si>
    <t>JHMGE8H43AC004046</t>
  </si>
  <si>
    <t>McMinville, OR</t>
  </si>
  <si>
    <t>http://www.autotrader.com/fyc/vdp.jsp?ct=u&amp;car_id=305396046&amp;dealer_id=65152575&amp;car_year=2010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179&amp;standard=false</t>
  </si>
  <si>
    <t>JHMGE8H59BC014638</t>
  </si>
  <si>
    <t>http://www.autotrader.com/fyc/vdp.jsp?ct=c&amp;car_id=311359584&amp;dealer_id=1149141&amp;car_year=2011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157&amp;standard=false</t>
  </si>
  <si>
    <t>JHMGE88409S023719</t>
  </si>
  <si>
    <t>http://www.autotrader.com/fyc/vdp.jsp?ct=u&amp;car_id=304564548&amp;dealer_id=619216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197&amp;standard=false</t>
  </si>
  <si>
    <t>JTDKB20U287695215</t>
  </si>
  <si>
    <t>http://www.carsdirect.com/used_cars/vehicle-detail/ul401580934/toyota/prius?source=UsedCarListings</t>
  </si>
  <si>
    <t>JTDKN3DU0A0067935</t>
  </si>
  <si>
    <t>Anacortes</t>
  </si>
  <si>
    <t>http://www.carsdirect.com/used_cars/vehicle-detail/ul352964933/toyota/prius?source=UsedCarListings</t>
  </si>
  <si>
    <t>JTDKB20U297823261</t>
  </si>
  <si>
    <t>http://www.carsdirect.com/used_cars/vehicle-detail/ul408837433/toyota/prius?source=UsedCarListings</t>
  </si>
  <si>
    <t>Age</t>
  </si>
  <si>
    <t>Leather?</t>
  </si>
  <si>
    <t>Certified Used?</t>
  </si>
  <si>
    <t>Color I Want?</t>
  </si>
  <si>
    <t>MilesFromSeattle</t>
  </si>
  <si>
    <t>Row Labels</t>
  </si>
  <si>
    <t>Grand Total</t>
  </si>
  <si>
    <t>Max of Good Deal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</si>
</sst>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_(* #,##0.0000000_);_(* \(#,##0.0000000\);_(* &quot;-&quot;??_);_(@_)"/>
    <numFmt numFmtId="168" formatCode="_(* #,##0.000000000_);_(* \(#,##0.000000000\);_(* &quot;-&quot;??_);_(@_)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5" fillId="2" borderId="0" xfId="2"/>
    <xf numFmtId="164" fontId="0" fillId="0" borderId="0" xfId="1" applyNumberFormat="1" applyFont="1"/>
    <xf numFmtId="43" fontId="0" fillId="0" borderId="0" xfId="3" applyFont="1"/>
    <xf numFmtId="165" fontId="0" fillId="0" borderId="0" xfId="3" applyNumberFormat="1" applyFont="1"/>
    <xf numFmtId="166" fontId="0" fillId="0" borderId="0" xfId="3" applyNumberFormat="1" applyFont="1"/>
    <xf numFmtId="166" fontId="4" fillId="0" borderId="0" xfId="3" applyNumberFormat="1" applyFont="1"/>
    <xf numFmtId="0" fontId="6" fillId="0" borderId="0" xfId="4"/>
    <xf numFmtId="167" fontId="0" fillId="0" borderId="0" xfId="3" applyNumberFormat="1" applyFont="1"/>
    <xf numFmtId="167" fontId="4" fillId="0" borderId="0" xfId="3" applyNumberFormat="1" applyFont="1"/>
    <xf numFmtId="168" fontId="0" fillId="0" borderId="0" xfId="3" applyNumberFormat="1" applyFont="1"/>
    <xf numFmtId="168" fontId="4" fillId="0" borderId="0" xfId="3" applyNumberFormat="1" applyFont="1"/>
    <xf numFmtId="169" fontId="0" fillId="0" borderId="0" xfId="5" applyNumberFormat="1" applyFont="1"/>
    <xf numFmtId="169" fontId="4" fillId="0" borderId="0" xfId="5" applyNumberFormat="1" applyFont="1"/>
    <xf numFmtId="169" fontId="4" fillId="0" borderId="0" xfId="3" applyNumberFormat="1" applyFont="1"/>
    <xf numFmtId="169" fontId="0" fillId="0" borderId="0" xfId="3" applyNumberFormat="1" applyFont="1"/>
    <xf numFmtId="0" fontId="5" fillId="2" borderId="0" xfId="2" applyNumberFormat="1"/>
    <xf numFmtId="43" fontId="4" fillId="0" borderId="0" xfId="3" applyFont="1"/>
    <xf numFmtId="0" fontId="0" fillId="0" borderId="0" xfId="0" pivotButton="1"/>
    <xf numFmtId="0" fontId="0" fillId="0" borderId="0" xfId="0" applyAlignment="1">
      <alignment horizontal="left"/>
    </xf>
  </cellXfs>
  <cellStyles count="6">
    <cellStyle name="Comma" xfId="3" builtinId="3"/>
    <cellStyle name="Currency" xfId="1" builtinId="4"/>
    <cellStyle name="Good" xfId="2" builtinId="26"/>
    <cellStyle name="Hyperlink" xfId="4" builtinId="8"/>
    <cellStyle name="Normal" xfId="0" builtinId="0"/>
    <cellStyle name="Percent" xfId="5" builtinId="5"/>
  </cellStyles>
  <dxfs count="21"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00000_);_(* \(#,##0.00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%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[Cars-For-Sale.xlsx]Value vs Distance!PivotTable1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'Value vs Distance'!$B$3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'Value vs Distance'!$A$4:$A$35</c:f>
              <c:strCache>
                <c:ptCount val="3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30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242</c:v>
                </c:pt>
                <c:pt idx="11">
                  <c:v>78</c:v>
                </c:pt>
                <c:pt idx="12">
                  <c:v>31</c:v>
                </c:pt>
                <c:pt idx="13">
                  <c:v>185</c:v>
                </c:pt>
                <c:pt idx="14">
                  <c:v>192</c:v>
                </c:pt>
                <c:pt idx="15">
                  <c:v>214</c:v>
                </c:pt>
                <c:pt idx="16">
                  <c:v>16</c:v>
                </c:pt>
                <c:pt idx="17">
                  <c:v>212</c:v>
                </c:pt>
                <c:pt idx="18">
                  <c:v>173</c:v>
                </c:pt>
                <c:pt idx="19">
                  <c:v>22</c:v>
                </c:pt>
                <c:pt idx="20">
                  <c:v>36</c:v>
                </c:pt>
                <c:pt idx="21">
                  <c:v>219</c:v>
                </c:pt>
                <c:pt idx="22">
                  <c:v>280</c:v>
                </c:pt>
                <c:pt idx="23">
                  <c:v>33</c:v>
                </c:pt>
                <c:pt idx="24">
                  <c:v>34</c:v>
                </c:pt>
                <c:pt idx="25">
                  <c:v>261</c:v>
                </c:pt>
                <c:pt idx="26">
                  <c:v>191</c:v>
                </c:pt>
                <c:pt idx="27">
                  <c:v>142</c:v>
                </c:pt>
                <c:pt idx="28">
                  <c:v>181</c:v>
                </c:pt>
                <c:pt idx="29">
                  <c:v>197</c:v>
                </c:pt>
                <c:pt idx="30">
                  <c:v>199</c:v>
                </c:pt>
              </c:strCache>
            </c:strRef>
          </c:cat>
          <c:val>
            <c:numRef>
              <c:f>'Value vs Distance'!$B$4:$B$35</c:f>
              <c:numCache>
                <c:formatCode>_(* #,##0.0_);_(* \(#,##0.0\);_(* "-"??_);_(@_)</c:formatCode>
                <c:ptCount val="31"/>
                <c:pt idx="0">
                  <c:v>3.3144382085237769</c:v>
                </c:pt>
                <c:pt idx="1">
                  <c:v>3.9933263679976641</c:v>
                </c:pt>
                <c:pt idx="2">
                  <c:v>3.4648466968760996</c:v>
                </c:pt>
                <c:pt idx="3">
                  <c:v>3.6123139389835037</c:v>
                </c:pt>
                <c:pt idx="4">
                  <c:v>3.7873257849390982</c:v>
                </c:pt>
                <c:pt idx="5">
                  <c:v>3.9111228194553433</c:v>
                </c:pt>
                <c:pt idx="6">
                  <c:v>4.0837893717542189</c:v>
                </c:pt>
                <c:pt idx="7">
                  <c:v>2.8279473023050778</c:v>
                </c:pt>
                <c:pt idx="8">
                  <c:v>2.4914041456010141</c:v>
                </c:pt>
                <c:pt idx="9">
                  <c:v>5.1122399987887741</c:v>
                </c:pt>
                <c:pt idx="10">
                  <c:v>3.1592415502176467</c:v>
                </c:pt>
                <c:pt idx="11">
                  <c:v>1.7118942842108362</c:v>
                </c:pt>
                <c:pt idx="12">
                  <c:v>2.3355534136378986</c:v>
                </c:pt>
                <c:pt idx="13">
                  <c:v>1.9806572823521444</c:v>
                </c:pt>
                <c:pt idx="14">
                  <c:v>4.3910165793211551</c:v>
                </c:pt>
                <c:pt idx="15">
                  <c:v>2.1756492861835066</c:v>
                </c:pt>
                <c:pt idx="16">
                  <c:v>3.2550161820529029</c:v>
                </c:pt>
                <c:pt idx="17">
                  <c:v>3.3153418143156088</c:v>
                </c:pt>
                <c:pt idx="18">
                  <c:v>1.6586965466260193</c:v>
                </c:pt>
                <c:pt idx="19">
                  <c:v>3.5442544590973282</c:v>
                </c:pt>
                <c:pt idx="20">
                  <c:v>3.4568484332110025</c:v>
                </c:pt>
                <c:pt idx="21">
                  <c:v>4.4057018619305737</c:v>
                </c:pt>
                <c:pt idx="22">
                  <c:v>6.4675963612193046</c:v>
                </c:pt>
                <c:pt idx="23">
                  <c:v>3.4751160753568557</c:v>
                </c:pt>
                <c:pt idx="24">
                  <c:v>2.6999940434238066</c:v>
                </c:pt>
                <c:pt idx="25">
                  <c:v>3.141909522705495</c:v>
                </c:pt>
                <c:pt idx="26">
                  <c:v>4.67870335515354</c:v>
                </c:pt>
                <c:pt idx="27">
                  <c:v>4.2193180789950091</c:v>
                </c:pt>
                <c:pt idx="28">
                  <c:v>5.107427560684842</c:v>
                </c:pt>
                <c:pt idx="29">
                  <c:v>2.1341896758194152</c:v>
                </c:pt>
                <c:pt idx="30">
                  <c:v>1.5023914636662588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24928"/>
        <c:axId val="226598912"/>
      </c:lineChart>
      <c:catAx>
        <c:axId val="2153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98912"/>
        <c:crosses val="autoZero"/>
        <c:auto val="1"/>
        <c:lblAlgn val="ctr"/>
        <c:lblOffset val="100"/>
        <c:noMultiLvlLbl val="0"/>
      </c:catAx>
      <c:valAx>
        <c:axId val="22659891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2153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2</xdr:row>
      <xdr:rowOff>123824</xdr:rowOff>
    </xdr:from>
    <xdr:to>
      <xdr:col>9</xdr:col>
      <xdr:colOff>257174</xdr:colOff>
      <xdr:row>21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 Nambi" refreshedDate="41767.429941782408" createdVersion="4" refreshedVersion="4" minRefreshableVersion="3" recordCount="105">
  <cacheSource type="worksheet">
    <worksheetSource name="Table3"/>
  </cacheSource>
  <cacheFields count="25">
    <cacheField name="VIN" numFmtId="0">
      <sharedItems/>
    </cacheField>
    <cacheField name="Location" numFmtId="0">
      <sharedItems/>
    </cacheField>
    <cacheField name="MilesFromSeattle" numFmtId="0">
      <sharedItems containsSemiMixedTypes="0" containsString="0" containsNumber="1" containsInteger="1" minValue="0" maxValue="280" count="32">
        <n v="0"/>
        <n v="242"/>
        <n v="78"/>
        <n v="31"/>
        <n v="181"/>
        <n v="10"/>
        <n v="90"/>
        <n v="18"/>
        <n v="30"/>
        <n v="197"/>
        <n v="15"/>
        <n v="100"/>
        <n v="185"/>
        <n v="192"/>
        <n v="199"/>
        <n v="214"/>
        <n v="16"/>
        <n v="212"/>
        <n v="60"/>
        <n v="80"/>
        <n v="173"/>
        <n v="22"/>
        <n v="36"/>
        <n v="219"/>
        <n v="280"/>
        <n v="33"/>
        <n v="34"/>
        <n v="150"/>
        <n v="261"/>
        <n v="191"/>
        <n v="142"/>
        <n v="40" u="1"/>
      </sharedItems>
    </cacheField>
    <cacheField name="Car Type" numFmtId="0">
      <sharedItems/>
    </cacheField>
    <cacheField name="Price, Adj" numFmtId="164">
      <sharedItems containsSemiMixedTypes="0" containsString="0" containsNumber="1" containsInteger="1" minValue="13825" maxValue="20845"/>
    </cacheField>
    <cacheField name="Price, Raw" numFmtId="164">
      <sharedItems containsSemiMixedTypes="0" containsString="0" containsNumber="1" containsInteger="1" minValue="12975" maxValue="19995"/>
    </cacheField>
    <cacheField name="Mileage" numFmtId="165">
      <sharedItems containsSemiMixedTypes="0" containsString="0" containsNumber="1" containsInteger="1" minValue="7580" maxValue="91674"/>
    </cacheField>
    <cacheField name="Cost Rating, Adj" numFmtId="169">
      <sharedItems containsSemiMixedTypes="0" containsString="0" containsNumber="1" minValue="0" maxValue="0.33677140801151351"/>
    </cacheField>
    <cacheField name="Mile-Cost Rating Adj" numFmtId="169">
      <sharedItems containsSemiMixedTypes="0" containsString="0" containsNumber="1" minValue="0" maxValue="0.91305937814567217"/>
    </cacheField>
    <cacheField name="Mile-Cost Rating Raw" numFmtId="169">
      <sharedItems containsSemiMixedTypes="0" containsString="0" containsNumber="1" containsInteger="1" minValue="129716728" maxValue="1492015185"/>
    </cacheField>
    <cacheField name="Age-Cost Rating Adj" numFmtId="169">
      <sharedItems containsSemiMixedTypes="0" containsString="0" containsNumber="1" minValue="0" maxValue="0.61697579758809662"/>
    </cacheField>
    <cacheField name="Age-Cost Rating Raw" numFmtId="169">
      <sharedItems containsSemiMixedTypes="0" containsString="0" containsNumber="1" containsInteger="1" minValue="50532" maxValue="131929"/>
    </cacheField>
    <cacheField name="Warranty-Cost Rating Adj" numFmtId="169">
      <sharedItems containsSemiMixedTypes="0" containsString="0" containsNumber="1" minValue="0" maxValue="1"/>
    </cacheField>
    <cacheField name="Warranty-Cost Rating Raw" numFmtId="0">
      <sharedItems containsSemiMixedTypes="0" containsString="0" containsNumber="1" minValue="0" maxValue="1.7810496319164095E-4"/>
    </cacheField>
    <cacheField name="Good Deal Score" numFmtId="43">
      <sharedItems containsSemiMixedTypes="0" containsString="0" containsNumber="1" minValue="0.57588985590152619" maxValue="6.4675963612193046"/>
    </cacheField>
    <cacheField name="Color I Want?" numFmtId="169">
      <sharedItems/>
    </cacheField>
    <cacheField name="Color" numFmtId="0">
      <sharedItems/>
    </cacheField>
    <cacheField name="Certified Used?" numFmtId="0">
      <sharedItems containsSemiMixedTypes="0" containsString="0" containsNumber="1" containsInteger="1" minValue="0" maxValue="1"/>
    </cacheField>
    <cacheField name="Leather?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06" maxValue="2011"/>
    </cacheField>
    <cacheField name="URL" numFmtId="0">
      <sharedItems longText="1"/>
    </cacheField>
    <cacheField name="Age" numFmtId="0">
      <sharedItems containsSemiMixedTypes="0" containsString="0" containsNumber="1" containsInteger="1" minValue="3" maxValue="8"/>
    </cacheField>
    <cacheField name="Warranty Years Left" numFmtId="0">
      <sharedItems containsSemiMixedTypes="0" containsString="0" containsNumber="1" containsInteger="1" minValue="-1" maxValue="3"/>
    </cacheField>
    <cacheField name="Warranty Mileage Years Left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JTDKB20U077644620"/>
    <s v="128th &amp; Aurora"/>
    <x v="0"/>
    <s v="2007 Toyota Prius"/>
    <n v="15848"/>
    <n v="14998"/>
    <n v="26000"/>
    <n v="0.2397217558167426"/>
    <n v="0.72383122896969709"/>
    <n v="412048000"/>
    <n v="0.15912346792592991"/>
    <n v="110936"/>
    <n v="0"/>
    <n v="0"/>
    <n v="3.2042399286917096"/>
    <b v="0"/>
    <s v="White"/>
    <n v="0"/>
    <b v="0"/>
    <s v="Toyota Prius"/>
    <n v="2007"/>
    <s v="http://www.autotrader.com/fyc/vdp.jsp?ct=u&amp;car_id=311713125&amp;dealer_id=57977810&amp;car_year=2007&amp;systime=&amp;doors=&amp;model=CIVIC&amp;search_lang=en&amp;start_year=2006&amp;keywordsfyc=&amp;keywordsrep=&amp;highlightFirstMakeModel=&amp;search_type=both&amp;distance=200&amp;min_price=&amp;rdm=1325697923503&amp;drive=&amp;marketZipError=false&amp;advanced=y&amp;fuel=&amp;keywords_display=&amp;sownerid=575701&amp;lastBeginningStartYear=1981&amp;end_year=2010&amp;make3=TOYOTA&amp;showZipError=y&amp;make2=HONDA&amp;certified=&amp;engine=&amp;dma=SEATTLE-TACOMA_NO&amp;page_location=findacar%3A%3Aispsearchform&amp;body_code=0&amp;isFlashPlugin=true&amp;transmission=Automatic&amp;default_sort=mileageASC&amp;max_mileage=45000&amp;model3=PRIUS&amp;color=&amp;address=98133&amp;sort_type=mileageASC&amp;model2=FIT&amp;max_price=16000&amp;make=HONDA&amp;seller_type=b&amp;num_records=25&amp;cardist=1&amp;standard=false"/>
    <n v="7"/>
    <n v="0"/>
    <n v="8"/>
  </r>
  <r>
    <s v="JHMGE88489S011785"/>
    <s v="Albany, OR"/>
    <x v="1"/>
    <s v="2009 Honda Fit Sport"/>
    <n v="15990"/>
    <n v="15990"/>
    <n v="47877"/>
    <n v="0.23290957064044138"/>
    <n v="0.48689984009780707"/>
    <n v="765553230"/>
    <n v="0.39399222308969217"/>
    <n v="79950"/>
    <n v="0"/>
    <n v="0"/>
    <n v="3.1592415502176467"/>
    <b v="1"/>
    <s v="Blue"/>
    <n v="0"/>
    <b v="0"/>
    <s v="Honda Fit Sport"/>
    <n v="2009"/>
    <s v="http://www.autotrader.com/fyc/vdp.jsp?ct=u&amp;car_id=312100827&amp;dealer_id=66066249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17&amp;standard=false"/>
    <n v="5"/>
    <n v="1"/>
    <n v="7"/>
  </r>
  <r>
    <s v="JTDKN3DU0A0067935"/>
    <s v="Anacortes"/>
    <x v="2"/>
    <s v="2010 Toyota Prius"/>
    <n v="20725"/>
    <n v="19875"/>
    <n v="38368"/>
    <n v="5.7567762053249982E-3"/>
    <n v="0.46704510249337705"/>
    <n v="795176800"/>
    <n v="0.37163171099606607"/>
    <n v="82900"/>
    <n v="0"/>
    <n v="0"/>
    <n v="1.7118942842108362"/>
    <b v="0"/>
    <s v="Silver"/>
    <n v="0"/>
    <b v="0"/>
    <s v="Toyota Prius"/>
    <n v="2010"/>
    <s v="http://www.carsdirect.com/used_cars/vehicle-detail/ul352964933/toyota/prius?source=UsedCarListings"/>
    <n v="4"/>
    <n v="3"/>
    <n v="8"/>
  </r>
  <r>
    <s v="JTDKB20U883389305"/>
    <s v="Auburn, WA"/>
    <x v="3"/>
    <s v="2008 Toyota Prius (certified)"/>
    <n v="19848"/>
    <n v="18998"/>
    <n v="42997"/>
    <n v="4.7829215639242029E-2"/>
    <n v="0.42801892059831814"/>
    <n v="853404456"/>
    <n v="9.7332656201441714E-2"/>
    <n v="119088"/>
    <n v="0.28288324600295578"/>
    <n v="5.0382910116888354E-5"/>
    <n v="1.9034449394408834"/>
    <b v="0"/>
    <s v="Green"/>
    <n v="1"/>
    <b v="0"/>
    <s v="Toyota Prius"/>
    <n v="2008"/>
    <s v="http://www.toyotacertified.com/inventory/?SearchRadius=100&amp;SearchZipCode=98133&amp;SearchModel=Prius&amp;VehicleCategory=&amp;action=quicksearch#page17"/>
    <n v="6"/>
    <n v="1"/>
    <n v="8"/>
  </r>
  <r>
    <s v="JTDKB20UX83331051"/>
    <s v="Auburn, WA"/>
    <x v="3"/>
    <s v="2008 Toyota Prius"/>
    <n v="17850"/>
    <n v="17000"/>
    <n v="37736"/>
    <n v="0.14367953945790357"/>
    <n v="0.54853837496298674"/>
    <n v="673587600"/>
    <n v="0.18819971348225184"/>
    <n v="107100"/>
    <n v="0"/>
    <n v="0"/>
    <n v="2.3355534136378986"/>
    <b v="0"/>
    <s v="Silver"/>
    <n v="0"/>
    <b v="0"/>
    <s v="Toyota Prius"/>
    <n v="2008"/>
    <s v="https://usedcars.truecar.com/detail/cars/ob-NxS5sLSwC22wNAy7MLtrlht7e2uzkQaHg93JBhuU3bRJDw==/?pl=1&amp;csearch=1&amp;v_ref=aHR0cHM6Ly91c2VkY2Fycy50cnVlY2FyLmNvbS9jYXJzL3VzZWQtZm9yLXNhbGUtVG95b3RhLlByaXVzL2xvY2F0aW9uLUJlbGxldnVlLS1XQS9wcmljZS1taW4uMTcwMDAvbWlsZWFnZS1taW4uNDAwMDA%3D&amp;v_user=dHJ1ZWNhcg%3D%3D"/>
    <n v="6"/>
    <n v="1"/>
    <n v="8"/>
  </r>
  <r>
    <s v="JTDKB20U583341924 "/>
    <s v="Auburn, WA"/>
    <x v="3"/>
    <s v="2007 Toyota Prius"/>
    <n v="18847"/>
    <n v="17997"/>
    <n v="46367"/>
    <n v="9.5850323818661542E-2"/>
    <n v="0.41429627675002512"/>
    <n v="873878849"/>
    <n v="0"/>
    <n v="131929"/>
    <n v="0"/>
    <n v="0"/>
    <n v="1.4036944964120195"/>
    <b v="0"/>
    <s v="Silver"/>
    <n v="0"/>
    <b v="0"/>
    <s v="Toyota Prius"/>
    <n v="2007"/>
    <s v="http://www.autotrader.com/fyc/vdp.jsp?ct=u&amp;car_id=301306221&amp;dealer_id=72285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28&amp;standard=false"/>
    <n v="7"/>
    <n v="0"/>
    <n v="8"/>
  </r>
  <r>
    <s v="JHMGE8H59BC014638"/>
    <s v="Beaverton"/>
    <x v="4"/>
    <s v="2011 Honda Fit Sport (certified)"/>
    <n v="18827"/>
    <n v="17977"/>
    <n v="16109"/>
    <n v="9.6809786519549079E-2"/>
    <n v="0.79672851452916005"/>
    <n v="303284143"/>
    <n v="0.57188336150505203"/>
    <n v="56481"/>
    <n v="0.89467254474956182"/>
    <n v="1.5934562065119244E-4"/>
    <n v="5.107427560684842"/>
    <b v="0"/>
    <s v="Orange"/>
    <n v="1"/>
    <b v="0"/>
    <s v="Honda Fit Sport"/>
    <n v="2011"/>
    <s v="http://www.autotrader.com/fyc/vdp.jsp?ct=c&amp;car_id=311359584&amp;dealer_id=1149141&amp;car_year=2011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57&amp;standard=false"/>
    <n v="3"/>
    <n v="3"/>
    <n v="8"/>
  </r>
  <r>
    <s v="JTDKB20U477553415 "/>
    <s v="Beaverton"/>
    <x v="4"/>
    <s v="2007 Toyota Prius (certified)"/>
    <n v="16844"/>
    <n v="15994"/>
    <n v="57994"/>
    <n v="0.19194051331254502"/>
    <n v="0.34528083506066998"/>
    <n v="976850936"/>
    <n v="0.10627686103889211"/>
    <n v="117908"/>
    <n v="0"/>
    <n v="0"/>
    <n v="2.0547584720743943"/>
    <b v="0"/>
    <s v="Green"/>
    <n v="1"/>
    <b v="0"/>
    <s v="Toyota Prius"/>
    <n v="2007"/>
    <s v="http://www.autotrader.com/fyc/vdp.jsp?ct=c&amp;car_id=312975814&amp;dealer_id=1370479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57&amp;standard=false"/>
    <n v="7"/>
    <n v="0"/>
    <n v="6"/>
  </r>
  <r>
    <s v="JTDKB20U587765984 "/>
    <s v="Beaverton"/>
    <x v="4"/>
    <s v="2008 Toyota Prius"/>
    <n v="16995"/>
    <n v="16995"/>
    <n v="36100"/>
    <n v="0.18469656992084438"/>
    <n v="0.58879808585862348"/>
    <n v="613519500"/>
    <n v="0.22708426502133727"/>
    <n v="101970"/>
    <n v="0"/>
    <n v="0"/>
    <n v="2.7399441212849878"/>
    <b v="1"/>
    <s v="Blue"/>
    <n v="0"/>
    <b v="0"/>
    <s v="Toyota Prius"/>
    <n v="2008"/>
    <s v="http://www.autotrader.com/fyc/vdp.jsp?ct=u&amp;car_id=307743840&amp;dealer_id=557916&amp;car_year=2008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157&amp;standard=false"/>
    <n v="6"/>
    <n v="1"/>
    <n v="8"/>
  </r>
  <r>
    <s v="JTDKB20U983438706 "/>
    <s v="Beaverton"/>
    <x v="4"/>
    <s v="2008 Toyota Prius"/>
    <n v="18845"/>
    <n v="17995"/>
    <n v="46746"/>
    <n v="9.5946270088750341E-2"/>
    <n v="0.40957144481073093"/>
    <n v="880928370"/>
    <n v="0.14294810087243892"/>
    <n v="113070"/>
    <n v="0"/>
    <n v="0"/>
    <n v="1.6807167118988418"/>
    <b v="0"/>
    <s v="Gray"/>
    <n v="0"/>
    <b v="0"/>
    <s v="Toyota Prius"/>
    <n v="2008"/>
    <s v="http://www.autotrader.com/fyc/vdp.jsp?ct=u&amp;car_id=310663291&amp;dealer_id=557916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57&amp;standard=false"/>
    <n v="6"/>
    <n v="1"/>
    <n v="8"/>
  </r>
  <r>
    <s v="JHMGE884X9S027597 "/>
    <s v="Bellevue"/>
    <x v="5"/>
    <s v="2009 Honda Fit Sport"/>
    <n v="15841"/>
    <n v="14991"/>
    <n v="11599"/>
    <n v="0.24005756776205323"/>
    <n v="0.87685128084001374"/>
    <n v="183739759"/>
    <n v="0.39963919987265872"/>
    <n v="79205"/>
    <n v="0"/>
    <n v="0"/>
    <n v="3.9933263679976641"/>
    <b v="0"/>
    <s v="Black"/>
    <n v="0"/>
    <b v="0"/>
    <s v="Honda Fit Sport"/>
    <n v="2009"/>
    <s v="http://www.autotrader.com/fyc/vdp.jsp?ct=u&amp;car_id=300814205&amp;dealer_id=56346953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1&amp;standard=false"/>
    <n v="5"/>
    <n v="1"/>
    <n v="8"/>
  </r>
  <r>
    <s v="JHMGE88689S047123"/>
    <s v="Bellevue"/>
    <x v="5"/>
    <s v="2009 Honda Fit Sport"/>
    <n v="16888"/>
    <n v="16888"/>
    <n v="7681"/>
    <n v="0.18982969537059247"/>
    <n v="0.91305937814567217"/>
    <n v="129716728"/>
    <n v="0.3599587656997324"/>
    <n v="84440"/>
    <n v="0"/>
    <n v="0"/>
    <n v="3.6850144599143637"/>
    <b v="1"/>
    <s v="Red"/>
    <n v="0"/>
    <b v="0"/>
    <s v="Honda Fit Sport"/>
    <n v="2009"/>
    <s v="http://www.autotrader.com/fyc/vdp.jsp?ct=u&amp;car_id=313603078&amp;dealer_id=84285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1&amp;standard=false"/>
    <n v="5"/>
    <n v="1"/>
    <n v="8"/>
  </r>
  <r>
    <s v="JHMGE8H41AC005146 "/>
    <s v="Bellevue"/>
    <x v="5"/>
    <s v="2010 Honda Fit Sport"/>
    <n v="17841"/>
    <n v="16991"/>
    <n v="11312"/>
    <n v="0.144111297673303"/>
    <n v="0.86473502814919412"/>
    <n v="201817392"/>
    <n v="0.45907268303405624"/>
    <n v="71364"/>
    <n v="0"/>
    <n v="0"/>
    <n v="3.5122832084063189"/>
    <b v="0"/>
    <s v="Black"/>
    <n v="0"/>
    <b v="0"/>
    <s v="Honda Fit Sport"/>
    <n v="2010"/>
    <s v="http://www.autotrader.com/fyc/vdp.jsp?ct=u&amp;car_id=311035218&amp;dealer_id=571327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1&amp;standard=false"/>
    <n v="4"/>
    <n v="2"/>
    <n v="8"/>
  </r>
  <r>
    <s v="JHMGE8H44AC038772 "/>
    <s v="Bellevue"/>
    <x v="5"/>
    <s v="2010 Honda Fit Sport"/>
    <n v="17745"/>
    <n v="16895"/>
    <n v="18263"/>
    <n v="0.14871671863756297"/>
    <n v="0.78279246869729413"/>
    <n v="324076935"/>
    <n v="0.46198333952353154"/>
    <n v="70980"/>
    <n v="0"/>
    <n v="0"/>
    <n v="3.3818519282670287"/>
    <b v="0"/>
    <s v="White"/>
    <n v="0"/>
    <b v="0"/>
    <s v="Honda Fit Sport"/>
    <n v="2010"/>
    <s v="http://www.autotrader.com/fyc/vdp.jsp?ct=u&amp;car_id=312666359&amp;dealer_id=78694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4&amp;standard=false"/>
    <n v="4"/>
    <n v="2"/>
    <n v="8"/>
  </r>
  <r>
    <s v="JTDKB20U897848942"/>
    <s v="Bellevue"/>
    <x v="5"/>
    <s v="2009 Toyota Prius (certified)"/>
    <n v="17995"/>
    <n v="17995"/>
    <n v="66015"/>
    <n v="0.13672343487646921"/>
    <n v="0.20380171935046354"/>
    <n v="1187939925"/>
    <n v="0.31800438114440344"/>
    <n v="89975"/>
    <n v="0.62402519218301378"/>
    <n v="1.1114198388441234E-4"/>
    <n v="3.112003194614577"/>
    <b v="1"/>
    <s v="Blue"/>
    <n v="1"/>
    <b v="0"/>
    <s v="Toyota Prius"/>
    <n v="2009"/>
    <s v="http://www.toyotacertified.com/inventory/?SearchRadius=100&amp;SearchZipCode=98133&amp;SearchModel=Prius&amp;VehicleCategory=&amp;action=quicksearch#page44"/>
    <n v="5"/>
    <n v="2"/>
    <n v="5"/>
  </r>
  <r>
    <s v="JHMGE88429S026153 "/>
    <s v="Bellevue"/>
    <x v="5"/>
    <s v="2009 Honda Fit Sport"/>
    <n v="17488"/>
    <n v="17488"/>
    <n v="21195"/>
    <n v="0.16104581434396736"/>
    <n v="0.75157212625821901"/>
    <n v="370658160"/>
    <n v="0.33721926187570583"/>
    <n v="87440"/>
    <n v="0"/>
    <n v="0"/>
    <n v="3.1438576623316541"/>
    <b v="1"/>
    <s v="Blue"/>
    <n v="0"/>
    <b v="0"/>
    <s v="Honda Fit Sport"/>
    <n v="2009"/>
    <s v="http://www.autotrader.com/fyc/vdp.jsp?ct=u&amp;car_id=310026600&amp;dealer_id=78694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4&amp;standard=false"/>
    <n v="5"/>
    <n v="1"/>
    <n v="8"/>
  </r>
  <r>
    <s v="JTDKB20U473241666 "/>
    <s v="Bellevue"/>
    <x v="5"/>
    <s v="2007 Toyota Prius"/>
    <n v="14700"/>
    <n v="13850"/>
    <n v="46755"/>
    <n v="0.29479491484768527"/>
    <n v="0.53934885723029691"/>
    <n v="687298500"/>
    <n v="0.22003501883588905"/>
    <n v="102900"/>
    <n v="0"/>
    <n v="0"/>
    <n v="3.2875372412184838"/>
    <b v="0"/>
    <s v="Silver"/>
    <n v="0"/>
    <b v="0"/>
    <s v="Toyota Prius"/>
    <n v="2007"/>
    <s v="http://www.autotrader.com/fyc/vdp.jsp?ct=u&amp;car_id=313848598&amp;dealer_id=41805352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1&amp;standard=false"/>
    <n v="7"/>
    <n v="0"/>
    <n v="8"/>
  </r>
  <r>
    <s v="JTDKB20U577587220"/>
    <s v="Bellevue"/>
    <x v="5"/>
    <s v="2007 Toyota Prius"/>
    <n v="13845"/>
    <n v="12995"/>
    <n v="91674"/>
    <n v="0.33581194531062608"/>
    <n v="0.14932063509795979"/>
    <n v="1269226530"/>
    <n v="0.26540032896482202"/>
    <n v="96915"/>
    <n v="0"/>
    <n v="0"/>
    <n v="2.8443135999893201"/>
    <b v="0"/>
    <s v="White"/>
    <n v="0"/>
    <b v="0"/>
    <s v="Toyota Prius"/>
    <n v="2007"/>
    <s v="http://www.edmunds.com/inventory/used/vin.html?vin=JTDKB20U577587220&amp;radius=50&amp;make=Toyota&amp;model=Prius&amp;year=2007&amp;defaultType=&amp;mode=&amp;invtype=USED"/>
    <n v="7"/>
    <n v="0"/>
    <n v="1"/>
  </r>
  <r>
    <s v="JTDKB20U167531872"/>
    <s v="Bellevue"/>
    <x v="5"/>
    <s v="2006 Toyota Prius"/>
    <n v="13995"/>
    <n v="13995"/>
    <n v="83458"/>
    <n v="0.32861597505396978"/>
    <n v="0.21716968986478513"/>
    <n v="1167994710"/>
    <n v="0.15136171728732883"/>
    <n v="111960"/>
    <n v="0"/>
    <n v="0"/>
    <n v="2.7087586646280464"/>
    <b v="1"/>
    <s v="Red"/>
    <n v="0"/>
    <b v="0"/>
    <s v="Toyota Prius"/>
    <n v="2006"/>
    <s v="http://www.edmunds.com/inventory/used/vin.html?vin=JTDKB20U167531872&amp;radius=50&amp;make=Toyota&amp;model=Prius&amp;year=2006&amp;defaultType=&amp;mode=&amp;invtype=USED"/>
    <n v="8"/>
    <n v="-1"/>
    <n v="2"/>
  </r>
  <r>
    <s v="JTDKB20U893466062 "/>
    <s v="Bellevue"/>
    <x v="5"/>
    <s v="2009 Toyota Prius"/>
    <n v="18549"/>
    <n v="17699"/>
    <n v="36998"/>
    <n v="0.11014631806188535"/>
    <n v="0.54003423765422331"/>
    <n v="686275902"/>
    <n v="0.29700823928021891"/>
    <n v="92745"/>
    <n v="0"/>
    <n v="0"/>
    <n v="2.3349628622401966"/>
    <b v="0"/>
    <s v="White"/>
    <n v="0"/>
    <b v="0"/>
    <s v="Toyota Prius"/>
    <n v="2009"/>
    <s v="http://www.autotrader.com/fyc/vdp.jsp?ct=u&amp;car_id=312718892&amp;dealer_id=566660&amp;car_year=2009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11&amp;standard=true"/>
    <n v="5"/>
    <n v="2"/>
    <n v="8"/>
  </r>
  <r>
    <s v="JTDKB20U287695215"/>
    <s v="Bellevue"/>
    <x v="5"/>
    <s v="2008 Toyota Prius"/>
    <n v="15838"/>
    <n v="14988"/>
    <n v="74440"/>
    <n v="0.24020148716718637"/>
    <n v="0.20980648732472518"/>
    <n v="1178980720"/>
    <n v="0.27970347687013475"/>
    <n v="95028"/>
    <n v="0"/>
    <n v="0"/>
    <n v="2.4202288513928378"/>
    <b v="0"/>
    <s v="Green"/>
    <n v="0"/>
    <b v="0"/>
    <s v="Toyota Prius"/>
    <n v="2008"/>
    <s v="http://www.carsdirect.com/used_cars/vehicle-detail/ul401580934/toyota/prius?source=UsedCarListings"/>
    <n v="6"/>
    <n v="1"/>
    <n v="4"/>
  </r>
  <r>
    <s v="JTDKB20U077618258"/>
    <s v="Bellevue"/>
    <x v="5"/>
    <s v="2007 Toyota Prius (certified)"/>
    <n v="18845"/>
    <n v="17995"/>
    <n v="31279"/>
    <n v="9.5946270088750341E-2"/>
    <n v="0.60492844782943678"/>
    <n v="589452755"/>
    <n v="1.0611768451207482E-4"/>
    <n v="131915"/>
    <n v="0"/>
    <n v="0"/>
    <n v="1.7857467515603997"/>
    <b v="0"/>
    <s v="Silver"/>
    <n v="1"/>
    <b v="0"/>
    <s v="Toyota Prius"/>
    <n v="2007"/>
    <s v="http://www.toyotacertified.com/inventory/?SearchRadius=100&amp;SearchZipCode=98133&amp;SearchModel=Prius&amp;VehicleCategory=&amp;action=quicksearch#page8"/>
    <n v="7"/>
    <n v="0"/>
    <n v="8"/>
  </r>
  <r>
    <s v="JTDKB20U583391819 "/>
    <s v="Bellevue"/>
    <x v="5"/>
    <s v="2008 Toyota Prius"/>
    <n v="19338"/>
    <n v="18488"/>
    <n v="41028"/>
    <n v="7.2295514511873327E-2"/>
    <n v="0.46823633433730771"/>
    <n v="793399464"/>
    <n v="0.1205269501019488"/>
    <n v="116028"/>
    <n v="0"/>
    <n v="0"/>
    <n v="1.611299655949753"/>
    <b v="0"/>
    <s v="Gray"/>
    <n v="0"/>
    <b v="1"/>
    <s v="Toyota Prius"/>
    <n v="2008"/>
    <s v="http://www.autotrader.com/fyc/vdp.jsp?ct=u&amp;car_id=312826563&amp;dealer_id=78694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4&amp;standard=false"/>
    <n v="6"/>
    <n v="1"/>
    <n v="8"/>
  </r>
  <r>
    <s v="JTDKN3DU0A0045577"/>
    <s v="Bellevue"/>
    <x v="5"/>
    <s v="2010 Toyota Prius"/>
    <n v="20845"/>
    <n v="19995"/>
    <n v="52179"/>
    <n v="0"/>
    <n v="0.27100523779186603"/>
    <n v="1087671255"/>
    <n v="0.36799339038422185"/>
    <n v="83380"/>
    <n v="0"/>
    <n v="0"/>
    <n v="1.2779972563521758"/>
    <b v="0"/>
    <s v="Gold"/>
    <n v="0"/>
    <b v="1"/>
    <s v="Toyota Prius"/>
    <n v="2010"/>
    <s v="http://www.edmunds.com/inventory/used/vin.html?vin=JTDKN3DU0A0045577&amp;radius=50&amp;make=Toyota&amp;model=Prius&amp;year=2010&amp;defaultType=&amp;mode=&amp;invtype=USED"/>
    <n v="4"/>
    <n v="3"/>
    <n v="7"/>
  </r>
  <r>
    <s v="JTDKB20U463166451"/>
    <s v="Bellevue"/>
    <x v="5"/>
    <s v="2007 Toyota Prius"/>
    <n v="17845"/>
    <n v="16995"/>
    <n v="70024"/>
    <n v="0.1439194051331254"/>
    <n v="0.16248956943424142"/>
    <n v="1249578280"/>
    <n v="5.316495994057413E-2"/>
    <n v="124915"/>
    <n v="0"/>
    <n v="0"/>
    <n v="1.2948254895483835"/>
    <b v="0"/>
    <s v="Black"/>
    <n v="0"/>
    <b v="0"/>
    <s v="Toyota Prius"/>
    <n v="2007"/>
    <s v="http://www.edmunds.com/inventory/used/vin.html?vin=JTDKB20U463166451&amp;radius=50&amp;make=Toyota&amp;model=Prius&amp;year=2006&amp;defaultType=&amp;mode=&amp;invtype=USED"/>
    <n v="7"/>
    <n v="0"/>
    <n v="4"/>
  </r>
  <r>
    <s v="JHMGD38618S047209 "/>
    <s v="Bellingham"/>
    <x v="6"/>
    <s v="2008 Honda Fit Sport"/>
    <n v="16728"/>
    <n v="15878"/>
    <n v="37262"/>
    <n v="0.19750539697769254"/>
    <n v="0.58223030015609389"/>
    <n v="623318736"/>
    <n v="0.23922716006336742"/>
    <n v="100368"/>
    <n v="0"/>
    <n v="0"/>
    <n v="2.8279473023050778"/>
    <b v="0"/>
    <s v="Black"/>
    <n v="0"/>
    <b v="0"/>
    <s v="Honda Fit Sport"/>
    <n v="2008"/>
    <s v="http://www.autotrader.com/fyc/vdp.jsp?ct=c&amp;car_id=308465769&amp;dealer_id=1391122&amp;car_year=2008&amp;model=CIVIC&amp;pager.offset=25&amp;search_lang=en&amp;start_year=2006&amp;search_type=both&amp;distance=200&amp;rdm=1325697923503&amp;marketZipError=false&amp;advanced=y&amp;sownerid=575701&amp;lastBeginningStartYear=1981&amp;end_year=2010&amp;make3=TOYOTA&amp;showZipError=y&amp;make2=HONDA&amp;dma=SEATTLE-TACOMA_NO&amp;page_location=findacar%3A%3Aispsearchform&amp;body_code=0&amp;first_record=26&amp;transmission=Automatic&amp;isFlashPlugin=true&amp;default_sort=mileageASC&amp;max_mileage=45000&amp;model3=PRIUS&amp;address=98133&amp;sort_type=mileageASC&amp;model2=FIT&amp;max_price=16000&amp;make=HONDA&amp;num_records=25&amp;seller_type=b&amp;cardist=71&amp;standard=false"/>
    <n v="6"/>
    <n v="0"/>
    <n v="8"/>
  </r>
  <r>
    <s v="JHMGE88479S062534 "/>
    <s v="Bellingham"/>
    <x v="6"/>
    <s v="2009 Honda Fit Sport"/>
    <n v="17850"/>
    <n v="17000"/>
    <n v="36236"/>
    <n v="0.14367953945790357"/>
    <n v="0.56648390277609673"/>
    <n v="646812600"/>
    <n v="0.32349976123520985"/>
    <n v="89250"/>
    <n v="0"/>
    <n v="0"/>
    <n v="2.6420445647700346"/>
    <b v="0"/>
    <s v="White"/>
    <n v="0"/>
    <b v="0"/>
    <s v="Honda Fit Sport"/>
    <n v="2009"/>
    <s v="http://www.autotrader.com/fyc/vdp.jsp?ct=u&amp;car_id=312047636&amp;dealer_id=63767093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71&amp;standard=false"/>
    <n v="5"/>
    <n v="1"/>
    <n v="8"/>
  </r>
  <r>
    <s v="JHMGE8H44AS002926 "/>
    <s v="Bothell"/>
    <x v="7"/>
    <s v="2010 Honda Fit Sport"/>
    <n v="17105"/>
    <n v="16255"/>
    <n v="18622"/>
    <n v="0.17941952506596304"/>
    <n v="0.78651067817382836"/>
    <n v="318529310"/>
    <n v="0.48138771612003428"/>
    <n v="68420"/>
    <n v="0"/>
    <n v="0"/>
    <n v="3.6123139389835037"/>
    <b v="0"/>
    <s v="Gray"/>
    <n v="0"/>
    <b v="0"/>
    <s v="Honda Fit Sport"/>
    <n v="2010"/>
    <s v="http://www.autotrader.com/fyc/vdp.jsp?ct=u&amp;car_id=304434780&amp;dealer_id=1048236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6&amp;standard=false"/>
    <n v="4"/>
    <n v="2"/>
    <n v="8"/>
  </r>
  <r>
    <s v="JTDKB20U677639955 "/>
    <s v="Bothell"/>
    <x v="7"/>
    <s v="2007 Toyota Prius"/>
    <n v="16775"/>
    <n v="15925"/>
    <n v="55884"/>
    <n v="0.19525065963060684"/>
    <n v="0.37168595237856106"/>
    <n v="937454100"/>
    <n v="0.10993792115456036"/>
    <n v="117425"/>
    <n v="0"/>
    <n v="0"/>
    <n v="2.1347517048498839"/>
    <b v="0"/>
    <s v="Gold"/>
    <n v="0"/>
    <b v="0"/>
    <s v="Toyota Prius"/>
    <n v="2007"/>
    <s v="http://www.autotrader.com/fyc/vdp.jsp?ct=u&amp;car_id=313340458&amp;dealer_id=1048236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6&amp;standard=false"/>
    <n v="7"/>
    <n v="0"/>
    <n v="6"/>
  </r>
  <r>
    <s v="JTDKB20U093506487"/>
    <s v="Bremerton"/>
    <x v="8"/>
    <s v="2009 Toyota Prius (certified)"/>
    <n v="16849"/>
    <n v="15999"/>
    <n v="62814"/>
    <n v="0.19170064763732308"/>
    <n v="0.29065528512030525"/>
    <n v="1058353086"/>
    <n v="0.36143683344829414"/>
    <n v="84245"/>
    <n v="0.66646883098898058"/>
    <n v="1.1870140661166835E-4"/>
    <n v="3.7873257849390982"/>
    <b v="0"/>
    <s v="Green"/>
    <n v="1"/>
    <b v="0"/>
    <s v="Toyota Prius"/>
    <n v="2009"/>
    <s v="http://www.toyotacertified.com/inventory/?SearchRadius=100&amp;SearchZipCode=98133&amp;SearchModel=Prius&amp;VehicleCategory=&amp;action=quicksearch#page32"/>
    <n v="5"/>
    <n v="2"/>
    <n v="5"/>
  </r>
  <r>
    <s v="JTDKB20U297823261"/>
    <s v="Bremerton"/>
    <x v="8"/>
    <s v="2009 Toyota Prius"/>
    <n v="20845"/>
    <n v="19995"/>
    <n v="39585"/>
    <n v="0"/>
    <n v="0.44695648322104709"/>
    <n v="825149325"/>
    <n v="0.20999173798027726"/>
    <n v="104225"/>
    <n v="0"/>
    <n v="0"/>
    <n v="1.3138964424026487"/>
    <b v="0"/>
    <s v="White"/>
    <n v="0"/>
    <b v="0"/>
    <s v="Toyota Prius"/>
    <n v="2009"/>
    <s v="http://www.carsdirect.com/used_cars/vehicle-detail/ul408837433/toyota/prius?source=UsedCarListings"/>
    <n v="5"/>
    <n v="2"/>
    <n v="8"/>
  </r>
  <r>
    <s v="JTDKB20U593512849 "/>
    <s v="Cornelius, OR"/>
    <x v="9"/>
    <s v="2009 Toyota Prius"/>
    <n v="17838"/>
    <n v="16988"/>
    <n v="57682"/>
    <n v="0.14425521707843603"/>
    <n v="0.31037463536270915"/>
    <n v="1028931516"/>
    <n v="0.32395455131169038"/>
    <n v="89190"/>
    <n v="0"/>
    <n v="0"/>
    <n v="2.1341896758194152"/>
    <b v="0"/>
    <s v="Silver"/>
    <n v="0"/>
    <b v="0"/>
    <s v="Toyota Prius"/>
    <n v="2009"/>
    <s v="http://www.autotrader.com/fyc/vdp.jsp?ct=u&amp;car_id=312118859&amp;dealer_id=64974457&amp;car_year=2009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57&amp;standard=false"/>
    <n v="5"/>
    <n v="2"/>
    <n v="6"/>
  </r>
  <r>
    <s v="JHMGE88419S073125 "/>
    <s v="Edmonds"/>
    <x v="10"/>
    <s v="2009 Honda Fit Sport (certified)"/>
    <n v="17055"/>
    <n v="16205"/>
    <n v="43380"/>
    <n v="0.18181818181818177"/>
    <n v="0.50412977867916275"/>
    <n v="739845900"/>
    <n v="0.353629603802045"/>
    <n v="85275"/>
    <n v="0.32920942050229651"/>
    <n v="5.8633831720902964E-5"/>
    <n v="3.4648466968760996"/>
    <b v="0"/>
    <s v="Black"/>
    <n v="1"/>
    <b v="0"/>
    <s v="Honda Fit Sport"/>
    <n v="2009"/>
    <s v="http://www.autotrader.com/fyc/vdp.jsp?ct=c&amp;car_id=310456699&amp;dealer_id=143062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5&amp;standard=false"/>
    <n v="5"/>
    <n v="1"/>
    <n v="8"/>
  </r>
  <r>
    <s v="JTDKB20U983363425"/>
    <s v="Edmonds"/>
    <x v="10"/>
    <s v="2008 Toyota Prius (certified)"/>
    <n v="16990"/>
    <n v="16990"/>
    <n v="65456"/>
    <n v="0.18493643559606621"/>
    <n v="0.25463396674478211"/>
    <n v="1112097440"/>
    <n v="0.22731166005957748"/>
    <n v="101940"/>
    <n v="0.33046890327643708"/>
    <n v="5.8858151854031782E-5"/>
    <n v="2.7344476737379906"/>
    <b v="1"/>
    <s v="Red"/>
    <n v="1"/>
    <b v="0"/>
    <s v="Toyota Prius"/>
    <n v="2008"/>
    <s v="http://www.toyotacertified.com/inventory/?SearchRadius=100&amp;SearchZipCode=98133&amp;SearchModel=Prius&amp;VehicleCategory=&amp;action=quicksearch#page7"/>
    <n v="6"/>
    <n v="1"/>
    <n v="5"/>
  </r>
  <r>
    <s v="JTDKB20U993507525 "/>
    <s v="Edmonds"/>
    <x v="10"/>
    <s v="2009 Toyota Prius (certified)"/>
    <n v="19840"/>
    <n v="18990"/>
    <n v="44243"/>
    <n v="4.8213000719596999E-2"/>
    <n v="0.41168084023219909"/>
    <n v="877781120"/>
    <n v="0.2480804068855218"/>
    <n v="99200"/>
    <n v="0.56599462365591391"/>
    <n v="1.0080645161290323E-4"/>
    <n v="2.740789745864852"/>
    <b v="0"/>
    <s v="White"/>
    <n v="1"/>
    <b v="0"/>
    <s v="Toyota Prius"/>
    <n v="2009"/>
    <s v="http://www.autotrader.com/fyc/vdp.jsp?ct=c&amp;car_id=310988775&amp;dealer_id=72505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5&amp;standard=false"/>
    <n v="5"/>
    <n v="2"/>
    <n v="8"/>
  </r>
  <r>
    <s v="JTDKB20U283438742"/>
    <s v="Edmonds"/>
    <x v="10"/>
    <s v="2008 Toyota Prius (certified)"/>
    <n v="19845"/>
    <n v="18995"/>
    <n v="63855"/>
    <n v="4.797313504437517E-2"/>
    <n v="0.15067722651897808"/>
    <n v="1267202475"/>
    <n v="9.7469093224385794E-2"/>
    <n v="119070"/>
    <n v="0.28292600991013689"/>
    <n v="5.0390526581002771E-5"/>
    <n v="1.3499834695732524"/>
    <b v="0"/>
    <s v="Gray"/>
    <n v="1"/>
    <b v="1"/>
    <s v="Toyota Prius"/>
    <n v="2008"/>
    <s v="http://www.toyotacertified.com/inventory/?SearchRadius=100&amp;SearchZipCode=98133&amp;SearchModel=Prius&amp;VehicleCategory=&amp;action=quicksearch#page6"/>
    <n v="6"/>
    <n v="1"/>
    <n v="5"/>
  </r>
  <r>
    <s v="JTDKN3DUXA0060216 "/>
    <s v="Edmonds"/>
    <x v="10"/>
    <s v="2010 Toyota Prius"/>
    <n v="20845"/>
    <n v="19995"/>
    <n v="47319"/>
    <n v="0"/>
    <n v="0.33890447971546611"/>
    <n v="986364555"/>
    <n v="0.36799339038422185"/>
    <n v="83380"/>
    <n v="0"/>
    <n v="0"/>
    <n v="1.4137957401993759"/>
    <b v="0"/>
    <s v="White"/>
    <n v="0"/>
    <b v="1"/>
    <s v="Toyota Prius"/>
    <n v="2010"/>
    <s v="http://www.edmunds.com/inventory/used/vin.html?vin=JTDKN3DUXA0060216&amp;radius=50&amp;make=Toyota&amp;model=Prius&amp;year=2010&amp;defaultType=&amp;mode=&amp;invtype=USED"/>
    <n v="4"/>
    <n v="3"/>
    <n v="7"/>
  </r>
  <r>
    <s v="JTDKB20U173293434 "/>
    <s v="Ellensburg"/>
    <x v="11"/>
    <s v="2007 Toyota Prius"/>
    <n v="15845"/>
    <n v="14995"/>
    <n v="59622"/>
    <n v="0.23986567522187574"/>
    <n v="0.3668224026821818"/>
    <n v="944710590"/>
    <n v="0.15928264445269802"/>
    <n v="110915"/>
    <n v="0"/>
    <n v="0"/>
    <n v="2.4914041456010141"/>
    <b v="0"/>
    <s v="Silver"/>
    <n v="0"/>
    <b v="0"/>
    <s v="Toyota Prius"/>
    <n v="2007"/>
    <s v="http://www.autotrader.com/fyc/vdp.jsp?ct=u&amp;car_id=312342397&amp;dealer_id=577669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98&amp;standard=false"/>
    <n v="7"/>
    <n v="0"/>
    <n v="6"/>
  </r>
  <r>
    <s v="JTDKB20U887714463"/>
    <s v="Everett"/>
    <x v="8"/>
    <s v="2008 Toyota Prius (certified)"/>
    <n v="18674"/>
    <n v="18674"/>
    <n v="44592"/>
    <n v="0.10414967618133841"/>
    <n v="0.4418883826574459"/>
    <n v="832711008"/>
    <n v="0.15072501118025605"/>
    <n v="112044"/>
    <n v="0.30066759487344252"/>
    <n v="5.3550390917853698E-5"/>
    <n v="2.4114600345103194"/>
    <b v="1"/>
    <s v="Blue"/>
    <n v="1"/>
    <b v="1"/>
    <s v="Toyota Prius"/>
    <n v="2008"/>
    <s v="http://www.edmunds.com/inventory/used/vin.html?vin=JTDKB20U887714463&amp;radius=50&amp;make=Toyota&amp;model=Prius&amp;year=2008&amp;defaultType=&amp;mode=&amp;invtype=USED"/>
    <n v="6"/>
    <n v="1"/>
    <n v="8"/>
  </r>
  <r>
    <s v="JHMGE88439S040241"/>
    <s v="Everett"/>
    <x v="8"/>
    <s v="2009 Honda Fit Sport"/>
    <n v="17828"/>
    <n v="16978"/>
    <n v="36000"/>
    <n v="0.14473494842887979"/>
    <n v="0.56983815818201611"/>
    <n v="641808000"/>
    <n v="0.32433354304209083"/>
    <n v="89140"/>
    <n v="0"/>
    <n v="0"/>
    <n v="2.6567530930214929"/>
    <b v="0"/>
    <s v="Silver"/>
    <n v="0"/>
    <b v="0"/>
    <s v="Honda Fit Sport"/>
    <n v="2009"/>
    <s v="http://www.autotrader.com/fyc/vdp.jsp?ct=u&amp;car_id=313840031&amp;dealer_id=91617&amp;car_year=2009&amp;model=FIT&amp;pager.offset=25&amp;search_lang=en&amp;start_year=2009&amp;keywordsrep=099114117105115101&amp;keywordsfyc=__Y3J1aXNl__&amp;scarid=302980833&amp;search_type=both&amp;distance=200&amp;rdm=1326246216398&amp;marketZipError=false&amp;advanced=y&amp;keywords_display=cruise&amp;lastBeginningStartYear=1981&amp;end_year=2013&amp;showZipError=y&amp;dma=SEATTLE-TACOMA_NO&amp;page_location=findacar%3A%3Aispsearchform&amp;body_code=0&amp;first_record=26&amp;transmission=Automatic&amp;isFlashPlugin=true&amp;default_sort=priceASC&amp;max_mileage=75000&amp;address=98133&amp;sort_type=priceASC&amp;max_price=18000&amp;make=HONDA&amp;num_records=25&amp;seller_type=b&amp;cardist=13&amp;standard=false"/>
    <n v="5"/>
    <n v="1"/>
    <n v="8"/>
  </r>
  <r>
    <s v="JTDKB20U883444948"/>
    <s v="Everett"/>
    <x v="8"/>
    <s v="2008 Toyota Prius (certified)"/>
    <n v="17800"/>
    <n v="16950"/>
    <n v="72253"/>
    <n v="0.1460781962101223"/>
    <n v="0.13800917515460809"/>
    <n v="1286103400"/>
    <n v="0.19047366386465447"/>
    <n v="106800"/>
    <n v="0.31543071161048691"/>
    <n v="5.6179775280898879E-5"/>
    <n v="2.1642962785202329"/>
    <b v="0"/>
    <s v="Silver"/>
    <n v="1"/>
    <b v="0"/>
    <s v="Toyota Prius"/>
    <n v="2008"/>
    <s v="http://www.toyotacertified.com/inventory/?SearchRadius=100&amp;SearchZipCode=98133&amp;SearchModel=Prius&amp;VehicleCategory=&amp;action=quicksearch#page36"/>
    <n v="6"/>
    <n v="1"/>
    <n v="4"/>
  </r>
  <r>
    <s v="JTDKB20U283344988"/>
    <s v="Everett"/>
    <x v="8"/>
    <s v="2008 Toyota Prius"/>
    <n v="19790"/>
    <n v="18940"/>
    <n v="62837"/>
    <n v="5.061165747181573E-2"/>
    <n v="0.16653379771064458"/>
    <n v="1243544230"/>
    <n v="9.9970438645028747E-2"/>
    <n v="118740"/>
    <n v="0"/>
    <n v="0"/>
    <n v="0.83667841754224104"/>
    <b v="0"/>
    <s v="Gray"/>
    <n v="0"/>
    <b v="1"/>
    <s v="Toyota Prius"/>
    <n v="2008"/>
    <s v="http://www.edmunds.com/inventory/used/vin.html?vin=JTDKB20U283344988&amp;radius=50&amp;make=Toyota&amp;model=Prius&amp;year=2008&amp;defaultType=&amp;mode=&amp;invtype=USED"/>
    <n v="6"/>
    <n v="1"/>
    <n v="5"/>
  </r>
  <r>
    <s v="JTDKB20U587759098 "/>
    <s v="Gladtone"/>
    <x v="12"/>
    <s v="2008 Toyota Prius"/>
    <n v="17988"/>
    <n v="17988"/>
    <n v="49997"/>
    <n v="0.13705924682177983"/>
    <n v="0.39722729028391224"/>
    <n v="899346036"/>
    <n v="0.18192361042682048"/>
    <n v="107928"/>
    <n v="0"/>
    <n v="0"/>
    <n v="1.9806572823521444"/>
    <b v="1"/>
    <s v="Blue"/>
    <n v="0"/>
    <b v="0"/>
    <s v="Toyota Prius"/>
    <n v="2008"/>
    <s v="http://www.autotrader.com/fyc/vdp.jsp?ct=u&amp;car_id=308041072&amp;dealer_id=66673309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64&amp;standard=false"/>
    <n v="6"/>
    <n v="1"/>
    <n v="7"/>
  </r>
  <r>
    <s v="JHMGE8H29AC011789 "/>
    <s v="Hillsboro"/>
    <x v="13"/>
    <s v="2010 Honda Fit Sport (certified)"/>
    <n v="17845"/>
    <n v="16995"/>
    <n v="27129"/>
    <n v="0.1439194051331254"/>
    <n v="0.67552809792616153"/>
    <n v="484117005"/>
    <n v="0.45895140568032811"/>
    <n v="71380"/>
    <n v="0.62927057065471192"/>
    <n v="1.1207621182404035E-4"/>
    <n v="4.3910165793211551"/>
    <b v="0"/>
    <s v="White"/>
    <n v="1"/>
    <b v="0"/>
    <s v="Honda Fit Sport"/>
    <n v="2010"/>
    <s v="http://www.autotrader.com/fyc/vdp.jsp?ct=c&amp;car_id=312203296&amp;dealer_id=568287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56&amp;standard=false"/>
    <n v="4"/>
    <n v="2"/>
    <n v="8"/>
  </r>
  <r>
    <s v="JTDKN3DU6A0153265 "/>
    <s v="Hillsboro"/>
    <x v="13"/>
    <s v="2010 Toyota Prius"/>
    <n v="18849"/>
    <n v="17999"/>
    <n v="42461"/>
    <n v="9.5754377548572744E-2"/>
    <n v="0.46357959553876793"/>
    <n v="800347389"/>
    <n v="0.42851078989456448"/>
    <n v="75396"/>
    <n v="0"/>
    <n v="0"/>
    <n v="2.3587070361581013"/>
    <b v="0"/>
    <s v="Silver"/>
    <n v="0"/>
    <b v="0"/>
    <s v="Toyota Prius"/>
    <n v="2010"/>
    <s v="http://www.autotrader.com/fyc/vdp.jsp?ct=u&amp;car_id=310937281&amp;dealer_id=52454684&amp;car_year=2010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156&amp;standard=false"/>
    <n v="4"/>
    <n v="3"/>
    <n v="8"/>
  </r>
  <r>
    <s v="JTDKB20U583311449 "/>
    <s v="Hubbard (between Pdx and Salem)"/>
    <x v="14"/>
    <s v="2008 Toyota Prius"/>
    <n v="19849"/>
    <n v="18999"/>
    <n v="36790"/>
    <n v="4.7781242504197685E-2"/>
    <n v="0.51056482712674267"/>
    <n v="730244710"/>
    <n v="9.728717719379365E-2"/>
    <n v="119094"/>
    <n v="0"/>
    <n v="0"/>
    <n v="1.5023914636662588"/>
    <b v="0"/>
    <s v="Gray"/>
    <n v="0"/>
    <b v="0"/>
    <s v="Toyota Prius"/>
    <n v="2008"/>
    <s v="http://www.autotrader.com/fyc/vdp.jsp?ct=u&amp;car_id=299030787&amp;dealer_id=573546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78&amp;standard=false"/>
    <n v="6"/>
    <n v="1"/>
    <n v="8"/>
  </r>
  <r>
    <s v="JTDKB20U183398248 "/>
    <s v="Kennewick"/>
    <x v="15"/>
    <s v="2008 Toyota Prius"/>
    <n v="19848"/>
    <n v="18998"/>
    <n v="11501"/>
    <n v="4.7829215639242029E-2"/>
    <n v="0.84700433997258551"/>
    <n v="228271848"/>
    <n v="9.7332656201441714E-2"/>
    <n v="119088"/>
    <n v="0"/>
    <n v="0"/>
    <n v="2.1756492861835066"/>
    <b v="0"/>
    <s v="Silver"/>
    <n v="0"/>
    <b v="0"/>
    <s v="Toyota Prius"/>
    <n v="2008"/>
    <s v="http://www.autotrader.com/fyc/vdp.jsp?ct=u&amp;car_id=300870828&amp;dealer_id=82055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83&amp;standard=false"/>
    <n v="6"/>
    <n v="1"/>
    <n v="8"/>
  </r>
  <r>
    <s v="JTDKB20U683324985 "/>
    <s v="Kennewick"/>
    <x v="15"/>
    <s v="2008 Toyota Prius"/>
    <n v="17848"/>
    <n v="16998"/>
    <n v="46238"/>
    <n v="0.14377548572799237"/>
    <n v="0.44688510392070846"/>
    <n v="825255824"/>
    <n v="0.18829067149754797"/>
    <n v="107088"/>
    <n v="0"/>
    <n v="0"/>
    <n v="2.1330044652044671"/>
    <b v="0"/>
    <s v="Gray"/>
    <n v="0"/>
    <b v="1"/>
    <s v="Toyota Prius"/>
    <n v="2008"/>
    <s v="http://www.autotrader.com/fyc/vdp.jsp?ct=u&amp;car_id=312382471&amp;dealer_id=82055&amp;car_year=2008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83&amp;standard=false"/>
    <n v="6"/>
    <n v="1"/>
    <n v="8"/>
  </r>
  <r>
    <s v="JHMGE8H41AC008922 "/>
    <s v="Kirkland"/>
    <x v="5"/>
    <s v="2010 Honda Fit Sport"/>
    <n v="17349"/>
    <n v="16499"/>
    <n v="19615"/>
    <n v="0.16771408011513556"/>
    <n v="0.77191878579975715"/>
    <n v="340300635"/>
    <n v="0.47398979754261761"/>
    <n v="69396"/>
    <n v="0"/>
    <n v="0"/>
    <n v="3.4981016473755631"/>
    <b v="0"/>
    <s v="Silver"/>
    <n v="0"/>
    <b v="0"/>
    <s v="Honda Fit Sport"/>
    <n v="2010"/>
    <s v="http://www.autotrader.com/fyc/vdp.jsp?ct=u&amp;car_id=310886836&amp;dealer_id=64223515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8&amp;standard=false"/>
    <n v="4"/>
    <n v="2"/>
    <n v="8"/>
  </r>
  <r>
    <s v="JHMGE88609S067575 "/>
    <s v="Kirkland"/>
    <x v="5"/>
    <s v="2009 Honda Fit Sport"/>
    <n v="16845"/>
    <n v="15995"/>
    <n v="27597"/>
    <n v="0.19189254017750057"/>
    <n v="0.68842712214085133"/>
    <n v="464871465"/>
    <n v="0.36158843014045439"/>
    <n v="84225"/>
    <n v="0"/>
    <n v="0"/>
    <n v="3.2513863456276146"/>
    <b v="0"/>
    <s v="Gray"/>
    <n v="0"/>
    <b v="0"/>
    <s v="Honda Fit Sport"/>
    <n v="2009"/>
    <s v="http://www.autotrader.com/fyc/vdp.jsp?ct=u&amp;car_id=311602605&amp;dealer_id=64223515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8&amp;standard=false"/>
    <n v="5"/>
    <n v="1"/>
    <n v="8"/>
  </r>
  <r>
    <s v="JTDKB20U673267234 "/>
    <s v="Kirkland"/>
    <x v="5"/>
    <s v="2007 Toyota Prius"/>
    <n v="15845"/>
    <n v="14995"/>
    <n v="54655"/>
    <n v="0.23986567522187574"/>
    <n v="0.41957127266100847"/>
    <n v="866008475"/>
    <n v="0.15928264445269802"/>
    <n v="110915"/>
    <n v="0"/>
    <n v="0"/>
    <n v="2.5969018855586672"/>
    <b v="0"/>
    <s v="Gray"/>
    <n v="0"/>
    <b v="1"/>
    <s v="Toyota Prius"/>
    <n v="2007"/>
    <s v="http://www.autotrader.com/fyc/vdp.jsp?ct=u&amp;car_id=313744750&amp;dealer_id=100024864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8&amp;standard=false"/>
    <n v="7"/>
    <n v="0"/>
    <n v="6"/>
  </r>
  <r>
    <s v="JTDKB20U173248929"/>
    <s v="Lynnwood, WA"/>
    <x v="16"/>
    <s v="2007 Toyota Prius"/>
    <n v="13887"/>
    <n v="13887"/>
    <n v="68445"/>
    <n v="0.33379707363876232"/>
    <n v="0.36294501252009714"/>
    <n v="950495715"/>
    <n v="0.26317185759006734"/>
    <n v="97209"/>
    <n v="0"/>
    <n v="0"/>
    <n v="3.2550161820529029"/>
    <b v="1"/>
    <s v="Red"/>
    <n v="0"/>
    <b v="0"/>
    <s v="Toyota Prius"/>
    <n v="2007"/>
    <s v="http://www.carsdirect.com/used_cars/vehicle-detail/ul405390962/toyota/prius?source=UsedCarListings"/>
    <n v="7"/>
    <n v="0"/>
    <n v="4"/>
  </r>
  <r>
    <s v="JHMGE8H43AC004046"/>
    <s v="McMinville, OR"/>
    <x v="17"/>
    <s v="2010 Honda Fit Sport"/>
    <n v="18639"/>
    <n v="17789"/>
    <n v="7580"/>
    <n v="0.10582873590789155"/>
    <n v="0.9053068484688378"/>
    <n v="141283620"/>
    <n v="0.43487785096529197"/>
    <n v="74556"/>
    <n v="0"/>
    <n v="0"/>
    <n v="3.3153418143156088"/>
    <b v="0"/>
    <s v="Gray"/>
    <n v="0"/>
    <b v="0"/>
    <s v="Honda Fit Sport"/>
    <n v="2010"/>
    <s v="http://www.autotrader.com/fyc/vdp.jsp?ct=u&amp;car_id=305396046&amp;dealer_id=65152575&amp;car_year=2010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79&amp;standard=false"/>
    <n v="4"/>
    <n v="2"/>
    <n v="8"/>
  </r>
  <r>
    <s v="JTDKB20U573224911"/>
    <s v="Mt. Vernon"/>
    <x v="18"/>
    <s v="2007 Toyota Prius (certified)"/>
    <n v="18338"/>
    <n v="17488"/>
    <n v="42049"/>
    <n v="0.1202686495562485"/>
    <n v="0.48318584840676404"/>
    <n v="771094562"/>
    <n v="2.7006950708335586E-2"/>
    <n v="128366"/>
    <n v="0"/>
    <n v="0"/>
    <n v="1.7419974955676902"/>
    <b v="0"/>
    <s v="Gold"/>
    <n v="1"/>
    <b v="0"/>
    <s v="Toyota Prius"/>
    <n v="2007"/>
    <s v="http://www.toyotacertified.com/inventory/?SearchRadius=100&amp;SearchZipCode=98133&amp;SearchModel=Prius&amp;VehicleCategory=&amp;action=quicksearch#page43"/>
    <n v="7"/>
    <n v="0"/>
    <n v="8"/>
  </r>
  <r>
    <s v="JHMGE884X9S010671"/>
    <s v="Mt. Vernon"/>
    <x v="18"/>
    <s v="2009 Honda Fit Sport (certified)"/>
    <n v="15749"/>
    <n v="14899"/>
    <n v="50920"/>
    <n v="0.24447109618613572"/>
    <n v="0.46251278937218054"/>
    <n v="801939080"/>
    <n v="0.4031259237923428"/>
    <n v="78745"/>
    <n v="0.35650940800474101"/>
    <n v="6.3496094990158104E-5"/>
    <n v="3.9111228194553433"/>
    <b v="0"/>
    <s v="Gray"/>
    <n v="1"/>
    <b v="0"/>
    <s v="Honda Fit Sport"/>
    <n v="2009"/>
    <s v="http://www.autotrader.com/fyc/vdp.jsp?ct=c&amp;car_id=302980833&amp;dealer_id=575701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50&amp;standard=false"/>
    <n v="5"/>
    <n v="1"/>
    <n v="7"/>
  </r>
  <r>
    <s v="JHMGD38638S017113 "/>
    <s v="Olympia"/>
    <x v="19"/>
    <s v="2010 Honda Fit Sport (certified)"/>
    <n v="18849"/>
    <n v="17999"/>
    <n v="21343"/>
    <n v="9.5754377548572744E-2"/>
    <n v="0.73036855720741212"/>
    <n v="402294207"/>
    <n v="0.42851078989456448"/>
    <n v="75396"/>
    <n v="0.59575220612941449"/>
    <n v="1.0610642474401825E-4"/>
    <n v="4.0837893717542189"/>
    <b v="0"/>
    <s v="Orange"/>
    <n v="1"/>
    <b v="0"/>
    <s v="Honda Fit Sport"/>
    <n v="2010"/>
    <s v="http://www.autotrader.com/fyc/vdp.jsp?ct=c&amp;car_id=311333716&amp;dealer_id=80321&amp;car_year=2008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56&amp;standard=false"/>
    <n v="4"/>
    <n v="2"/>
    <n v="8"/>
  </r>
  <r>
    <s v="JTDKB20U693488318"/>
    <s v="Olympia"/>
    <x v="19"/>
    <s v="2009 Toyota Prius (certified)"/>
    <n v="16751"/>
    <n v="15901"/>
    <n v="68808"/>
    <n v="0.19640201487167186"/>
    <n v="0.22748587307440837"/>
    <n v="1152602808"/>
    <n v="0.36515095240621853"/>
    <n v="83755"/>
    <n v="0.67036793823254326"/>
    <n v="1.1939585696376336E-4"/>
    <n v="3.7044216166563713"/>
    <b v="0"/>
    <s v="Green"/>
    <n v="1"/>
    <b v="0"/>
    <s v="Toyota Prius"/>
    <n v="2009"/>
    <s v="http://www.toyotacertified.com/inventory/?SearchRadius=100&amp;SearchZipCode=98133&amp;SearchModel=Prius&amp;VehicleCategory=&amp;action=quicksearch#page14"/>
    <n v="5"/>
    <n v="2"/>
    <n v="4"/>
  </r>
  <r>
    <s v="JTDKB20U387781665"/>
    <s v="Olympia"/>
    <x v="19"/>
    <s v="2008 Toyota Prius (certified)"/>
    <n v="15901"/>
    <n v="15901"/>
    <n v="76766"/>
    <n v="0.23717917965939073"/>
    <n v="0.18187416705145665"/>
    <n v="1220656166"/>
    <n v="0.2768382993883074"/>
    <n v="95406"/>
    <n v="0.35310148208708042"/>
    <n v="6.2889126470033326E-5"/>
    <n v="3.0467029750100334"/>
    <b v="1"/>
    <s v="Red"/>
    <n v="1"/>
    <b v="0"/>
    <s v="Toyota Prius"/>
    <n v="2008"/>
    <s v="http://www.toyotacertified.com/inventory/?SearchRadius=100&amp;SearchZipCode=98133&amp;SearchModel=Prius&amp;VehicleCategory=&amp;action=quicksearch#page9"/>
    <n v="6"/>
    <n v="1"/>
    <n v="3"/>
  </r>
  <r>
    <s v="JTDKB20U977587334 "/>
    <s v="Olympia"/>
    <x v="19"/>
    <s v="2007 Toyota Prius (certified)"/>
    <n v="15901"/>
    <n v="15901"/>
    <n v="44809"/>
    <n v="0.23717917965939073"/>
    <n v="0.52245264246422529"/>
    <n v="712507909"/>
    <n v="0.15631134928635859"/>
    <n v="111307"/>
    <n v="0"/>
    <n v="0"/>
    <n v="2.7806030614575121"/>
    <b v="1"/>
    <s v="Blue"/>
    <n v="1"/>
    <b v="0"/>
    <s v="Toyota Prius"/>
    <n v="2007"/>
    <s v="http://www.autotrader.com/fyc/vdp.jsp?ct=c&amp;car_id=313660281&amp;dealer_id=6134479&amp;car_year=2007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56&amp;standard=false"/>
    <n v="7"/>
    <n v="0"/>
    <n v="8"/>
  </r>
  <r>
    <s v="JHMGE88279C006862 "/>
    <s v="Olympia"/>
    <x v="19"/>
    <s v="2009 Honda Fit Sport (certified)"/>
    <n v="18849"/>
    <n v="17999"/>
    <n v="32969"/>
    <n v="9.5754377548572744E-2"/>
    <n v="0.58349439922087654"/>
    <n v="621432681"/>
    <n v="0.28563848736820563"/>
    <n v="94245"/>
    <n v="0.29787610306470724"/>
    <n v="5.3053212372009127E-5"/>
    <n v="2.9085442445990153"/>
    <b v="0"/>
    <s v="Gray"/>
    <n v="1"/>
    <b v="0"/>
    <s v="Honda Fit Sport"/>
    <n v="2009"/>
    <s v="http://www.autotrader.com/fyc/vdp.jsp?ct=c&amp;car_id=311789870&amp;dealer_id=80321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56&amp;standard=false"/>
    <n v="5"/>
    <n v="1"/>
    <n v="8"/>
  </r>
  <r>
    <s v="JTDKB20U783376089 "/>
    <s v="Olympia"/>
    <x v="19"/>
    <s v="2008 Toyota Prius (certified)"/>
    <n v="16351"/>
    <n v="15501"/>
    <n v="79122"/>
    <n v="0.21559126888942193"/>
    <n v="0.13290170568873938"/>
    <n v="1293723822"/>
    <n v="0.25637274594668347"/>
    <n v="98106"/>
    <n v="0.34338368703239353"/>
    <n v="6.1158338939514407E-5"/>
    <n v="2.7588638906721643"/>
    <b v="0"/>
    <s v="Green"/>
    <n v="1"/>
    <b v="0"/>
    <s v="Toyota Prius"/>
    <n v="2008"/>
    <s v="http://www.autotrader.com/fyc/vdp.jsp?ct=u&amp;car_id=313660287&amp;dealer_id=6134479&amp;car_year=2008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56&amp;standard=false&amp;captcha=success"/>
    <n v="6"/>
    <n v="1"/>
    <n v="3"/>
  </r>
  <r>
    <s v="JTDKB20U983344793 "/>
    <s v="Olympia"/>
    <x v="19"/>
    <s v="2008 Toyota Prius (certified)"/>
    <n v="18795"/>
    <n v="17945"/>
    <n v="31242"/>
    <n v="9.8344926840969071E-2"/>
    <n v="0.60644275212252619"/>
    <n v="587193390"/>
    <n v="0.14522205125484167"/>
    <n v="112770"/>
    <n v="0.29873193225148531"/>
    <n v="5.3205639797818569E-5"/>
    <n v="2.6908630323035205"/>
    <b v="0"/>
    <s v="Black"/>
    <n v="1"/>
    <b v="0"/>
    <s v="Toyota Prius"/>
    <n v="2008"/>
    <s v="http://www.autotrader.com/fyc/vdp.jsp?ct=c&amp;car_id=308039009&amp;dealer_id=6134479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56&amp;standard=false"/>
    <n v="6"/>
    <n v="1"/>
    <n v="8"/>
  </r>
  <r>
    <s v="JTDKB20U973292869 "/>
    <s v="Olympia"/>
    <x v="19"/>
    <s v="2007 Toyota Prius (certified)"/>
    <n v="16551"/>
    <n v="15701"/>
    <n v="48635"/>
    <n v="0.20599664188054689"/>
    <n v="0.46048948221663044"/>
    <n v="804957885"/>
    <n v="0.12182310181991829"/>
    <n v="115857"/>
    <n v="0"/>
    <n v="0"/>
    <n v="2.4006050193563788"/>
    <b v="0"/>
    <s v="Gold"/>
    <n v="1"/>
    <b v="0"/>
    <s v="Toyota Prius"/>
    <n v="2007"/>
    <s v="http://www.autotrader.com/fyc/vdp.jsp?ct=u&amp;car_id=313660291&amp;dealer_id=6134479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56&amp;standard=false"/>
    <n v="7"/>
    <n v="0"/>
    <n v="7"/>
  </r>
  <r>
    <s v="JTDKB20U277690076 "/>
    <s v="Olympia"/>
    <x v="19"/>
    <s v="2007 Toyota Prius (certified)"/>
    <n v="18451"/>
    <n v="17601"/>
    <n v="18688"/>
    <n v="0.11484768529623413"/>
    <n v="0.76889492046289054"/>
    <n v="344812288"/>
    <n v="2.1011301533400584E-2"/>
    <n v="129157"/>
    <n v="0"/>
    <n v="0"/>
    <n v="2.268898555769987"/>
    <b v="0"/>
    <s v="Silver"/>
    <n v="1"/>
    <b v="0"/>
    <s v="Toyota Prius"/>
    <n v="2007"/>
    <s v="http://www.autotrader.com/fyc/vdp.jsp?ct=c&amp;car_id=313660277&amp;dealer_id=6134479&amp;car_year=2007&amp;systime=&amp;doors=&amp;model=PRIUS&amp;search_lang=en&amp;start_year=2006&amp;keywordsfyc=&amp;keywordsrep=&amp;highlightFirstMakeModel=&amp;search_type=both&amp;distance=200&amp;min_price=16995&amp;rdm=1325885303689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TOYOTA&amp;seller_type=b&amp;num_records=25&amp;cardist=56&amp;standard=false&amp;captcha=success"/>
    <n v="7"/>
    <n v="0"/>
    <n v="8"/>
  </r>
  <r>
    <s v="JTDKB20U083461923"/>
    <s v="Olympia"/>
    <x v="19"/>
    <s v="2008 Toyota Prius (certified)"/>
    <n v="17751"/>
    <n v="16901"/>
    <n v="65691"/>
    <n v="0.14842887982729669"/>
    <n v="0.21845236380754396"/>
    <n v="1166080941"/>
    <n v="0.19270213523940904"/>
    <n v="106506"/>
    <n v="0.3163014290274726"/>
    <n v="5.633485437440144E-5"/>
    <n v="2.3454851351126313"/>
    <b v="0"/>
    <s v="Red"/>
    <n v="1"/>
    <b v="0"/>
    <s v="Toyota Prius"/>
    <n v="2008"/>
    <s v="http://www.toyotacertified.com/inventory/?SearchRadius=100&amp;SearchZipCode=98133&amp;SearchModel=Prius&amp;VehicleCategory=&amp;action=quicksearch#page33"/>
    <n v="6"/>
    <n v="1"/>
    <n v="5"/>
  </r>
  <r>
    <s v="JTDKB20U883380765 "/>
    <s v="Olympia"/>
    <x v="19"/>
    <s v="2008 Toyota Prius"/>
    <n v="17840"/>
    <n v="16990"/>
    <n v="34173"/>
    <n v="0.14415927080834734"/>
    <n v="0.59139402458561441"/>
    <n v="609646320"/>
    <n v="0.18865450355873237"/>
    <n v="107040"/>
    <n v="0"/>
    <n v="0"/>
    <n v="2.4250526811387774"/>
    <b v="0"/>
    <s v="Gray"/>
    <n v="0"/>
    <b v="0"/>
    <s v="Toyota Prius"/>
    <n v="2008"/>
    <s v="http://www.autotrader.com/fyc/vdp.jsp?ct=u&amp;car_id=313672520&amp;dealer_id=1359282&amp;car_year=2008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56&amp;standard=false"/>
    <n v="6"/>
    <n v="1"/>
    <n v="8"/>
  </r>
  <r>
    <s v="JTDKB20U083366911"/>
    <s v="Olympia"/>
    <x v="19"/>
    <s v="2008 Toyota Prius (certified)"/>
    <n v="19451"/>
    <n v="18601"/>
    <n v="52444"/>
    <n v="6.6874550251858955E-2"/>
    <n v="0.31630170104468469"/>
    <n v="1020088244"/>
    <n v="0.11538782223771882"/>
    <n v="116706"/>
    <n v="0.28865696707967026"/>
    <n v="5.1411238496735388E-5"/>
    <n v="1.8419402822353013"/>
    <b v="0"/>
    <s v="Gold"/>
    <n v="1"/>
    <b v="0"/>
    <s v="Toyota Prius"/>
    <n v="2008"/>
    <s v="http://www.toyotacertified.com/inventory/?SearchRadius=100&amp;SearchZipCode=98133&amp;SearchModel=Prius&amp;VehicleCategory=&amp;action=quicksearch#page43"/>
    <n v="6"/>
    <n v="1"/>
    <n v="7"/>
  </r>
  <r>
    <s v="JTDKB20U877631839"/>
    <s v="Olympia"/>
    <x v="19"/>
    <s v="2007 Toyota Prius (certified)"/>
    <n v="16751"/>
    <n v="15901"/>
    <n v="84373"/>
    <n v="0.19640201487167186"/>
    <n v="5.273610000155593E-2"/>
    <n v="1413332123"/>
    <n v="0.11121133336870592"/>
    <n v="117257"/>
    <n v="0"/>
    <n v="0"/>
    <n v="1.5063069559705549"/>
    <b v="0"/>
    <s v="Gold"/>
    <n v="1"/>
    <b v="0"/>
    <s v="Toyota Prius"/>
    <n v="2007"/>
    <s v="http://www.toyotacertified.com/inventory/?SearchRadius=100&amp;SearchZipCode=98133&amp;SearchModel=Prius&amp;VehicleCategory=&amp;action=quicksearch#page16"/>
    <n v="7"/>
    <n v="0"/>
    <n v="2"/>
  </r>
  <r>
    <s v="JTDKB20U573274935 "/>
    <s v="Port Orchard"/>
    <x v="18"/>
    <s v="2007 Toyota Prius"/>
    <n v="16162"/>
    <n v="15312"/>
    <n v="49277"/>
    <n v="0.22465819141280885"/>
    <n v="0.46621530262776778"/>
    <n v="796414874"/>
    <n v="0.14246299145752639"/>
    <n v="113134"/>
    <n v="0"/>
    <n v="0"/>
    <n v="2.5653057366474412"/>
    <b v="0"/>
    <s v="Green"/>
    <n v="0"/>
    <b v="1"/>
    <s v="Toyota Prius"/>
    <n v="2007"/>
    <s v="http://www.autotrader.com/fyc/vdp.jsp?ct=u&amp;car_id=312193554&amp;dealer_id=80758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21&amp;standard=false"/>
    <n v="7"/>
    <n v="0"/>
    <n v="7"/>
  </r>
  <r>
    <s v="JTDKB20U383455761 "/>
    <s v="Portland"/>
    <x v="20"/>
    <s v="2008 Toyota Prius"/>
    <n v="19350"/>
    <n v="18500"/>
    <n v="39000"/>
    <n v="7.1719836891340871E-2"/>
    <n v="0.49420756062881488"/>
    <n v="754650000"/>
    <n v="0.11998120201017215"/>
    <n v="116100"/>
    <n v="0"/>
    <n v="0"/>
    <n v="1.6586965466260193"/>
    <b v="0"/>
    <s v="Gray"/>
    <n v="0"/>
    <b v="1"/>
    <s v="Toyota Prius"/>
    <n v="2008"/>
    <s v="http://www.autotrader.com/fyc/vdp.jsp?ct=p&amp;car_id=310960284&amp;dealer_id=66814459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53&amp;standard=false"/>
    <n v="6"/>
    <n v="1"/>
    <n v="8"/>
  </r>
  <r>
    <s v="JHMGE88669S046312 "/>
    <s v="Poulsbo"/>
    <x v="21"/>
    <s v="2009 Honda Fit Sport"/>
    <n v="16955"/>
    <n v="16955"/>
    <n v="12772"/>
    <n v="0.18661549532261934"/>
    <n v="0.85486122247475649"/>
    <n v="216549260"/>
    <n v="0.35741952110604946"/>
    <n v="84775"/>
    <n v="0"/>
    <n v="0"/>
    <n v="3.5442544590973282"/>
    <b v="1"/>
    <s v="Purple"/>
    <n v="0"/>
    <b v="0"/>
    <s v="Honda Fit Sport"/>
    <n v="2009"/>
    <s v="http://www.autotrader.com/fyc/vdp.jsp?ct=u&amp;car_id=309376078&amp;dealer_id=75835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4&amp;standard=false"/>
    <n v="5"/>
    <n v="1"/>
    <n v="8"/>
  </r>
  <r>
    <s v="JTDKB20U173277489 "/>
    <s v="Poulsbo"/>
    <x v="21"/>
    <s v="2007 Toyota Prius"/>
    <n v="16845"/>
    <n v="15995"/>
    <n v="57943"/>
    <n v="0.19189254017750057"/>
    <n v="0.34581776056119695"/>
    <n v="976049835"/>
    <n v="0.10622380219663607"/>
    <n v="117915"/>
    <n v="0"/>
    <n v="0"/>
    <n v="2.0554383665806695"/>
    <b v="0"/>
    <s v="Gray"/>
    <n v="0"/>
    <b v="0"/>
    <s v="Toyota Prius"/>
    <n v="2007"/>
    <s v="http://www.autotrader.com/fyc/vdp.jsp?ct=u&amp;car_id=313232807&amp;dealer_id=75835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4&amp;standard=false"/>
    <n v="7"/>
    <n v="0"/>
    <n v="6"/>
  </r>
  <r>
    <s v="JHMGE8H49AC007761 "/>
    <s v="Puyallup"/>
    <x v="22"/>
    <s v="2010 Honda Fit Sport"/>
    <n v="17087"/>
    <n v="16237"/>
    <n v="25703"/>
    <n v="0.18028304149676178"/>
    <n v="0.70564162790340501"/>
    <n v="439187161"/>
    <n v="0.48193346421181094"/>
    <n v="68348"/>
    <n v="0"/>
    <n v="0"/>
    <n v="3.4568484332110025"/>
    <b v="0"/>
    <s v="Black"/>
    <n v="0"/>
    <b v="0"/>
    <s v="Honda Fit Sport"/>
    <n v="2010"/>
    <s v="http://www.autotrader.com/fyc/vdp.jsp?ct=u&amp;car_id=307713371&amp;dealer_id=595416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36&amp;standard=false"/>
    <n v="4"/>
    <n v="2"/>
    <n v="8"/>
  </r>
  <r>
    <s v="JTDKB20U393521551 "/>
    <s v="Puyallup"/>
    <x v="22"/>
    <s v="2009 Toyota Prius"/>
    <n v="17849"/>
    <n v="16999"/>
    <n v="40361"/>
    <n v="0.14372751259294791"/>
    <n v="0.5171607526233053"/>
    <n v="720403489"/>
    <n v="0.32353766040824994"/>
    <n v="89245"/>
    <n v="0"/>
    <n v="0"/>
    <n v="2.543761901620798"/>
    <b v="0"/>
    <s v="White"/>
    <n v="0"/>
    <b v="0"/>
    <s v="Toyota Prius"/>
    <n v="2009"/>
    <s v="http://www.autotrader.com/fyc/vdp.jsp?ct=u&amp;car_id=307296093&amp;dealer_id=595416&amp;car_year=2009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36&amp;standard=false"/>
    <n v="5"/>
    <n v="2"/>
    <n v="8"/>
  </r>
  <r>
    <s v="JTDKB20U593466035 "/>
    <s v="Puyallup"/>
    <x v="22"/>
    <s v="2009 Toyota Prius"/>
    <n v="17849"/>
    <n v="16999"/>
    <n v="41497"/>
    <n v="0.14372751259294791"/>
    <n v="0.50357076761252939"/>
    <n v="740679953"/>
    <n v="0.32353766040824994"/>
    <n v="89245"/>
    <n v="0"/>
    <n v="0"/>
    <n v="2.5165819315992461"/>
    <b v="0"/>
    <s v="White"/>
    <n v="0"/>
    <b v="0"/>
    <s v="Toyota Prius"/>
    <n v="2009"/>
    <s v="http://www.autotrader.com/fyc/vdp.jsp?ct=u&amp;car_id=307370102&amp;dealer_id=595416&amp;car_year=2009&amp;systime=&amp;doors=&amp;model=PRIUS&amp;search_lang=en&amp;start_year=2006&amp;keywordsfyc=&amp;keywordsrep=&amp;highlightFirstMakeModel=&amp;search_type=both&amp;distance=200&amp;min_price=&amp;rdm=1325877320829&amp;drive=&amp;marketZipError=false&amp;advanced=y&amp;fuel=&amp;keywords_display=&amp;sownerid=599690&amp;lastBeginningStartYear=1981&amp;end_year=2009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7000&amp;make=TOYOTA&amp;seller_type=b&amp;num_records=25&amp;cardist=36&amp;standard=false"/>
    <n v="5"/>
    <n v="2"/>
    <n v="8"/>
  </r>
  <r>
    <s v="JTDKB20U783318984 "/>
    <s v="Puyallup"/>
    <x v="22"/>
    <s v="2008 Toyota Prius"/>
    <n v="16349"/>
    <n v="15499"/>
    <n v="56000"/>
    <n v="0.21568721515951073"/>
    <n v="0.38637085654057868"/>
    <n v="915544000"/>
    <n v="0.25646370396197959"/>
    <n v="98094"/>
    <n v="0"/>
    <n v="0"/>
    <n v="2.5797924119621811"/>
    <b v="0"/>
    <s v="Silver"/>
    <n v="0"/>
    <b v="0"/>
    <s v="Toyota Prius"/>
    <n v="2008"/>
    <s v="http://www.autotrader.com/fyc/vdp.jsp?ct=p&amp;car_id=301188529&amp;dealer_id=66351903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41&amp;standard=false"/>
    <n v="6"/>
    <n v="1"/>
    <n v="6"/>
  </r>
  <r>
    <s v="JHMGE88419S052100 "/>
    <s v="Renton"/>
    <x v="5"/>
    <s v="2009 Honda Fit Sport (certified)"/>
    <n v="16831"/>
    <n v="15981"/>
    <n v="28514"/>
    <n v="0.19256416406812182"/>
    <n v="0.67834165575198213"/>
    <n v="479919134"/>
    <n v="0.36211901856301498"/>
    <n v="84155"/>
    <n v="0.33359079476363057"/>
    <n v="5.9414176222446673E-5"/>
    <n v="3.9034879225659864"/>
    <b v="0"/>
    <s v="Black"/>
    <n v="1"/>
    <b v="0"/>
    <s v="Honda Fit Sport"/>
    <n v="2009"/>
    <s v="http://www.autotrader.com/fyc/vdp.jsp?ct=c&amp;car_id=311421731&amp;dealer_id=71228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9&amp;standard=false"/>
    <n v="5"/>
    <n v="1"/>
    <n v="8"/>
  </r>
  <r>
    <s v="JTDKN3DU6A0027990"/>
    <s v="Renton"/>
    <x v="5"/>
    <s v="2010 Toyota Prius"/>
    <n v="20831"/>
    <n v="19981"/>
    <n v="65010"/>
    <n v="6.7162389062125349E-4"/>
    <n v="9.2352863687509945E-2"/>
    <n v="1354223310"/>
    <n v="0.36841786112227026"/>
    <n v="83324"/>
    <n v="0"/>
    <n v="0"/>
    <n v="0.92557119296328794"/>
    <b v="0"/>
    <s v="Silver"/>
    <n v="0"/>
    <b v="1"/>
    <s v="Toyota Prius"/>
    <n v="2010"/>
    <s v="http://www.edmunds.com/inventory/used/vin.html?vin=JTDKN3DU6A0027990&amp;radius=50&amp;make=Toyota&amp;model=Prius&amp;year=2010&amp;defaultType=&amp;mode=&amp;invtype=USED"/>
    <n v="4"/>
    <n v="3"/>
    <n v="5"/>
  </r>
  <r>
    <s v="JHMGE8H43AC015709 "/>
    <s v="Salem"/>
    <x v="23"/>
    <s v="2010 Honda Fit Sport (certified)"/>
    <n v="18000"/>
    <n v="18000"/>
    <n v="23599"/>
    <n v="0.13648356920124727"/>
    <n v="0.71529646328633045"/>
    <n v="424782000"/>
    <n v="0.45425190822336259"/>
    <n v="72000"/>
    <n v="0.62385185185185188"/>
    <n v="1.1111111111111112E-4"/>
    <n v="4.4057018619305737"/>
    <b v="1"/>
    <s v="Blue"/>
    <n v="1"/>
    <b v="0"/>
    <s v="Honda Fit Sport"/>
    <n v="2010"/>
    <s v="http://www.autotrader.com/fyc/vdp.jsp?ct=c&amp;car_id=311430309&amp;dealer_id=100022500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95&amp;standard=false"/>
    <n v="4"/>
    <n v="2"/>
    <n v="8"/>
  </r>
  <r>
    <s v="JHMGE88409S023719"/>
    <s v="Salem"/>
    <x v="23"/>
    <s v="2009 Honda Fit Sport"/>
    <n v="13825"/>
    <n v="12975"/>
    <n v="59815"/>
    <n v="0.33677140801151351"/>
    <n v="0.44575471931272603"/>
    <n v="826942375"/>
    <n v="0.47604393272138801"/>
    <n v="69125"/>
    <n v="0"/>
    <n v="0"/>
    <n v="3.8642257521373091"/>
    <b v="0"/>
    <s v="Silver"/>
    <n v="0"/>
    <b v="0"/>
    <s v="Honda Fit Sport"/>
    <n v="2009"/>
    <s v="http://www.autotrader.com/fyc/vdp.jsp?ct=u&amp;car_id=304564548&amp;dealer_id=619216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97&amp;standard=false"/>
    <n v="5"/>
    <n v="1"/>
    <n v="6"/>
  </r>
  <r>
    <s v="JTDKB20U273239432 "/>
    <s v="Salem"/>
    <x v="23"/>
    <s v="2007 Toyota Prius"/>
    <n v="15845"/>
    <n v="14995"/>
    <n v="56900"/>
    <n v="0.23986567522187574"/>
    <n v="0.39572967549924765"/>
    <n v="901580500"/>
    <n v="0.15928264445269802"/>
    <n v="110915"/>
    <n v="0"/>
    <n v="0"/>
    <n v="2.5492186912351458"/>
    <b v="0"/>
    <s v="Red"/>
    <n v="0"/>
    <b v="0"/>
    <s v="Toyota Prius"/>
    <n v="2007"/>
    <s v="http://www.autotrader.com/fyc/vdp.jsp?ct=u&amp;car_id=313118967&amp;dealer_id=562872&amp;car_year=2007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98&amp;standard=false"/>
    <n v="7"/>
    <n v="0"/>
    <n v="6"/>
  </r>
  <r>
    <s v="JTDKB20UX83301807 "/>
    <s v="Salem"/>
    <x v="23"/>
    <s v="2008 Toyota Prius"/>
    <n v="16850"/>
    <n v="16000"/>
    <n v="56581"/>
    <n v="0.19165267450227874"/>
    <n v="0.36100526349535778"/>
    <n v="953389850"/>
    <n v="0.23367872113030497"/>
    <n v="101100"/>
    <n v="0"/>
    <n v="0"/>
    <n v="2.3392840162649979"/>
    <b v="0"/>
    <s v="Gray"/>
    <n v="0"/>
    <b v="1"/>
    <s v="Toyota Prius"/>
    <n v="2008"/>
    <s v="http://www.autotrader.com/fyc/vdp.jsp?ct=u&amp;car_id=312295056&amp;dealer_id=100022500&amp;car_year=2008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95&amp;standard=false"/>
    <n v="6"/>
    <n v="1"/>
    <n v="6"/>
  </r>
  <r>
    <s v="JTDKB20U997839280 "/>
    <s v="Salem"/>
    <x v="23"/>
    <s v="2009 Toyota Prius"/>
    <n v="19850"/>
    <n v="19000"/>
    <n v="23740"/>
    <n v="4.7733269369153231E-2"/>
    <n v="0.68415938072372895"/>
    <n v="471239000"/>
    <n v="0.24770141515512134"/>
    <n v="99250"/>
    <n v="0"/>
    <n v="0"/>
    <n v="2.15012120797262"/>
    <b v="0"/>
    <s v="Gray"/>
    <n v="0"/>
    <b v="0"/>
    <s v="Toyota Prius"/>
    <n v="2009"/>
    <s v="http://www.autotrader.com/fyc/vdp.jsp?ct=u&amp;car_id=313079983&amp;dealer_id=100022500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95&amp;standard=false"/>
    <n v="5"/>
    <n v="2"/>
    <n v="8"/>
  </r>
  <r>
    <s v="JTDKB20U693539638 "/>
    <s v="Salem"/>
    <x v="23"/>
    <s v="2009 Toyota Prius"/>
    <n v="18845"/>
    <n v="17995"/>
    <n v="53000"/>
    <n v="9.5946270088750341E-2"/>
    <n v="0.33057986939992168"/>
    <n v="998785000"/>
    <n v="0.28579008406036577"/>
    <n v="94225"/>
    <n v="0"/>
    <n v="0"/>
    <n v="1.8084175274530769"/>
    <b v="0"/>
    <s v="Black"/>
    <n v="0"/>
    <b v="0"/>
    <s v="Toyota Prius"/>
    <n v="2009"/>
    <s v="http://www.autotrader.com/fyc/vdp.jsp?ct=u&amp;car_id=308460629&amp;dealer_id=562872&amp;car_year=2009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98&amp;standard=false"/>
    <n v="5"/>
    <n v="2"/>
    <n v="7"/>
  </r>
  <r>
    <s v="JTDKB20U293500240"/>
    <s v="Seattle"/>
    <x v="0"/>
    <s v="2009 Toyota Prius (certified)"/>
    <n v="16995"/>
    <n v="16995"/>
    <n v="80199"/>
    <n v="0.18469656992084438"/>
    <n v="8.648248442592088E-2"/>
    <n v="1362982005"/>
    <n v="0.35590355418444775"/>
    <n v="84975"/>
    <n v="0.66074335588898692"/>
    <n v="1.1768167107972933E-4"/>
    <n v="3.3144382085237769"/>
    <b v="1"/>
    <s v="Red"/>
    <n v="1"/>
    <b v="1"/>
    <s v="Toyota Prius"/>
    <n v="2009"/>
    <s v="http://www.toyotacertified.com/inventory/?SearchRadius=100&amp;SearchZipCode=98133&amp;SearchModel=Prius&amp;VehicleCategory=&amp;action=quicksearch#page2"/>
    <n v="5"/>
    <n v="2"/>
    <n v="3"/>
  </r>
  <r>
    <s v="JTDKB20U783349555"/>
    <s v="Seattle"/>
    <x v="0"/>
    <s v="2008 Toyota Prius (certified)"/>
    <n v="18151"/>
    <n v="17301"/>
    <n v="40704"/>
    <n v="0.12923962580954662"/>
    <n v="0.50481850893494762"/>
    <n v="738818304"/>
    <n v="0.17451053218018786"/>
    <n v="108906"/>
    <n v="0.30933098268231318"/>
    <n v="5.5093383284667509E-5"/>
    <n v="2.752757802452177"/>
    <b v="0"/>
    <s v="Gray"/>
    <n v="1"/>
    <b v="0"/>
    <s v="Toyota Prius"/>
    <n v="2008"/>
    <s v="http://www.toyotacertified.com/inventory/?SearchRadius=100&amp;SearchZipCode=98133&amp;SearchModel=Prius&amp;VehicleCategory=&amp;action=quicksearch#page5"/>
    <n v="6"/>
    <n v="1"/>
    <n v="8"/>
  </r>
  <r>
    <s v="JTDKB20U493521378"/>
    <s v="Seattle"/>
    <x v="0"/>
    <s v="2009 Toyota Prius (certified)"/>
    <n v="19781"/>
    <n v="18931"/>
    <n v="42340"/>
    <n v="5.1043415687215155E-2"/>
    <n v="0.43866017690697967"/>
    <n v="837527540"/>
    <n v="0.25031645809488434"/>
    <n v="98905"/>
    <n v="0.5676827932527847"/>
    <n v="1.0110712299681513E-4"/>
    <n v="2.8195793506325879"/>
    <b v="0"/>
    <s v="Gray"/>
    <n v="1"/>
    <b v="0"/>
    <s v="Toyota Prius"/>
    <n v="2009"/>
    <s v="http://www.toyotacertified.com/inventory/?SearchRadius=100&amp;SearchZipCode=98133&amp;SearchModel=Prius&amp;VehicleCategory=&amp;action=quicksearch#page4"/>
    <n v="5"/>
    <n v="2"/>
    <n v="8"/>
  </r>
  <r>
    <s v="JTDKB20UX87722774 "/>
    <s v="Seattle"/>
    <x v="0"/>
    <s v="2008 Toyota Prius (certified)"/>
    <n v="18801"/>
    <n v="17951"/>
    <n v="43942"/>
    <n v="9.8057088030702788E-2"/>
    <n v="0.44628342237683061"/>
    <n v="826153542"/>
    <n v="0.14494917720895328"/>
    <n v="112806"/>
    <n v="0.29863659734411285"/>
    <n v="5.3188660177650123E-5"/>
    <n v="2.36808092204401"/>
    <b v="0"/>
    <s v="Green"/>
    <n v="1"/>
    <b v="1"/>
    <s v="Toyota Prius"/>
    <n v="2008"/>
    <s v="http://www.autotrader.com/fyc/vdp.jsp?ct=c&amp;car_id=313350294&amp;dealer_id=73726&amp;car_year=2008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8&amp;standard=false"/>
    <n v="6"/>
    <n v="1"/>
    <n v="8"/>
  </r>
  <r>
    <s v="JTDKB20U977645376 "/>
    <s v="Seattle"/>
    <x v="0"/>
    <s v="2007 Toyota Prius (certified)"/>
    <n v="18133"/>
    <n v="18133"/>
    <n v="28354"/>
    <n v="0.13010314224034536"/>
    <n v="0.65540358625773631"/>
    <n v="514143082"/>
    <n v="3.7884013370828251E-2"/>
    <n v="126931"/>
    <n v="0"/>
    <n v="0"/>
    <n v="2.1671940526992013"/>
    <b v="1"/>
    <s v="Red"/>
    <n v="1"/>
    <b v="0"/>
    <s v="Toyota Prius"/>
    <n v="2007"/>
    <s v="http://www.autotrader.com/fyc/vdp.jsp?ct=c&amp;car_id=312631913&amp;dealer_id=73726&amp;car_year=2007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8&amp;standard=false"/>
    <n v="7"/>
    <n v="0"/>
    <n v="8"/>
  </r>
  <r>
    <s v="JTDKB20UX77692979"/>
    <s v="Seattle"/>
    <x v="0"/>
    <s v="2007 Toyota Prius (certified)"/>
    <n v="18845"/>
    <n v="17995"/>
    <n v="79173"/>
    <n v="9.5946270088750341E-2"/>
    <n v="0"/>
    <n v="1492015185"/>
    <n v="1.0611768451207482E-4"/>
    <n v="131915"/>
    <n v="0"/>
    <n v="0"/>
    <n v="0.57588985590152619"/>
    <b v="0"/>
    <s v="Green"/>
    <n v="1"/>
    <b v="1"/>
    <s v="Toyota Prius"/>
    <n v="2007"/>
    <s v="http://www.toyotacertified.com/inventory/?SearchRadius=100&amp;SearchZipCode=98133&amp;SearchModel=Prius&amp;VehicleCategory=&amp;action=quicksearch#page3"/>
    <n v="7"/>
    <n v="0"/>
    <n v="3"/>
  </r>
  <r>
    <s v="JHMGE8H51BC000605"/>
    <s v="Spokane, WA"/>
    <x v="24"/>
    <s v="2011 Honda Fit Sport (certified)"/>
    <n v="16844"/>
    <n v="15994"/>
    <n v="13370"/>
    <n v="0.19194051331254502"/>
    <n v="0.84906032977137558"/>
    <n v="225204280"/>
    <n v="0.61697579758809662"/>
    <n v="50532"/>
    <n v="1"/>
    <n v="1.7810496319164095E-4"/>
    <n v="6.4675963612193046"/>
    <b v="0"/>
    <s v="Black"/>
    <n v="1"/>
    <b v="0"/>
    <s v="Honda Fit Sport"/>
    <n v="2011"/>
    <s v="http://www.autotrader.com/fyc/vdp.jsp?ct=c&amp;car_id=311985998&amp;dealer_id=64961691&amp;car_year=2011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35&amp;standard=false"/>
    <n v="3"/>
    <n v="3"/>
    <n v="8"/>
  </r>
  <r>
    <s v="JTDKB20U387700986 "/>
    <s v="Spokane, WA"/>
    <x v="24"/>
    <s v="2008 Toyota Prius (certified)"/>
    <n v="15995"/>
    <n v="15995"/>
    <n v="70382"/>
    <n v="0.23266970496521944"/>
    <n v="0.24547678782505156"/>
    <n v="1125760090"/>
    <n v="0.2725632726693904"/>
    <n v="95970"/>
    <n v="0.35102636240491819"/>
    <n v="6.2519537355423574E-5"/>
    <n v="3.1341510755900366"/>
    <b v="1"/>
    <s v="Blue"/>
    <n v="1"/>
    <b v="0"/>
    <s v="Toyota Prius"/>
    <n v="2008"/>
    <s v="http://www.autotrader.com/fyc/vdp.jsp?ct=c&amp;car_id=312008335&amp;dealer_id=64936417&amp;car_year=2008&amp;model=CIVIC&amp;pager.offset=25&amp;search_lang=en&amp;start_year=2006&amp;search_type=both&amp;distance=200&amp;rdm=1325697923503&amp;marketZipError=false&amp;advanced=y&amp;sownerid=575701&amp;lastBeginningStartYear=1981&amp;end_year=2010&amp;make3=TOYOTA&amp;showZipError=y&amp;make2=HONDA&amp;dma=SEATTLE-TACOMA_NO&amp;page_location=findacar%3A%3Aispsearchform&amp;body_code=0&amp;first_record=26&amp;transmission=Automatic&amp;isFlashPlugin=true&amp;default_sort=mileageASC&amp;max_mileage=45000&amp;model3=PRIUS&amp;address=98133&amp;sort_type=mileageASC&amp;model2=FIT&amp;max_price=16000&amp;make=HONDA&amp;num_records=25&amp;seller_type=b&amp;cardist=229&amp;standard=false"/>
    <n v="6"/>
    <n v="1"/>
    <n v="4"/>
  </r>
  <r>
    <s v="JHMGE8H69AC036565 "/>
    <s v="Sumner"/>
    <x v="25"/>
    <s v="2010 Honda Fit Sport"/>
    <n v="17838"/>
    <n v="16988"/>
    <n v="12912"/>
    <n v="0.14425521707843603"/>
    <n v="0.84562874539376753"/>
    <n v="230324256"/>
    <n v="0.45916364104935226"/>
    <n v="71352"/>
    <n v="0"/>
    <n v="0"/>
    <n v="3.4751160753568557"/>
    <b v="0"/>
    <s v="Gray"/>
    <n v="0"/>
    <b v="0"/>
    <s v="Honda Fit Sport"/>
    <n v="2010"/>
    <s v="http://www.autotrader.com/fyc/vdp.jsp?ct=c&amp;car_id=309877284&amp;dealer_id=64560097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38&amp;standard=false"/>
    <n v="4"/>
    <n v="2"/>
    <n v="8"/>
  </r>
  <r>
    <s v="JTDKB20U283346739"/>
    <s v="Tacoma"/>
    <x v="26"/>
    <s v="2008 Toyota Prius (certified)"/>
    <n v="16846"/>
    <n v="15996"/>
    <n v="70207"/>
    <n v="0.19184456704245623"/>
    <n v="0.2073089242721079"/>
    <n v="1182707122"/>
    <n v="0.23386063716089711"/>
    <n v="101076"/>
    <n v="0.33329375915152953"/>
    <n v="5.9361272705686811E-5"/>
    <n v="2.6999940434238066"/>
    <b v="0"/>
    <s v="Green"/>
    <n v="1"/>
    <b v="0"/>
    <s v="Toyota Prius"/>
    <n v="2008"/>
    <s v="http://www.toyotacertified.com/inventory/?SearchRadius=100&amp;SearchZipCode=98133&amp;SearchModel=Prius&amp;VehicleCategory=&amp;action=quicksearch#page31"/>
    <n v="6"/>
    <n v="1"/>
    <n v="4"/>
  </r>
  <r>
    <s v="JTDKB20U087796916"/>
    <s v="Tacoma"/>
    <x v="26"/>
    <s v="2008 Toyota Prius"/>
    <n v="15995"/>
    <n v="15995"/>
    <n v="63013"/>
    <n v="0.23266970496521944"/>
    <n v="0.32447541745360986"/>
    <n v="1007892935"/>
    <n v="0.2725632726693904"/>
    <n v="95970"/>
    <n v="0"/>
    <n v="0"/>
    <n v="2.5900956100373174"/>
    <b v="1"/>
    <s v="Blue"/>
    <n v="0"/>
    <b v="1"/>
    <s v="Toyota Prius"/>
    <n v="2008"/>
    <s v="http://www.carsdirect.com/used_cars/vehicle-detail/ul404958123/toyota/prius?source=UsedCarListings"/>
    <n v="6"/>
    <n v="1"/>
    <n v="5"/>
  </r>
  <r>
    <s v="JTDKB20U297829786 "/>
    <s v="Tacoma"/>
    <x v="26"/>
    <s v="2009 Toyota Prius"/>
    <n v="17838"/>
    <n v="16988"/>
    <n v="59682"/>
    <n v="0.14425521707843603"/>
    <n v="0.28646335057240047"/>
    <n v="1064607516"/>
    <n v="0.32395455131169038"/>
    <n v="89190"/>
    <n v="0"/>
    <n v="0"/>
    <n v="2.0863671062387978"/>
    <b v="0"/>
    <s v="Green"/>
    <n v="0"/>
    <b v="0"/>
    <s v="Toyota Prius"/>
    <n v="2009"/>
    <s v="http://www.autotrader.com/fyc/vdp.jsp?ct=u&amp;car_id=303680627&amp;dealer_id=71591&amp;car_year=2009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34&amp;standard=false"/>
    <n v="5"/>
    <n v="2"/>
    <n v="6"/>
  </r>
  <r>
    <s v="JTDKB20U193526232 "/>
    <s v="Vancouver"/>
    <x v="27"/>
    <s v="2009 Toyota Prius (certified)"/>
    <n v="15850"/>
    <n v="15000"/>
    <n v="25466"/>
    <n v="0.23962580954665391"/>
    <n v="0.7294691742698316"/>
    <n v="403636100"/>
    <n v="0.39929810731529836"/>
    <n v="79250"/>
    <n v="0.70847528916929547"/>
    <n v="1.2618296529968455E-4"/>
    <n v="5.1122399987887741"/>
    <b v="0"/>
    <s v="Silver"/>
    <n v="1"/>
    <b v="0"/>
    <s v="Toyota Prius"/>
    <n v="2009"/>
    <s v="http://www.autotrader.com/fyc/vdp.jsp?ct=c&amp;car_id=313717062&amp;dealer_id=85980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144&amp;standard=false"/>
    <n v="5"/>
    <n v="2"/>
    <n v="8"/>
  </r>
  <r>
    <s v="JTDKB20U177660258"/>
    <s v="Vancouver"/>
    <x v="27"/>
    <s v="2007 Toyota Prius (certified)"/>
    <n v="14750"/>
    <n v="13900"/>
    <n v="60193"/>
    <n v="0.29239625809546654"/>
    <n v="0.40493450808947362"/>
    <n v="887846750"/>
    <n v="0.21738207672308585"/>
    <n v="103250"/>
    <n v="0"/>
    <n v="0"/>
    <n v="2.9990107181979182"/>
    <b v="0"/>
    <s v="White"/>
    <n v="1"/>
    <b v="0"/>
    <s v="Toyota Prius"/>
    <n v="2007"/>
    <s v="http://www.toyotacertified.com/inventory/?SearchRadius=100&amp;SearchZipCode=98133&amp;SearchModel=Prius&amp;VehicleCategory=&amp;action=quicksearch#page29"/>
    <n v="7"/>
    <n v="0"/>
    <n v="6"/>
  </r>
  <r>
    <s v="JHMGD38678S044654 "/>
    <s v="Vancouver"/>
    <x v="27"/>
    <s v="2008 Honda Fit Sport"/>
    <n v="14850"/>
    <n v="14000"/>
    <n v="42984"/>
    <n v="0.28759894459102897"/>
    <n v="0.57218102977953267"/>
    <n v="638312400"/>
    <n v="0.32463673642641122"/>
    <n v="89100"/>
    <n v="0"/>
    <n v="0"/>
    <n v="3.5192291999580618"/>
    <b v="0"/>
    <s v="Gray"/>
    <n v="0"/>
    <b v="0"/>
    <s v="Honda Fit Sport"/>
    <n v="2008"/>
    <s v="http://www.autotrader.com/fyc/vdp.jsp?ct=u&amp;car_id=312867942&amp;dealer_id=1150141&amp;car_year=2008&amp;model=CIVIC&amp;pager.offset=75&amp;search_lang=en&amp;start_year=2006&amp;search_type=both&amp;distance=200&amp;rdm=1325697923503&amp;marketZipError=false&amp;advanced=y&amp;sownerid=575701&amp;lastBeginningStartYear=1981&amp;end_year=2010&amp;make3=TOYOTA&amp;showZipError=y&amp;make2=HONDA&amp;dma=SEATTLE-TACOMA_NO&amp;page_location=findacar%3A%3Aispsearchform&amp;body_code=0&amp;first_record=76&amp;transmission=Automatic&amp;isFlashPlugin=true&amp;default_sort=mileageASC&amp;max_mileage=45000&amp;model3=PRIUS&amp;address=98133&amp;sort_type=mileageASC&amp;model2=FIT&amp;max_price=16000&amp;make=HONDA&amp;num_records=25&amp;seller_type=b&amp;cardist=145&amp;standard=false"/>
    <n v="6"/>
    <n v="0"/>
    <n v="8"/>
  </r>
  <r>
    <s v="JTDKB20U487766981 "/>
    <s v="Vancouver"/>
    <x v="27"/>
    <s v="2008 Toyota Prius"/>
    <n v="17595"/>
    <n v="17595"/>
    <n v="48227"/>
    <n v="0.15591268889421928"/>
    <n v="0.43126981981755097"/>
    <n v="848554065"/>
    <n v="0.19979686043250533"/>
    <n v="105570"/>
    <n v="0"/>
    <n v="0"/>
    <n v="2.1976094938654285"/>
    <b v="1"/>
    <s v="Blue"/>
    <n v="0"/>
    <b v="1"/>
    <s v="Toyota Prius"/>
    <n v="2008"/>
    <s v="http://www.autotrader.com/fyc/vdp.jsp?ct=u&amp;car_id=313053749&amp;dealer_id=66823181&amp;car_year=2008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45&amp;standard=false"/>
    <n v="6"/>
    <n v="1"/>
    <n v="7"/>
  </r>
  <r>
    <s v="JTDKB20U593481554 "/>
    <s v="Walla Walla"/>
    <x v="28"/>
    <s v="2009 Toyota Prius (certified)"/>
    <n v="19838"/>
    <n v="18988"/>
    <n v="29195"/>
    <n v="4.8308946989685797E-2"/>
    <n v="0.61182002983434791"/>
    <n v="579170410"/>
    <n v="0.24815620523160187"/>
    <n v="99190"/>
    <n v="0.56605168531774031"/>
    <n v="1.0081661457808247E-4"/>
    <n v="3.141909522705495"/>
    <b v="0"/>
    <s v="Gray"/>
    <n v="1"/>
    <b v="0"/>
    <s v="Toyota Prius"/>
    <n v="2009"/>
    <s v="http://www.autotrader.com/fyc/vdp.jsp?ct=c&amp;car_id=311376795&amp;dealer_id=70228&amp;car_year=2009&amp;systime=&amp;doors=&amp;model=PRIUS&amp;search_lang=en&amp;start_year=2006&amp;keywordsfyc=&amp;keywordsrep=&amp;highlightFirstMakeModel=&amp;search_type=both&amp;distance=200&amp;min_price=17800&amp;rdm=1325886045436&amp;drive=&amp;marketZipError=false&amp;advanced=y&amp;fuel=&amp;keywords_display=&amp;sownerid=599690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9000&amp;make=TOYOTA&amp;seller_type=b&amp;num_records=25&amp;cardist=222&amp;standard=false"/>
    <n v="5"/>
    <n v="2"/>
    <n v="8"/>
  </r>
  <r>
    <s v="JHMGE8H41AC026336 "/>
    <s v="Wilsonville (S of Tigard)"/>
    <x v="29"/>
    <s v="2010 Honda Fit Sport (certified)"/>
    <n v="17680"/>
    <n v="16830"/>
    <n v="18165"/>
    <n v="0.1518349724154473"/>
    <n v="0.78474937572434955"/>
    <n v="321157200"/>
    <n v="0.4639540965216139"/>
    <n v="70720"/>
    <n v="0.63514328808446452"/>
    <n v="1.1312217194570136E-4"/>
    <n v="4.67870335515354"/>
    <b v="0"/>
    <s v="White"/>
    <n v="1"/>
    <b v="0"/>
    <s v="Honda Fit Sport"/>
    <n v="2010"/>
    <s v="http://www.autotrader.com/fyc/vdp.jsp?ct=c&amp;car_id=312130876&amp;dealer_id=56162128&amp;car_year=2010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70&amp;standard=false"/>
    <n v="4"/>
    <n v="2"/>
    <n v="8"/>
  </r>
  <r>
    <s v="JTDKB20U577586052 "/>
    <s v="Wilsonville (S of Tigard)"/>
    <x v="29"/>
    <s v="2007 Toyota Prius"/>
    <n v="15400"/>
    <n v="15400"/>
    <n v="49068"/>
    <n v="0.26121372031662271"/>
    <n v="0.49353920281984265"/>
    <n v="755647200"/>
    <n v="0.18289382925664566"/>
    <n v="107800"/>
    <n v="0"/>
    <n v="0"/>
    <n v="2.9201483860527127"/>
    <b v="1"/>
    <s v="Red"/>
    <n v="0"/>
    <b v="0"/>
    <s v="Toyota Prius"/>
    <n v="2007"/>
    <s v="http://www.autotrader.com/fyc/vdp.jsp?ct=u&amp;car_id=313349633&amp;dealer_id=100009816&amp;car_year=2007&amp;model=PRIUS&amp;pager.offset=25&amp;search_lang=en&amp;start_year=2007&amp;search_type=both&amp;distance=200&amp;rdm=1326145626539&amp;marketZipError=false&amp;advanced=y&amp;sownerid=599690&amp;lastBeginningStartYear=1981&amp;end_year=2013&amp;showZipError=y&amp;dma=SEATTLE-TACOMA_NO&amp;page_location=findacar%3A%3Aispsearchform&amp;body_code=0&amp;first_record=26&amp;isFlashPlugin=true&amp;default_sort=mileageASC&amp;max_mileage=60000&amp;address=98133&amp;sort_type=mileageASC&amp;max_price=18000&amp;make=TOYOTA&amp;num_records=25&amp;seller_type=b&amp;cardist=168&amp;standard=false"/>
    <n v="7"/>
    <n v="0"/>
    <n v="7"/>
  </r>
  <r>
    <s v="JHMGE88449S004400 "/>
    <s v="Yakima"/>
    <x v="30"/>
    <s v="2009 Honda Fit Sport"/>
    <n v="13990"/>
    <n v="13990"/>
    <n v="36975"/>
    <n v="0.32885584072919161"/>
    <n v="0.65330094814014905"/>
    <n v="517280250"/>
    <n v="0.46979056916978068"/>
    <n v="69950"/>
    <n v="0"/>
    <n v="0"/>
    <n v="4.2193180789950091"/>
    <b v="1"/>
    <s v="Red"/>
    <n v="0"/>
    <b v="0"/>
    <s v="Honda Fit Sport"/>
    <n v="2009"/>
    <s v="http://www.autotrader.com/fyc/vdp.jsp?ct=u&amp;car_id=309394957&amp;dealer_id=626204&amp;car_year=2009&amp;systime=&amp;doors=&amp;model=FIT&amp;search_lang=en&amp;start_year=2007&amp;keywordsfyc=__Y3J1aXNlIGNvbnRyb2w%2C__&amp;keywordsrep=099114117105115101032099111110116114111108&amp;highlightFirstMakeModel=&amp;search_type=both&amp;distance=200&amp;min_price=&amp;rdm=1325888761018&amp;drive=&amp;marketZipError=false&amp;advanced=y&amp;fuel=&amp;keywords_display=cruise+control&amp;sownerid=575701&amp;lastBeginningStartYear=1981&amp;end_year=2010&amp;showZipError=n&amp;make2=&amp;certified=&amp;engine=&amp;dma=SEATTLE-TACOMA_NO&amp;page_location=findacar%3A%3Aispsearchform&amp;body_code=0&amp;isFlashPlugin=true&amp;transmission=&amp;default_sort=mileageASC&amp;max_mileage=45000&amp;color=&amp;address=98133&amp;sort_type=mileageASC&amp;max_price=18000&amp;make=HONDA&amp;seller_type=b&amp;num_records=25&amp;cardist=118&amp;standard=false"/>
    <n v="5"/>
    <n v="1"/>
    <n v="8"/>
  </r>
  <r>
    <s v="JTDKB20U083406713 "/>
    <s v="Yakima"/>
    <x v="30"/>
    <s v="2008 Toyota Prius"/>
    <n v="18349"/>
    <n v="17499"/>
    <n v="53532"/>
    <n v="0.11974094507076039"/>
    <n v="0.3416563866942145"/>
    <n v="982258668"/>
    <n v="0.16550568866587334"/>
    <n v="110094"/>
    <n v="0"/>
    <n v="0"/>
    <n v="1.732769821144738"/>
    <b v="0"/>
    <s v="White"/>
    <n v="0"/>
    <b v="0"/>
    <s v="Toyota Prius"/>
    <n v="2008"/>
    <s v="http://www.autotrader.com/fyc/vdp.jsp?ct=u&amp;car_id=312441288&amp;dealer_id=558992&amp;car_year=2008&amp;systime=&amp;doors=&amp;model=PRIUS&amp;search_lang=en&amp;start_year=2007&amp;keywordsfyc=&amp;keywordsrep=&amp;highlightFirstMakeModel=&amp;search_type=both&amp;distance=200&amp;min_price=&amp;rdm=1326145626539&amp;drive=&amp;marketZipError=false&amp;advanced=y&amp;fuel=&amp;keywords_display=&amp;sownerid=599690&amp;lastBeginningStartYear=1981&amp;end_year=2013&amp;showZipError=y&amp;make2=&amp;certified=&amp;engine=&amp;dma=SEATTLE-TACOMA_NO&amp;page_location=findacar%3A%3Aispsearchform&amp;body_code=0&amp;isFlashPlugin=true&amp;transmission=&amp;default_sort=mileageASC&amp;max_mileage=60000&amp;color=&amp;address=98133&amp;sort_type=mileageASC&amp;max_price=18000&amp;make=TOYOTA&amp;seller_type=b&amp;num_records=25&amp;cardist=118&amp;standard=false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35" firstHeaderRow="1" firstDataRow="1" firstDataCol="1"/>
  <pivotFields count="25">
    <pivotField showAll="0"/>
    <pivotField showAll="0"/>
    <pivotField axis="axisRow" showAll="0">
      <items count="33">
        <item x="0"/>
        <item x="5"/>
        <item x="10"/>
        <item x="7"/>
        <item x="8"/>
        <item m="1" x="31"/>
        <item x="18"/>
        <item x="19"/>
        <item x="6"/>
        <item x="11"/>
        <item x="27"/>
        <item x="1"/>
        <item x="2"/>
        <item x="3"/>
        <item x="12"/>
        <item x="13"/>
        <item x="15"/>
        <item x="16"/>
        <item x="17"/>
        <item x="20"/>
        <item x="21"/>
        <item x="22"/>
        <item x="23"/>
        <item x="24"/>
        <item x="25"/>
        <item x="26"/>
        <item x="28"/>
        <item x="29"/>
        <item x="30"/>
        <item x="4"/>
        <item x="9"/>
        <item x="14"/>
        <item t="default"/>
      </items>
    </pivotField>
    <pivotField showAll="0"/>
    <pivotField numFmtId="164" showAll="0"/>
    <pivotField numFmtId="164" showAll="0"/>
    <pivotField numFmtId="165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Max of Good Deal Score" fld="14" subtotal="max" baseField="2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Y106" totalsRowShown="0">
  <autoFilter ref="A1:Y106"/>
  <sortState ref="A2:Y106">
    <sortCondition descending="1" ref="O1:O106"/>
  </sortState>
  <tableColumns count="25">
    <tableColumn id="1" name="VIN" dataCellStyle="Normal"/>
    <tableColumn id="7" name="Location" dataCellStyle="Normal"/>
    <tableColumn id="15" name="MilesFromSeattle"/>
    <tableColumn id="2" name="Car Type"/>
    <tableColumn id="22" name="Price, Adj" dataDxfId="20" dataCellStyle="Currency">
      <calculatedColumnFormula>IF(Table3[[#This Row],[Color I Want?]],Table3[[#This Row],[Price, Raw]],Table3[[#This Row],[Price, Raw]]+850)</calculatedColumnFormula>
    </tableColumn>
    <tableColumn id="3" name="Price, Raw" dataDxfId="19" dataCellStyle="Currency"/>
    <tableColumn id="4" name="Mileage" dataDxfId="18" dataCellStyle="Comma"/>
    <tableColumn id="24" name="Cost Rating, Adj" dataDxfId="17" dataCellStyle="Percent">
      <calculatedColumnFormula>1-Table3[[#This Row],[Price, Adj]]/MAX(E:E)</calculatedColumnFormula>
    </tableColumn>
    <tableColumn id="19" name="Mile-Cost Rating Adj" dataDxfId="16" dataCellStyle="Percent">
      <calculatedColumnFormula>1-Table3[[#This Row],[Mile-Cost Rating Raw]]/MAX(J:J)</calculatedColumnFormula>
    </tableColumn>
    <tableColumn id="8" name="Mile-Cost Rating Raw" dataDxfId="15" dataCellStyle="Percent">
      <calculatedColumnFormula>IFERROR(Table3[[#This Row],[Price, Adj]]*Table3[[#This Row],[Mileage]],"")</calculatedColumnFormula>
    </tableColumn>
    <tableColumn id="20" name="Age-Cost Rating Adj" dataDxfId="14" dataCellStyle="Percent">
      <calculatedColumnFormula>1-Table3[[#This Row],[Age-Cost Rating Raw]]/MAX(L:L)</calculatedColumnFormula>
    </tableColumn>
    <tableColumn id="14" name="Age-Cost Rating Raw" dataDxfId="13" dataCellStyle="Percent">
      <calculatedColumnFormula>Table3[[#This Row],[Price, Adj]]*(YEAR(NOW())-Table3[[#This Row],[Year]])</calculatedColumnFormula>
    </tableColumn>
    <tableColumn id="21" name="Warranty-Cost Rating Adj" dataDxfId="12" dataCellStyle="Percent">
      <calculatedColumnFormula>Table3[[#This Row],[Warranty-Cost Rating Raw]]/MAX(N:N)</calculatedColumnFormula>
    </tableColumn>
    <tableColumn id="16" name="Warranty-Cost Rating Raw" dataDxfId="11" dataCellStyle="Comma">
      <calculatedColumnFormula>IF(Table3[[#This Row],[Certified Used?]]&gt;0,MIN(Table3[[#This Row],[Warranty Years Left]],Table3[[#This Row],[Warranty Mileage Years Left]])/Table3[[#This Row],[Price, Adj]],0)</calculatedColumnFormula>
    </tableColumn>
    <tableColumn id="9" name="Good Deal Score" dataDxfId="10" dataCellStyle="Comma">
      <calculatedColumnFormula>Table3[[#This Row],[Mile-Cost Rating Adj]]*2+Table3[[#This Row],[Age-Cost Rating Adj]]*2+Table3[[#This Row],[Warranty-Cost Rating Adj]]*2+Table3[[#This Row],[Cost Rating, Adj]]*6</calculatedColumnFormula>
    </tableColumn>
    <tableColumn id="23" name="Color I Want?" dataDxfId="9" dataCellStyle="Percent">
      <calculatedColumnFormula>IFERROR(OR(IFERROR(FIND("Red",Table3[[#This Row],[Color]],1),FALSE),FIND(Table3[[#This Row],[Color]],"Blue",1)),FALSE)</calculatedColumnFormula>
    </tableColumn>
    <tableColumn id="5" name="Color"/>
    <tableColumn id="12" name="Certified Used?" dataDxfId="8">
      <calculatedColumnFormula>IFERROR(IF(FIND("certified",Table3[[#This Row],[Car Type]])&gt;0,1,0),0)</calculatedColumnFormula>
    </tableColumn>
    <tableColumn id="18" name="Leather?" dataDxfId="7"/>
    <tableColumn id="11" name="Model" dataDxfId="6">
      <calculatedColumnFormula>TRIM(SUBSTITUTE(REPLACE(Table3[[#This Row],[Car Type]],1,5,""),"(certified)","",1))</calculatedColumnFormula>
    </tableColumn>
    <tableColumn id="10" name="Year" dataDxfId="5">
      <calculatedColumnFormula>MAX(LEFT(Table3[[#This Row],[Car Type]],4),0)</calculatedColumnFormula>
    </tableColumn>
    <tableColumn id="6" name="URL"/>
    <tableColumn id="25" name="Age" dataDxfId="4" dataCellStyle="Hyperlink">
      <calculatedColumnFormula>VALUE(YEAR(NOW())-Table3[[#This Row],[Year]])</calculatedColumnFormula>
    </tableColumn>
    <tableColumn id="13" name="Warranty Years Left" dataDxfId="3">
      <calculatedColumnFormula>IFERROR(IF(FIND("Fit",Table3[[#This Row],[Model]])&gt;0,6-(YEAR(NOW())-Table3[[#This Row],[Year]]),20),7-(YEAR(NOW())-Table3[[#This Row],[Year]]))</calculatedColumnFormula>
    </tableColumn>
    <tableColumn id="17" name="Warranty Mileage Years Left" dataDxfId="2">
      <calculatedColumnFormula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dmunds.com/inventory/used/vin.html?vin=JTDKB20U283344988&amp;radius=50&amp;make=Toyota&amp;model=Prius&amp;year=2008&amp;defaultType=&amp;mode=&amp;invtype=USED" TargetMode="External"/><Relationship Id="rId13" Type="http://schemas.openxmlformats.org/officeDocument/2006/relationships/hyperlink" Target="http://www.autotrader.com/fyc/vdp.jsp?ct=c&amp;car_id=311985998&amp;dealer_id=64961691&amp;car_year=2011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35&amp;standard=false" TargetMode="External"/><Relationship Id="rId18" Type="http://schemas.openxmlformats.org/officeDocument/2006/relationships/hyperlink" Target="http://www.carsdirect.com/used_cars/vehicle-detail/ul404958123/toyota/prius?source=UsedCarListing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toyotacertified.com/inventory/?SearchRadius=100&amp;SearchZipCode=98133&amp;SearchModel=Prius&amp;VehicleCategory=&amp;action=quicksearch" TargetMode="External"/><Relationship Id="rId21" Type="http://schemas.openxmlformats.org/officeDocument/2006/relationships/hyperlink" Target="http://www.autotrader.com/fyc/vdp.jsp?ct=c&amp;car_id=311359584&amp;dealer_id=1149141&amp;car_year=2011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57&amp;standard=false" TargetMode="External"/><Relationship Id="rId7" Type="http://schemas.openxmlformats.org/officeDocument/2006/relationships/hyperlink" Target="http://www.edmunds.com/inventory/used/vin.html?vin=JTDKN3DU0A0045577&amp;radius=50&amp;make=Toyota&amp;model=Prius&amp;year=2010&amp;defaultType=&amp;mode=&amp;invtype=USED" TargetMode="External"/><Relationship Id="rId12" Type="http://schemas.openxmlformats.org/officeDocument/2006/relationships/hyperlink" Target="http://www.edmunds.com/inventory/used/vin.html?vin=JTDKB20U577587220&amp;radius=50&amp;make=Toyota&amp;model=Prius&amp;year=2007&amp;defaultType=&amp;mode=&amp;invtype=USED" TargetMode="External"/><Relationship Id="rId17" Type="http://schemas.openxmlformats.org/officeDocument/2006/relationships/hyperlink" Target="http://www.carsdirect.com/used_cars/vehicle-detail/ul405390962/toyota/prius?source=UsedCarListings" TargetMode="External"/><Relationship Id="rId25" Type="http://schemas.openxmlformats.org/officeDocument/2006/relationships/hyperlink" Target="http://www.carsdirect.com/used_cars/vehicle-detail/ul408837433/toyota/prius?source=UsedCarListings" TargetMode="External"/><Relationship Id="rId2" Type="http://schemas.openxmlformats.org/officeDocument/2006/relationships/hyperlink" Target="http://www.toyotacertified.com/inventory/?SearchRadius=100&amp;SearchZipCode=98133&amp;SearchModel=Prius&amp;VehicleCategory=&amp;action=quicksearch" TargetMode="External"/><Relationship Id="rId16" Type="http://schemas.openxmlformats.org/officeDocument/2006/relationships/hyperlink" Target="http://www.autotrader.com/fyc/vdp.jsp?ct=u&amp;car_id=313840031&amp;dealer_id=91617&amp;car_year=2009&amp;model=FIT&amp;pager.offset=25&amp;search_lang=en&amp;start_year=2009&amp;keywordsrep=099114117105115101&amp;keywordsfyc=__Y3J1aXNl__&amp;scarid=302980833&amp;search_type=both&amp;distance=200&amp;rdm=1326246216398&amp;marketZipError=false&amp;advanced=y&amp;keywords_display=cruise&amp;lastBeginningStartYear=1981&amp;end_year=2013&amp;showZipError=y&amp;dma=SEATTLE-TACOMA_NO&amp;page_location=findacar%3A%3Aispsearchform&amp;body_code=0&amp;first_record=26&amp;transmission=Automatic&amp;isFlashPlugin=true&amp;default_sort=priceASC&amp;max_mileage=75000&amp;address=98133&amp;sort_type=priceASC&amp;max_price=18000&amp;make=HONDA&amp;num_records=25&amp;seller_type=b&amp;cardist=13&amp;standard=false" TargetMode="External"/><Relationship Id="rId20" Type="http://schemas.openxmlformats.org/officeDocument/2006/relationships/hyperlink" Target="http://www.autotrader.com/fyc/vdp.jsp?ct=u&amp;car_id=305396046&amp;dealer_id=65152575&amp;car_year=2010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79&amp;standard=false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://www.toyotacertified.com/inventory/?SearchRadius=100&amp;SearchZipCode=98133&amp;SearchModel=Prius&amp;VehicleCategory=&amp;action=quicksearch" TargetMode="External"/><Relationship Id="rId6" Type="http://schemas.openxmlformats.org/officeDocument/2006/relationships/hyperlink" Target="http://www.edmunds.com/inventory/used/vin.html?vin=JTDKN3DUXA0060216&amp;radius=50&amp;make=Toyota&amp;model=Prius&amp;year=2010&amp;defaultType=&amp;mode=&amp;invtype=USED" TargetMode="External"/><Relationship Id="rId11" Type="http://schemas.openxmlformats.org/officeDocument/2006/relationships/hyperlink" Target="http://www.edmunds.com/inventory/used/vin.html?vin=JTDKB20U167531872&amp;radius=50&amp;make=Toyota&amp;model=Prius&amp;year=2006&amp;defaultType=&amp;mode=&amp;invtype=USED" TargetMode="External"/><Relationship Id="rId24" Type="http://schemas.openxmlformats.org/officeDocument/2006/relationships/hyperlink" Target="http://www.carsdirect.com/used_cars/vehicle-detail/ul352964933/toyota/prius?source=UsedCarListings" TargetMode="External"/><Relationship Id="rId5" Type="http://schemas.openxmlformats.org/officeDocument/2006/relationships/hyperlink" Target="http://www.edmunds.com/inventory/used/vin.html?vin=JTDKB20U887714463&amp;radius=50&amp;make=Toyota&amp;model=Prius&amp;year=2008&amp;defaultType=&amp;mode=&amp;invtype=USED" TargetMode="External"/><Relationship Id="rId15" Type="http://schemas.openxmlformats.org/officeDocument/2006/relationships/hyperlink" Target="http://www.autotrader.com/fyc/vdp.jsp?ct=u&amp;car_id=313603078&amp;dealer_id=84285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1&amp;standard=false" TargetMode="External"/><Relationship Id="rId23" Type="http://schemas.openxmlformats.org/officeDocument/2006/relationships/hyperlink" Target="http://www.carsdirect.com/used_cars/vehicle-detail/ul401580934/toyota/prius?source=UsedCarListings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edmunds.com/inventory/used/vin.html?vin=JTDKB20U463166451&amp;radius=50&amp;make=Toyota&amp;model=Prius&amp;year=2006&amp;defaultType=&amp;mode=&amp;invtype=USED" TargetMode="External"/><Relationship Id="rId19" Type="http://schemas.openxmlformats.org/officeDocument/2006/relationships/hyperlink" Target="http://www.autotrader.com/fyc/vdp.jsp?ct=u&amp;car_id=312100827&amp;dealer_id=66066249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17&amp;standard=false" TargetMode="External"/><Relationship Id="rId4" Type="http://schemas.openxmlformats.org/officeDocument/2006/relationships/hyperlink" Target="http://www.toyotacertified.com/inventory/?SearchRadius=100&amp;SearchZipCode=98133&amp;SearchModel=Prius&amp;VehicleCategory=&amp;action=quicksearch" TargetMode="External"/><Relationship Id="rId9" Type="http://schemas.openxmlformats.org/officeDocument/2006/relationships/hyperlink" Target="http://www.edmunds.com/inventory/used/vin.html?vin=JTDKN3DU6A0027990&amp;radius=50&amp;make=Toyota&amp;model=Prius&amp;year=2010&amp;defaultType=&amp;mode=&amp;invtype=USED" TargetMode="External"/><Relationship Id="rId14" Type="http://schemas.openxmlformats.org/officeDocument/2006/relationships/hyperlink" Target="http://www.autotrader.com/fyc/vdp.jsp?ct=c&amp;car_id=302980833&amp;dealer_id=575701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50&amp;standard=false" TargetMode="External"/><Relationship Id="rId22" Type="http://schemas.openxmlformats.org/officeDocument/2006/relationships/hyperlink" Target="http://www.autotrader.com/fyc/vdp.jsp?ct=u&amp;car_id=304564548&amp;dealer_id=619216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97&amp;standard=false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6"/>
  <sheetViews>
    <sheetView tabSelected="1" workbookViewId="0">
      <selection activeCell="D3" sqref="D3"/>
    </sheetView>
  </sheetViews>
  <sheetFormatPr defaultRowHeight="15" x14ac:dyDescent="0.25"/>
  <cols>
    <col min="1" max="1" width="20.42578125" customWidth="1"/>
    <col min="2" max="3" width="14" customWidth="1"/>
    <col min="4" max="4" width="30.7109375" customWidth="1"/>
    <col min="5" max="5" width="14.5703125" style="3" customWidth="1"/>
    <col min="6" max="6" width="11.5703125" style="3" bestFit="1" customWidth="1"/>
    <col min="7" max="7" width="12" style="5" bestFit="1" customWidth="1"/>
    <col min="8" max="8" width="12" style="13" customWidth="1"/>
    <col min="9" max="9" width="11.85546875" style="13" customWidth="1"/>
    <col min="10" max="10" width="16.7109375" style="13" hidden="1" customWidth="1"/>
    <col min="11" max="11" width="15.7109375" style="13" customWidth="1"/>
    <col min="12" max="12" width="16.28515625" style="13" hidden="1" customWidth="1"/>
    <col min="13" max="13" width="15.85546875" style="13" customWidth="1"/>
    <col min="14" max="14" width="16.28515625" style="9" hidden="1" customWidth="1"/>
    <col min="15" max="15" width="20.28515625" style="4" customWidth="1"/>
    <col min="16" max="16" width="9.28515625" style="13" customWidth="1"/>
    <col min="17" max="17" width="11" customWidth="1"/>
    <col min="19" max="19" width="9.5703125" customWidth="1"/>
    <col min="20" max="20" width="14.42578125" customWidth="1"/>
    <col min="21" max="21" width="8.5703125" customWidth="1"/>
    <col min="22" max="22" width="22.7109375" customWidth="1"/>
    <col min="23" max="23" width="7.7109375" customWidth="1"/>
    <col min="24" max="24" width="13.28515625" customWidth="1"/>
    <col min="25" max="25" width="28.28515625" customWidth="1"/>
  </cols>
  <sheetData>
    <row r="1" spans="1:25" x14ac:dyDescent="0.25">
      <c r="A1" t="s">
        <v>2</v>
      </c>
      <c r="B1" t="s">
        <v>27</v>
      </c>
      <c r="C1" t="s">
        <v>293</v>
      </c>
      <c r="D1" t="s">
        <v>92</v>
      </c>
      <c r="E1" s="3" t="s">
        <v>209</v>
      </c>
      <c r="F1" s="3" t="s">
        <v>208</v>
      </c>
      <c r="G1" s="5" t="s">
        <v>3</v>
      </c>
      <c r="H1" s="13" t="s">
        <v>242</v>
      </c>
      <c r="I1" s="13" t="s">
        <v>203</v>
      </c>
      <c r="J1" s="13" t="s">
        <v>202</v>
      </c>
      <c r="K1" s="13" t="s">
        <v>205</v>
      </c>
      <c r="L1" s="13" t="s">
        <v>204</v>
      </c>
      <c r="M1" s="13" t="s">
        <v>207</v>
      </c>
      <c r="N1" s="9" t="s">
        <v>206</v>
      </c>
      <c r="O1" s="4" t="s">
        <v>154</v>
      </c>
      <c r="P1" s="13" t="s">
        <v>292</v>
      </c>
      <c r="Q1" t="s">
        <v>94</v>
      </c>
      <c r="R1" t="s">
        <v>291</v>
      </c>
      <c r="S1" t="s">
        <v>290</v>
      </c>
      <c r="T1" t="s">
        <v>1</v>
      </c>
      <c r="U1" t="s">
        <v>0</v>
      </c>
      <c r="V1" t="s">
        <v>9</v>
      </c>
      <c r="W1" t="s">
        <v>289</v>
      </c>
      <c r="X1" t="s">
        <v>101</v>
      </c>
      <c r="Y1" t="s">
        <v>201</v>
      </c>
    </row>
    <row r="2" spans="1:25" x14ac:dyDescent="0.25">
      <c r="A2" t="s">
        <v>260</v>
      </c>
      <c r="B2" t="s">
        <v>28</v>
      </c>
      <c r="C2">
        <v>280</v>
      </c>
      <c r="D2" t="s">
        <v>261</v>
      </c>
      <c r="E2" s="3">
        <f>IF(Table3[[#This Row],[Color I Want?]],Table3[[#This Row],[Price, Raw]],Table3[[#This Row],[Price, Raw]]+850)</f>
        <v>16844</v>
      </c>
      <c r="F2" s="3">
        <v>15994</v>
      </c>
      <c r="G2" s="5">
        <v>13370</v>
      </c>
      <c r="H2" s="13">
        <f>1-Table3[[#This Row],[Price, Adj]]/MAX(E:E)</f>
        <v>0.19194051331254502</v>
      </c>
      <c r="I2" s="13">
        <f>1-Table3[[#This Row],[Mile-Cost Rating Raw]]/MAX(J:J)</f>
        <v>0.84906032977137558</v>
      </c>
      <c r="J2" s="13">
        <f>IFERROR(Table3[[#This Row],[Price, Adj]]*Table3[[#This Row],[Mileage]],"")</f>
        <v>225204280</v>
      </c>
      <c r="K2" s="13">
        <f ca="1">1-Table3[[#This Row],[Age-Cost Rating Raw]]/MAX(L:L)</f>
        <v>0.61697579758809662</v>
      </c>
      <c r="L2" s="13">
        <f ca="1">Table3[[#This Row],[Price, Adj]]*(YEAR(NOW())-Table3[[#This Row],[Year]])</f>
        <v>50532</v>
      </c>
      <c r="M2" s="13">
        <f ca="1">Table3[[#This Row],[Warranty-Cost Rating Raw]]/MAX(N:N)</f>
        <v>1</v>
      </c>
      <c r="N2" s="9">
        <f ca="1">IF(Table3[[#This Row],[Certified Used?]]&gt;0,MIN(Table3[[#This Row],[Warranty Years Left]],Table3[[#This Row],[Warranty Mileage Years Left]])/Table3[[#This Row],[Price, Adj]],0)</f>
        <v>1.7810496319164095E-4</v>
      </c>
      <c r="O2" s="4">
        <f ca="1">Table3[[#This Row],[Mile-Cost Rating Adj]]*2+Table3[[#This Row],[Age-Cost Rating Adj]]*2+Table3[[#This Row],[Warranty-Cost Rating Adj]]*2+Table3[[#This Row],[Cost Rating, Adj]]*8</f>
        <v>6.4675963612193046</v>
      </c>
      <c r="P2" s="13" t="b">
        <f>IFERROR(OR(IFERROR(FIND("Red",Table3[[#This Row],[Color]],1),FALSE),FIND(Table3[[#This Row],[Color]],"Blue",1)),FALSE)</f>
        <v>0</v>
      </c>
      <c r="Q2" t="s">
        <v>7</v>
      </c>
      <c r="R2" s="1">
        <f>IFERROR(IF(FIND("certified",Table3[[#This Row],[Car Type]])&gt;0,1,0),0)</f>
        <v>1</v>
      </c>
      <c r="S2" s="17" t="b">
        <v>0</v>
      </c>
      <c r="T2" s="1" t="str">
        <f>TRIM(SUBSTITUTE(REPLACE(Table3[[#This Row],[Car Type]],1,5,""),"(certified)","",1))</f>
        <v>Honda Fit Sport</v>
      </c>
      <c r="U2" s="1">
        <f>MAX(LEFT(Table3[[#This Row],[Car Type]],4),0)</f>
        <v>2011</v>
      </c>
      <c r="V2" s="8" t="s">
        <v>262</v>
      </c>
      <c r="W2" s="8">
        <f ca="1">VALUE(YEAR(NOW())-Table3[[#This Row],[Year]])</f>
        <v>3</v>
      </c>
      <c r="X2" s="1">
        <f ca="1">IFERROR(IF(FIND("Fit",Table3[[#This Row],[Model]])&gt;0,6-(YEAR(NOW())-Table3[[#This Row],[Year]]),20),7-(YEAR(NOW())-Table3[[#This Row],[Year]]))</f>
        <v>3</v>
      </c>
      <c r="Y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3" spans="1:25" x14ac:dyDescent="0.25">
      <c r="A3" t="s">
        <v>78</v>
      </c>
      <c r="B3" t="s">
        <v>77</v>
      </c>
      <c r="C3">
        <v>150</v>
      </c>
      <c r="D3" t="s">
        <v>73</v>
      </c>
      <c r="E3" s="3">
        <f>IF(Table3[[#This Row],[Color I Want?]],Table3[[#This Row],[Price, Raw]],Table3[[#This Row],[Price, Raw]]+850)</f>
        <v>15850</v>
      </c>
      <c r="F3" s="3">
        <v>15000</v>
      </c>
      <c r="G3" s="5">
        <v>25466</v>
      </c>
      <c r="H3" s="13">
        <f>1-Table3[[#This Row],[Price, Adj]]/MAX(E:E)</f>
        <v>0.23962580954665391</v>
      </c>
      <c r="I3" s="13">
        <f>1-Table3[[#This Row],[Mile-Cost Rating Raw]]/MAX(J:J)</f>
        <v>0.7294691742698316</v>
      </c>
      <c r="J3" s="14">
        <f>IFERROR(Table3[[#This Row],[Price, Adj]]*Table3[[#This Row],[Mileage]],"")</f>
        <v>403636100</v>
      </c>
      <c r="K3" s="14">
        <f ca="1">1-Table3[[#This Row],[Age-Cost Rating Raw]]/MAX(L:L)</f>
        <v>0.39929810731529836</v>
      </c>
      <c r="L3" s="14">
        <f ca="1">Table3[[#This Row],[Price, Adj]]*(YEAR(NOW())-Table3[[#This Row],[Year]])</f>
        <v>79250</v>
      </c>
      <c r="M3" s="14">
        <f ca="1">Table3[[#This Row],[Warranty-Cost Rating Raw]]/MAX(N:N)</f>
        <v>0.70847528916929547</v>
      </c>
      <c r="N3" s="10">
        <f ca="1">IF(Table3[[#This Row],[Certified Used?]]&gt;0,MIN(Table3[[#This Row],[Warranty Years Left]],Table3[[#This Row],[Warranty Mileage Years Left]])/Table3[[#This Row],[Price, Adj]],0)</f>
        <v>1.2618296529968455E-4</v>
      </c>
      <c r="O3" s="18">
        <f ca="1">Table3[[#This Row],[Mile-Cost Rating Adj]]*2+Table3[[#This Row],[Age-Cost Rating Adj]]*2+Table3[[#This Row],[Warranty-Cost Rating Adj]]*2+Table3[[#This Row],[Cost Rating, Adj]]*6</f>
        <v>5.1122399987887741</v>
      </c>
      <c r="P3" s="14" t="b">
        <f>IFERROR(OR(IFERROR(FIND("Red",Table3[[#This Row],[Color]],1),FALSE),FIND(Table3[[#This Row],[Color]],"Blue",1)),FALSE)</f>
        <v>0</v>
      </c>
      <c r="Q3" t="s">
        <v>8</v>
      </c>
      <c r="R3">
        <f>IFERROR(IF(FIND("certified",Table3[[#This Row],[Car Type]])&gt;0,1,0),0)</f>
        <v>1</v>
      </c>
      <c r="S3" s="2" t="b">
        <v>0</v>
      </c>
      <c r="T3" t="str">
        <f>TRIM(SUBSTITUTE(REPLACE(Table3[[#This Row],[Car Type]],1,5,""),"(certified)","",1))</f>
        <v>Toyota Prius</v>
      </c>
      <c r="U3">
        <f>MAX(LEFT(Table3[[#This Row],[Car Type]],4),0)</f>
        <v>2009</v>
      </c>
      <c r="V3" t="s">
        <v>91</v>
      </c>
      <c r="W3">
        <f ca="1">VALUE(YEAR(NOW())-Table3[[#This Row],[Year]])</f>
        <v>5</v>
      </c>
      <c r="X3">
        <f ca="1">IFERROR(IF(FIND("Fit",Table3[[#This Row],[Model]])&gt;0,6-(YEAR(NOW())-Table3[[#This Row],[Year]]),20),7-(YEAR(NOW())-Table3[[#This Row],[Year]]))</f>
        <v>2</v>
      </c>
      <c r="Y3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" spans="1:25" x14ac:dyDescent="0.25">
      <c r="A4" t="s">
        <v>278</v>
      </c>
      <c r="B4" t="s">
        <v>52</v>
      </c>
      <c r="C4">
        <v>181</v>
      </c>
      <c r="D4" t="s">
        <v>261</v>
      </c>
      <c r="E4" s="3">
        <f>IF(Table3[[#This Row],[Color I Want?]],Table3[[#This Row],[Price, Raw]],Table3[[#This Row],[Price, Raw]]+850)</f>
        <v>18827</v>
      </c>
      <c r="F4" s="3">
        <v>17977</v>
      </c>
      <c r="G4" s="5">
        <v>16109</v>
      </c>
      <c r="H4" s="13">
        <f>1-Table3[[#This Row],[Price, Adj]]/MAX(E:E)</f>
        <v>9.6809786519549079E-2</v>
      </c>
      <c r="I4" s="13">
        <f>1-Table3[[#This Row],[Mile-Cost Rating Raw]]/MAX(J:J)</f>
        <v>0.79672851452916005</v>
      </c>
      <c r="J4" s="13">
        <f>IFERROR(Table3[[#This Row],[Price, Adj]]*Table3[[#This Row],[Mileage]],"")</f>
        <v>303284143</v>
      </c>
      <c r="K4" s="13">
        <f ca="1">1-Table3[[#This Row],[Age-Cost Rating Raw]]/MAX(L:L)</f>
        <v>0.57188336150505203</v>
      </c>
      <c r="L4" s="13">
        <f ca="1">Table3[[#This Row],[Price, Adj]]*(YEAR(NOW())-Table3[[#This Row],[Year]])</f>
        <v>56481</v>
      </c>
      <c r="M4" s="13">
        <f ca="1">Table3[[#This Row],[Warranty-Cost Rating Raw]]/MAX(N:N)</f>
        <v>0.89467254474956182</v>
      </c>
      <c r="N4" s="9">
        <f ca="1">IF(Table3[[#This Row],[Certified Used?]]&gt;0,MIN(Table3[[#This Row],[Warranty Years Left]],Table3[[#This Row],[Warranty Mileage Years Left]])/Table3[[#This Row],[Price, Adj]],0)</f>
        <v>1.5934562065119244E-4</v>
      </c>
      <c r="O4" s="4">
        <f ca="1">Table3[[#This Row],[Mile-Cost Rating Adj]]*2+Table3[[#This Row],[Age-Cost Rating Adj]]*2+Table3[[#This Row],[Warranty-Cost Rating Adj]]*2+Table3[[#This Row],[Cost Rating, Adj]]*6</f>
        <v>5.107427560684842</v>
      </c>
      <c r="P4" s="13" t="b">
        <f>IFERROR(OR(IFERROR(FIND("Red",Table3[[#This Row],[Color]],1),FALSE),FIND(Table3[[#This Row],[Color]],"Blue",1)),FALSE)</f>
        <v>0</v>
      </c>
      <c r="Q4" t="s">
        <v>126</v>
      </c>
      <c r="R4" s="1">
        <f>IFERROR(IF(FIND("certified",Table3[[#This Row],[Car Type]])&gt;0,1,0),0)</f>
        <v>1</v>
      </c>
      <c r="S4" s="1" t="b">
        <v>0</v>
      </c>
      <c r="T4" s="1" t="str">
        <f>TRIM(SUBSTITUTE(REPLACE(Table3[[#This Row],[Car Type]],1,5,""),"(certified)","",1))</f>
        <v>Honda Fit Sport</v>
      </c>
      <c r="U4" s="1">
        <f>MAX(LEFT(Table3[[#This Row],[Car Type]],4),0)</f>
        <v>2011</v>
      </c>
      <c r="V4" s="8" t="s">
        <v>279</v>
      </c>
      <c r="W4" s="8">
        <f ca="1">VALUE(YEAR(NOW())-Table3[[#This Row],[Year]])</f>
        <v>3</v>
      </c>
      <c r="X4" s="1">
        <f ca="1">IFERROR(IF(FIND("Fit",Table3[[#This Row],[Model]])&gt;0,6-(YEAR(NOW())-Table3[[#This Row],[Year]]),20),7-(YEAR(NOW())-Table3[[#This Row],[Year]]))</f>
        <v>3</v>
      </c>
      <c r="Y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5" spans="1:25" x14ac:dyDescent="0.25">
      <c r="A5" t="s">
        <v>95</v>
      </c>
      <c r="B5" t="s">
        <v>96</v>
      </c>
      <c r="C5">
        <v>191</v>
      </c>
      <c r="D5" t="s">
        <v>93</v>
      </c>
      <c r="E5" s="3">
        <f>IF(Table3[[#This Row],[Color I Want?]],Table3[[#This Row],[Price, Raw]],Table3[[#This Row],[Price, Raw]]+850)</f>
        <v>17680</v>
      </c>
      <c r="F5" s="3">
        <v>16830</v>
      </c>
      <c r="G5" s="5">
        <v>18165</v>
      </c>
      <c r="H5" s="13">
        <f>1-Table3[[#This Row],[Price, Adj]]/MAX(E:E)</f>
        <v>0.1518349724154473</v>
      </c>
      <c r="I5" s="13">
        <f>1-Table3[[#This Row],[Mile-Cost Rating Raw]]/MAX(J:J)</f>
        <v>0.78474937572434955</v>
      </c>
      <c r="J5" s="14">
        <f>IFERROR(Table3[[#This Row],[Price, Adj]]*Table3[[#This Row],[Mileage]],"")</f>
        <v>321157200</v>
      </c>
      <c r="K5" s="14">
        <f ca="1">1-Table3[[#This Row],[Age-Cost Rating Raw]]/MAX(L:L)</f>
        <v>0.4639540965216139</v>
      </c>
      <c r="L5" s="14">
        <f ca="1">Table3[[#This Row],[Price, Adj]]*(YEAR(NOW())-Table3[[#This Row],[Year]])</f>
        <v>70720</v>
      </c>
      <c r="M5" s="14">
        <f ca="1">Table3[[#This Row],[Warranty-Cost Rating Raw]]/MAX(N:N)</f>
        <v>0.63514328808446452</v>
      </c>
      <c r="N5" s="7">
        <f ca="1">IF(Table3[[#This Row],[Certified Used?]]&gt;0,MIN(Table3[[#This Row],[Warranty Years Left]],Table3[[#This Row],[Warranty Mileage Years Left]])/Table3[[#This Row],[Price, Adj]],0)</f>
        <v>1.1312217194570136E-4</v>
      </c>
      <c r="O5" s="18">
        <f ca="1">Table3[[#This Row],[Mile-Cost Rating Adj]]*2+Table3[[#This Row],[Age-Cost Rating Adj]]*2+Table3[[#This Row],[Warranty-Cost Rating Adj]]*2+Table3[[#This Row],[Cost Rating, Adj]]*6</f>
        <v>4.67870335515354</v>
      </c>
      <c r="P5" s="15" t="b">
        <f>IFERROR(OR(IFERROR(FIND("Red",Table3[[#This Row],[Color]],1),FALSE),FIND(Table3[[#This Row],[Color]],"Blue",1)),FALSE)</f>
        <v>0</v>
      </c>
      <c r="Q5" t="s">
        <v>45</v>
      </c>
      <c r="R5" s="1">
        <f>IFERROR(IF(FIND("certified",Table3[[#This Row],[Car Type]])&gt;0,1,0),0)</f>
        <v>1</v>
      </c>
      <c r="S5" s="2" t="b">
        <v>0</v>
      </c>
      <c r="T5" s="1" t="str">
        <f>TRIM(SUBSTITUTE(REPLACE(Table3[[#This Row],[Car Type]],1,5,""),"(certified)","",1))</f>
        <v>Honda Fit Sport</v>
      </c>
      <c r="U5">
        <f>MAX(LEFT(Table3[[#This Row],[Car Type]],4),0)</f>
        <v>2010</v>
      </c>
      <c r="V5" t="s">
        <v>97</v>
      </c>
      <c r="W5">
        <f ca="1">VALUE(YEAR(NOW())-Table3[[#This Row],[Year]])</f>
        <v>4</v>
      </c>
      <c r="X5">
        <f ca="1">IFERROR(IF(FIND("Fit",Table3[[#This Row],[Model]])&gt;0,6-(YEAR(NOW())-Table3[[#This Row],[Year]]),20),7-(YEAR(NOW())-Table3[[#This Row],[Year]]))</f>
        <v>2</v>
      </c>
      <c r="Y5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" spans="1:25" x14ac:dyDescent="0.25">
      <c r="A6" t="s">
        <v>104</v>
      </c>
      <c r="B6" t="s">
        <v>75</v>
      </c>
      <c r="C6">
        <v>219</v>
      </c>
      <c r="D6" t="s">
        <v>93</v>
      </c>
      <c r="E6" s="3">
        <f>IF(Table3[[#This Row],[Color I Want?]],Table3[[#This Row],[Price, Raw]],Table3[[#This Row],[Price, Raw]]+850)</f>
        <v>18000</v>
      </c>
      <c r="F6" s="3">
        <v>18000</v>
      </c>
      <c r="G6" s="5">
        <v>23599</v>
      </c>
      <c r="H6" s="13">
        <f>1-Table3[[#This Row],[Price, Adj]]/MAX(E:E)</f>
        <v>0.13648356920124727</v>
      </c>
      <c r="I6" s="13">
        <f>1-Table3[[#This Row],[Mile-Cost Rating Raw]]/MAX(J:J)</f>
        <v>0.71529646328633045</v>
      </c>
      <c r="J6" s="13">
        <f>IFERROR(Table3[[#This Row],[Price, Adj]]*Table3[[#This Row],[Mileage]],"")</f>
        <v>424782000</v>
      </c>
      <c r="K6" s="13">
        <f ca="1">1-Table3[[#This Row],[Age-Cost Rating Raw]]/MAX(L:L)</f>
        <v>0.45425190822336259</v>
      </c>
      <c r="L6" s="13">
        <f ca="1">Table3[[#This Row],[Price, Adj]]*(YEAR(NOW())-Table3[[#This Row],[Year]])</f>
        <v>72000</v>
      </c>
      <c r="M6" s="13">
        <f ca="1">Table3[[#This Row],[Warranty-Cost Rating Raw]]/MAX(N:N)</f>
        <v>0.62385185185185188</v>
      </c>
      <c r="N6" s="6">
        <f ca="1">IF(Table3[[#This Row],[Certified Used?]]&gt;0,MIN(Table3[[#This Row],[Warranty Years Left]],Table3[[#This Row],[Warranty Mileage Years Left]])/Table3[[#This Row],[Price, Adj]],0)</f>
        <v>1.1111111111111112E-4</v>
      </c>
      <c r="O6" s="4">
        <f ca="1">Table3[[#This Row],[Mile-Cost Rating Adj]]*2+Table3[[#This Row],[Age-Cost Rating Adj]]*2+Table3[[#This Row],[Warranty-Cost Rating Adj]]*2+Table3[[#This Row],[Cost Rating, Adj]]*6</f>
        <v>4.4057018619305737</v>
      </c>
      <c r="P6" s="16" t="b">
        <f>IFERROR(OR(IFERROR(FIND("Red",Table3[[#This Row],[Color]],1),FALSE),FIND(Table3[[#This Row],[Color]],"Blue",1)),FALSE)</f>
        <v>1</v>
      </c>
      <c r="Q6" t="s">
        <v>13</v>
      </c>
      <c r="R6" s="1">
        <f>IFERROR(IF(FIND("certified",Table3[[#This Row],[Car Type]])&gt;0,1,0),0)</f>
        <v>1</v>
      </c>
      <c r="S6" s="2" t="b">
        <v>0</v>
      </c>
      <c r="T6" s="1" t="str">
        <f>TRIM(SUBSTITUTE(REPLACE(Table3[[#This Row],[Car Type]],1,5,""),"(certified)","",1))</f>
        <v>Honda Fit Sport</v>
      </c>
      <c r="U6">
        <f>MAX(LEFT(Table3[[#This Row],[Car Type]],4),0)</f>
        <v>2010</v>
      </c>
      <c r="V6" t="s">
        <v>103</v>
      </c>
      <c r="W6">
        <f ca="1">VALUE(YEAR(NOW())-Table3[[#This Row],[Year]])</f>
        <v>4</v>
      </c>
      <c r="X6" s="1">
        <f ca="1">IFERROR(IF(FIND("Fit",Table3[[#This Row],[Model]])&gt;0,6-(YEAR(NOW())-Table3[[#This Row],[Year]]),20),7-(YEAR(NOW())-Table3[[#This Row],[Year]]))</f>
        <v>2</v>
      </c>
      <c r="Y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" spans="1:25" x14ac:dyDescent="0.25">
      <c r="A7" t="s">
        <v>131</v>
      </c>
      <c r="B7" t="s">
        <v>57</v>
      </c>
      <c r="C7">
        <v>192</v>
      </c>
      <c r="D7" t="s">
        <v>93</v>
      </c>
      <c r="E7" s="3">
        <f>IF(Table3[[#This Row],[Color I Want?]],Table3[[#This Row],[Price, Raw]],Table3[[#This Row],[Price, Raw]]+850)</f>
        <v>17845</v>
      </c>
      <c r="F7" s="3">
        <v>16995</v>
      </c>
      <c r="G7" s="5">
        <v>27129</v>
      </c>
      <c r="H7" s="13">
        <f>1-Table3[[#This Row],[Price, Adj]]/MAX(E:E)</f>
        <v>0.1439194051331254</v>
      </c>
      <c r="I7" s="13">
        <f>1-Table3[[#This Row],[Mile-Cost Rating Raw]]/MAX(J:J)</f>
        <v>0.67552809792616153</v>
      </c>
      <c r="J7" s="13">
        <f>IFERROR(Table3[[#This Row],[Price, Adj]]*Table3[[#This Row],[Mileage]],"")</f>
        <v>484117005</v>
      </c>
      <c r="K7" s="13">
        <f ca="1">1-Table3[[#This Row],[Age-Cost Rating Raw]]/MAX(L:L)</f>
        <v>0.45895140568032811</v>
      </c>
      <c r="L7" s="13">
        <f ca="1">Table3[[#This Row],[Price, Adj]]*(YEAR(NOW())-Table3[[#This Row],[Year]])</f>
        <v>71380</v>
      </c>
      <c r="M7" s="13">
        <f ca="1">Table3[[#This Row],[Warranty-Cost Rating Raw]]/MAX(N:N)</f>
        <v>0.62927057065471192</v>
      </c>
      <c r="N7" s="6">
        <f ca="1">IF(Table3[[#This Row],[Certified Used?]]&gt;0,MIN(Table3[[#This Row],[Warranty Years Left]],Table3[[#This Row],[Warranty Mileage Years Left]])/Table3[[#This Row],[Price, Adj]],0)</f>
        <v>1.1207621182404035E-4</v>
      </c>
      <c r="O7" s="4">
        <f ca="1">Table3[[#This Row],[Mile-Cost Rating Adj]]*2+Table3[[#This Row],[Age-Cost Rating Adj]]*2+Table3[[#This Row],[Warranty-Cost Rating Adj]]*2+Table3[[#This Row],[Cost Rating, Adj]]*6</f>
        <v>4.3910165793211551</v>
      </c>
      <c r="P7" s="16" t="b">
        <f>IFERROR(OR(IFERROR(FIND("Red",Table3[[#This Row],[Color]],1),FALSE),FIND(Table3[[#This Row],[Color]],"Blue",1)),FALSE)</f>
        <v>0</v>
      </c>
      <c r="Q7" t="s">
        <v>45</v>
      </c>
      <c r="R7" s="1">
        <f>IFERROR(IF(FIND("certified",Table3[[#This Row],[Car Type]])&gt;0,1,0),0)</f>
        <v>1</v>
      </c>
      <c r="S7" s="2" t="b">
        <v>0</v>
      </c>
      <c r="T7" s="1" t="str">
        <f>TRIM(SUBSTITUTE(REPLACE(Table3[[#This Row],[Car Type]],1,5,""),"(certified)","",1))</f>
        <v>Honda Fit Sport</v>
      </c>
      <c r="U7">
        <f>MAX(LEFT(Table3[[#This Row],[Car Type]],4),0)</f>
        <v>2010</v>
      </c>
      <c r="V7" t="s">
        <v>130</v>
      </c>
      <c r="W7">
        <f ca="1">VALUE(YEAR(NOW())-Table3[[#This Row],[Year]])</f>
        <v>4</v>
      </c>
      <c r="X7" s="1">
        <f ca="1">IFERROR(IF(FIND("Fit",Table3[[#This Row],[Model]])&gt;0,6-(YEAR(NOW())-Table3[[#This Row],[Year]]),20),7-(YEAR(NOW())-Table3[[#This Row],[Year]]))</f>
        <v>2</v>
      </c>
      <c r="Y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8" spans="1:25" x14ac:dyDescent="0.25">
      <c r="A8" t="s">
        <v>136</v>
      </c>
      <c r="B8" t="s">
        <v>134</v>
      </c>
      <c r="C8">
        <v>142</v>
      </c>
      <c r="D8" t="s">
        <v>19</v>
      </c>
      <c r="E8" s="3">
        <f>IF(Table3[[#This Row],[Color I Want?]],Table3[[#This Row],[Price, Raw]],Table3[[#This Row],[Price, Raw]]+850)</f>
        <v>13990</v>
      </c>
      <c r="F8" s="3">
        <v>13990</v>
      </c>
      <c r="G8" s="5">
        <v>36975</v>
      </c>
      <c r="H8" s="13">
        <f>1-Table3[[#This Row],[Price, Adj]]/MAX(E:E)</f>
        <v>0.32885584072919161</v>
      </c>
      <c r="I8" s="13">
        <f>1-Table3[[#This Row],[Mile-Cost Rating Raw]]/MAX(J:J)</f>
        <v>0.65330094814014905</v>
      </c>
      <c r="J8" s="13">
        <f>IFERROR(Table3[[#This Row],[Price, Adj]]*Table3[[#This Row],[Mileage]],"")</f>
        <v>517280250</v>
      </c>
      <c r="K8" s="13">
        <f ca="1">1-Table3[[#This Row],[Age-Cost Rating Raw]]/MAX(L:L)</f>
        <v>0.46979056916978068</v>
      </c>
      <c r="L8" s="13">
        <f ca="1">Table3[[#This Row],[Price, Adj]]*(YEAR(NOW())-Table3[[#This Row],[Year]])</f>
        <v>69950</v>
      </c>
      <c r="M8" s="13">
        <f ca="1">Table3[[#This Row],[Warranty-Cost Rating Raw]]/MAX(N:N)</f>
        <v>0</v>
      </c>
      <c r="N8" s="6">
        <f>IF(Table3[[#This Row],[Certified Used?]]&gt;0,MIN(Table3[[#This Row],[Warranty Years Left]],Table3[[#This Row],[Warranty Mileage Years Left]])/Table3[[#This Row],[Price, Adj]],0)</f>
        <v>0</v>
      </c>
      <c r="O8" s="4">
        <f ca="1">Table3[[#This Row],[Mile-Cost Rating Adj]]*2+Table3[[#This Row],[Age-Cost Rating Adj]]*2+Table3[[#This Row],[Warranty-Cost Rating Adj]]*2+Table3[[#This Row],[Cost Rating, Adj]]*6</f>
        <v>4.2193180789950091</v>
      </c>
      <c r="P8" s="16" t="b">
        <v>1</v>
      </c>
      <c r="Q8" t="s">
        <v>6</v>
      </c>
      <c r="R8" s="1">
        <f>IFERROR(IF(FIND("certified",Table3[[#This Row],[Car Type]])&gt;0,1,0),0)</f>
        <v>0</v>
      </c>
      <c r="S8" s="2" t="b">
        <v>0</v>
      </c>
      <c r="T8" s="1" t="str">
        <f>TRIM(SUBSTITUTE(REPLACE(Table3[[#This Row],[Car Type]],1,5,""),"(certified)","",1))</f>
        <v>Honda Fit Sport</v>
      </c>
      <c r="U8">
        <f>MAX(LEFT(Table3[[#This Row],[Car Type]],4),0)</f>
        <v>2009</v>
      </c>
      <c r="V8" t="s">
        <v>135</v>
      </c>
      <c r="W8">
        <f ca="1">VALUE(YEAR(NOW())-Table3[[#This Row],[Year]])</f>
        <v>5</v>
      </c>
      <c r="X8" s="1">
        <f ca="1">IFERROR(IF(FIND("Fit",Table3[[#This Row],[Model]])&gt;0,6-(YEAR(NOW())-Table3[[#This Row],[Year]]),20),7-(YEAR(NOW())-Table3[[#This Row],[Year]]))</f>
        <v>1</v>
      </c>
      <c r="Y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" spans="1:25" x14ac:dyDescent="0.25">
      <c r="A9" t="s">
        <v>125</v>
      </c>
      <c r="B9" t="s">
        <v>33</v>
      </c>
      <c r="C9">
        <v>80</v>
      </c>
      <c r="D9" t="s">
        <v>93</v>
      </c>
      <c r="E9" s="3">
        <f>IF(Table3[[#This Row],[Color I Want?]],Table3[[#This Row],[Price, Raw]],Table3[[#This Row],[Price, Raw]]+850)</f>
        <v>18849</v>
      </c>
      <c r="F9" s="3">
        <v>17999</v>
      </c>
      <c r="G9" s="5">
        <v>21343</v>
      </c>
      <c r="H9" s="13">
        <f>1-Table3[[#This Row],[Price, Adj]]/MAX(E:E)</f>
        <v>9.5754377548572744E-2</v>
      </c>
      <c r="I9" s="13">
        <f>1-Table3[[#This Row],[Mile-Cost Rating Raw]]/MAX(J:J)</f>
        <v>0.73036855720741212</v>
      </c>
      <c r="J9" s="13">
        <f>IFERROR(Table3[[#This Row],[Price, Adj]]*Table3[[#This Row],[Mileage]],"")</f>
        <v>402294207</v>
      </c>
      <c r="K9" s="13">
        <f ca="1">1-Table3[[#This Row],[Age-Cost Rating Raw]]/MAX(L:L)</f>
        <v>0.42851078989456448</v>
      </c>
      <c r="L9" s="13">
        <f ca="1">Table3[[#This Row],[Price, Adj]]*(YEAR(NOW())-Table3[[#This Row],[Year]])</f>
        <v>75396</v>
      </c>
      <c r="M9" s="13">
        <f ca="1">Table3[[#This Row],[Warranty-Cost Rating Raw]]/MAX(N:N)</f>
        <v>0.59575220612941449</v>
      </c>
      <c r="N9" s="6">
        <f ca="1">IF(Table3[[#This Row],[Certified Used?]]&gt;0,MIN(Table3[[#This Row],[Warranty Years Left]],Table3[[#This Row],[Warranty Mileage Years Left]])/Table3[[#This Row],[Price, Adj]],0)</f>
        <v>1.0610642474401825E-4</v>
      </c>
      <c r="O9" s="4">
        <f ca="1">Table3[[#This Row],[Mile-Cost Rating Adj]]*2+Table3[[#This Row],[Age-Cost Rating Adj]]*2+Table3[[#This Row],[Warranty-Cost Rating Adj]]*2+Table3[[#This Row],[Cost Rating, Adj]]*6</f>
        <v>4.0837893717542189</v>
      </c>
      <c r="P9" s="16" t="b">
        <f>IFERROR(OR(IFERROR(FIND("Red",Table3[[#This Row],[Color]],1),FALSE),FIND(Table3[[#This Row],[Color]],"Blue",1)),FALSE)</f>
        <v>0</v>
      </c>
      <c r="Q9" t="s">
        <v>126</v>
      </c>
      <c r="R9" s="1">
        <f>IFERROR(IF(FIND("certified",Table3[[#This Row],[Car Type]])&gt;0,1,0),0)</f>
        <v>1</v>
      </c>
      <c r="S9" s="2" t="b">
        <v>0</v>
      </c>
      <c r="T9" s="1" t="str">
        <f>TRIM(SUBSTITUTE(REPLACE(Table3[[#This Row],[Car Type]],1,5,""),"(certified)","",1))</f>
        <v>Honda Fit Sport</v>
      </c>
      <c r="U9">
        <f>MAX(LEFT(Table3[[#This Row],[Car Type]],4),0)</f>
        <v>2010</v>
      </c>
      <c r="V9" t="s">
        <v>127</v>
      </c>
      <c r="W9">
        <f ca="1">VALUE(YEAR(NOW())-Table3[[#This Row],[Year]])</f>
        <v>4</v>
      </c>
      <c r="X9" s="1">
        <f ca="1">IFERROR(IF(FIND("Fit",Table3[[#This Row],[Model]])&gt;0,6-(YEAR(NOW())-Table3[[#This Row],[Year]]),20),7-(YEAR(NOW())-Table3[[#This Row],[Year]]))</f>
        <v>2</v>
      </c>
      <c r="Y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0" spans="1:25" x14ac:dyDescent="0.25">
      <c r="A10" t="s">
        <v>20</v>
      </c>
      <c r="B10" t="s">
        <v>59</v>
      </c>
      <c r="C10">
        <v>10</v>
      </c>
      <c r="D10" t="s">
        <v>19</v>
      </c>
      <c r="E10" s="3">
        <f>IF(Table3[[#This Row],[Color I Want?]],Table3[[#This Row],[Price, Raw]],Table3[[#This Row],[Price, Raw]]+850)</f>
        <v>15841</v>
      </c>
      <c r="F10" s="3">
        <v>14991</v>
      </c>
      <c r="G10" s="5">
        <v>11599</v>
      </c>
      <c r="H10" s="13">
        <f>1-Table3[[#This Row],[Price, Adj]]/MAX(E:E)</f>
        <v>0.24005756776205323</v>
      </c>
      <c r="I10" s="13">
        <f>1-Table3[[#This Row],[Mile-Cost Rating Raw]]/MAX(J:J)</f>
        <v>0.87685128084001374</v>
      </c>
      <c r="J10" s="13">
        <f>IFERROR(Table3[[#This Row],[Price, Adj]]*Table3[[#This Row],[Mileage]],"")</f>
        <v>183739759</v>
      </c>
      <c r="K10" s="13">
        <f ca="1">1-Table3[[#This Row],[Age-Cost Rating Raw]]/MAX(L:L)</f>
        <v>0.39963919987265872</v>
      </c>
      <c r="L10" s="13">
        <f ca="1">Table3[[#This Row],[Price, Adj]]*(YEAR(NOW())-Table3[[#This Row],[Year]])</f>
        <v>79205</v>
      </c>
      <c r="M10" s="13">
        <f ca="1">Table3[[#This Row],[Warranty-Cost Rating Raw]]/MAX(N:N)</f>
        <v>0</v>
      </c>
      <c r="N10" s="6">
        <f>IF(Table3[[#This Row],[Certified Used?]]&gt;0,MIN(Table3[[#This Row],[Warranty Years Left]],Table3[[#This Row],[Warranty Mileage Years Left]])/Table3[[#This Row],[Price, Adj]],0)</f>
        <v>0</v>
      </c>
      <c r="O10" s="4">
        <f ca="1">Table3[[#This Row],[Mile-Cost Rating Adj]]*2+Table3[[#This Row],[Age-Cost Rating Adj]]*2+Table3[[#This Row],[Warranty-Cost Rating Adj]]*2+Table3[[#This Row],[Cost Rating, Adj]]*6</f>
        <v>3.9933263679976641</v>
      </c>
      <c r="P10" s="16" t="b">
        <f>IFERROR(OR(IFERROR(FIND("Red",Table3[[#This Row],[Color]],1),FALSE),FIND(Table3[[#This Row],[Color]],"Blue",1)),FALSE)</f>
        <v>0</v>
      </c>
      <c r="Q10" t="s">
        <v>7</v>
      </c>
      <c r="R10" s="1">
        <f>IFERROR(IF(FIND("certified",Table3[[#This Row],[Car Type]])&gt;0,1,0),0)</f>
        <v>0</v>
      </c>
      <c r="S10" s="2" t="b">
        <v>0</v>
      </c>
      <c r="T10" s="1" t="str">
        <f>TRIM(SUBSTITUTE(REPLACE(Table3[[#This Row],[Car Type]],1,5,""),"(certified)","",1))</f>
        <v>Honda Fit Sport</v>
      </c>
      <c r="U10">
        <f>MAX(LEFT(Table3[[#This Row],[Car Type]],4),0)</f>
        <v>2009</v>
      </c>
      <c r="V10" t="s">
        <v>111</v>
      </c>
      <c r="W10">
        <f ca="1">VALUE(YEAR(NOW())-Table3[[#This Row],[Year]])</f>
        <v>5</v>
      </c>
      <c r="X10" s="1">
        <f ca="1">IFERROR(IF(FIND("Fit",Table3[[#This Row],[Model]])&gt;0,6-(YEAR(NOW())-Table3[[#This Row],[Year]]),20),7-(YEAR(NOW())-Table3[[#This Row],[Year]]))</f>
        <v>1</v>
      </c>
      <c r="Y1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1" spans="1:25" x14ac:dyDescent="0.25">
      <c r="A11" t="s">
        <v>259</v>
      </c>
      <c r="B11" t="s">
        <v>51</v>
      </c>
      <c r="C11">
        <v>60</v>
      </c>
      <c r="D11" t="s">
        <v>106</v>
      </c>
      <c r="E11" s="3">
        <f>IF(Table3[[#This Row],[Color I Want?]],Table3[[#This Row],[Price, Raw]],Table3[[#This Row],[Price, Raw]]+850)</f>
        <v>15749</v>
      </c>
      <c r="F11" s="3">
        <v>14899</v>
      </c>
      <c r="G11" s="5">
        <v>50920</v>
      </c>
      <c r="H11" s="13">
        <f>1-Table3[[#This Row],[Price, Adj]]/MAX(E:E)</f>
        <v>0.24447109618613572</v>
      </c>
      <c r="I11" s="13">
        <f>1-Table3[[#This Row],[Mile-Cost Rating Raw]]/MAX(J:J)</f>
        <v>0.46251278937218054</v>
      </c>
      <c r="J11" s="13">
        <f>IFERROR(Table3[[#This Row],[Price, Adj]]*Table3[[#This Row],[Mileage]],"")</f>
        <v>801939080</v>
      </c>
      <c r="K11" s="13">
        <f ca="1">1-Table3[[#This Row],[Age-Cost Rating Raw]]/MAX(L:L)</f>
        <v>0.4031259237923428</v>
      </c>
      <c r="L11" s="13">
        <f ca="1">Table3[[#This Row],[Price, Adj]]*(YEAR(NOW())-Table3[[#This Row],[Year]])</f>
        <v>78745</v>
      </c>
      <c r="M11" s="13">
        <f ca="1">Table3[[#This Row],[Warranty-Cost Rating Raw]]/MAX(N:N)</f>
        <v>0.35650940800474101</v>
      </c>
      <c r="N11" s="9">
        <f ca="1">IF(Table3[[#This Row],[Certified Used?]]&gt;0,MIN(Table3[[#This Row],[Warranty Years Left]],Table3[[#This Row],[Warranty Mileage Years Left]])/Table3[[#This Row],[Price, Adj]],0)</f>
        <v>6.3496094990158104E-5</v>
      </c>
      <c r="O11" s="4">
        <f ca="1">Table3[[#This Row],[Mile-Cost Rating Adj]]*2+Table3[[#This Row],[Age-Cost Rating Adj]]*2+Table3[[#This Row],[Warranty-Cost Rating Adj]]*2+Table3[[#This Row],[Cost Rating, Adj]]*6</f>
        <v>3.9111228194553433</v>
      </c>
      <c r="P11" s="13" t="b">
        <f>IFERROR(OR(IFERROR(FIND("Red",Table3[[#This Row],[Color]],1),FALSE),FIND(Table3[[#This Row],[Color]],"Blue",1)),FALSE)</f>
        <v>0</v>
      </c>
      <c r="Q11" t="s">
        <v>22</v>
      </c>
      <c r="R11" s="1">
        <f>IFERROR(IF(FIND("certified",Table3[[#This Row],[Car Type]])&gt;0,1,0),0)</f>
        <v>1</v>
      </c>
      <c r="S11" s="17" t="b">
        <v>0</v>
      </c>
      <c r="T11" s="1" t="str">
        <f>TRIM(SUBSTITUTE(REPLACE(Table3[[#This Row],[Car Type]],1,5,""),"(certified)","",1))</f>
        <v>Honda Fit Sport</v>
      </c>
      <c r="U11" s="1">
        <f>MAX(LEFT(Table3[[#This Row],[Car Type]],4),0)</f>
        <v>2009</v>
      </c>
      <c r="V11" s="8" t="s">
        <v>263</v>
      </c>
      <c r="W11" s="8">
        <f ca="1">VALUE(YEAR(NOW())-Table3[[#This Row],[Year]])</f>
        <v>5</v>
      </c>
      <c r="X11" s="1">
        <f ca="1">IFERROR(IF(FIND("Fit",Table3[[#This Row],[Model]])&gt;0,6-(YEAR(NOW())-Table3[[#This Row],[Year]]),20),7-(YEAR(NOW())-Table3[[#This Row],[Year]]))</f>
        <v>1</v>
      </c>
      <c r="Y1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12" spans="1:25" x14ac:dyDescent="0.25">
      <c r="A12" t="s">
        <v>137</v>
      </c>
      <c r="B12" t="s">
        <v>138</v>
      </c>
      <c r="C12">
        <v>10</v>
      </c>
      <c r="D12" t="s">
        <v>106</v>
      </c>
      <c r="E12" s="3">
        <f>IF(Table3[[#This Row],[Color I Want?]],Table3[[#This Row],[Price, Raw]],Table3[[#This Row],[Price, Raw]]+850)</f>
        <v>16831</v>
      </c>
      <c r="F12" s="3">
        <v>15981</v>
      </c>
      <c r="G12" s="5">
        <v>28514</v>
      </c>
      <c r="H12" s="13">
        <f>1-Table3[[#This Row],[Price, Adj]]/MAX(E:E)</f>
        <v>0.19256416406812182</v>
      </c>
      <c r="I12" s="13">
        <f>1-Table3[[#This Row],[Mile-Cost Rating Raw]]/MAX(J:J)</f>
        <v>0.67834165575198213</v>
      </c>
      <c r="J12" s="13">
        <f>IFERROR(Table3[[#This Row],[Price, Adj]]*Table3[[#This Row],[Mileage]],"")</f>
        <v>479919134</v>
      </c>
      <c r="K12" s="13">
        <f ca="1">1-Table3[[#This Row],[Age-Cost Rating Raw]]/MAX(L:L)</f>
        <v>0.36211901856301498</v>
      </c>
      <c r="L12" s="13">
        <f ca="1">Table3[[#This Row],[Price, Adj]]*(YEAR(NOW())-Table3[[#This Row],[Year]])</f>
        <v>84155</v>
      </c>
      <c r="M12" s="13">
        <f ca="1">Table3[[#This Row],[Warranty-Cost Rating Raw]]/MAX(N:N)</f>
        <v>0.33359079476363057</v>
      </c>
      <c r="N12" s="6">
        <f ca="1">IF(Table3[[#This Row],[Certified Used?]]&gt;0,MIN(Table3[[#This Row],[Warranty Years Left]],Table3[[#This Row],[Warranty Mileage Years Left]])/Table3[[#This Row],[Price, Adj]],0)</f>
        <v>5.9414176222446673E-5</v>
      </c>
      <c r="O12" s="4">
        <f ca="1">Table3[[#This Row],[Mile-Cost Rating Adj]]*2+Table3[[#This Row],[Age-Cost Rating Adj]]*2+Table3[[#This Row],[Warranty-Cost Rating Adj]]*2+Table3[[#This Row],[Cost Rating, Adj]]*6</f>
        <v>3.9034879225659864</v>
      </c>
      <c r="P12" s="16" t="b">
        <f>IFERROR(OR(IFERROR(FIND("Red",Table3[[#This Row],[Color]],1),FALSE),FIND(Table3[[#This Row],[Color]],"Blue",1)),FALSE)</f>
        <v>0</v>
      </c>
      <c r="Q12" t="s">
        <v>7</v>
      </c>
      <c r="R12" s="1">
        <f>IFERROR(IF(FIND("certified",Table3[[#This Row],[Car Type]])&gt;0,1,0),0)</f>
        <v>1</v>
      </c>
      <c r="S12" s="2" t="b">
        <v>0</v>
      </c>
      <c r="T12" s="1" t="str">
        <f>TRIM(SUBSTITUTE(REPLACE(Table3[[#This Row],[Car Type]],1,5,""),"(certified)","",1))</f>
        <v>Honda Fit Sport</v>
      </c>
      <c r="U12">
        <f>MAX(LEFT(Table3[[#This Row],[Car Type]],4),0)</f>
        <v>2009</v>
      </c>
      <c r="V12" t="s">
        <v>139</v>
      </c>
      <c r="W12">
        <f ca="1">VALUE(YEAR(NOW())-Table3[[#This Row],[Year]])</f>
        <v>5</v>
      </c>
      <c r="X12" s="1">
        <f ca="1">IFERROR(IF(FIND("Fit",Table3[[#This Row],[Model]])&gt;0,6-(YEAR(NOW())-Table3[[#This Row],[Year]]),20),7-(YEAR(NOW())-Table3[[#This Row],[Year]]))</f>
        <v>1</v>
      </c>
      <c r="Y1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3" spans="1:25" x14ac:dyDescent="0.25">
      <c r="A13" t="s">
        <v>280</v>
      </c>
      <c r="B13" t="s">
        <v>75</v>
      </c>
      <c r="C13">
        <v>219</v>
      </c>
      <c r="D13" t="s">
        <v>19</v>
      </c>
      <c r="E13" s="3">
        <f>IF(Table3[[#This Row],[Color I Want?]],Table3[[#This Row],[Price, Raw]],Table3[[#This Row],[Price, Raw]]+850)</f>
        <v>13825</v>
      </c>
      <c r="F13" s="3">
        <v>12975</v>
      </c>
      <c r="G13" s="5">
        <v>59815</v>
      </c>
      <c r="H13" s="13">
        <f>1-Table3[[#This Row],[Price, Adj]]/MAX(E:E)</f>
        <v>0.33677140801151351</v>
      </c>
      <c r="I13" s="13">
        <f>1-Table3[[#This Row],[Mile-Cost Rating Raw]]/MAX(J:J)</f>
        <v>0.44575471931272603</v>
      </c>
      <c r="J13" s="13">
        <f>IFERROR(Table3[[#This Row],[Price, Adj]]*Table3[[#This Row],[Mileage]],"")</f>
        <v>826942375</v>
      </c>
      <c r="K13" s="13">
        <f ca="1">1-Table3[[#This Row],[Age-Cost Rating Raw]]/MAX(L:L)</f>
        <v>0.47604393272138801</v>
      </c>
      <c r="L13" s="13">
        <f ca="1">Table3[[#This Row],[Price, Adj]]*(YEAR(NOW())-Table3[[#This Row],[Year]])</f>
        <v>69125</v>
      </c>
      <c r="M13" s="13">
        <f ca="1">Table3[[#This Row],[Warranty-Cost Rating Raw]]/MAX(N:N)</f>
        <v>0</v>
      </c>
      <c r="N13" s="9">
        <f>IF(Table3[[#This Row],[Certified Used?]]&gt;0,MIN(Table3[[#This Row],[Warranty Years Left]],Table3[[#This Row],[Warranty Mileage Years Left]])/Table3[[#This Row],[Price, Adj]],0)</f>
        <v>0</v>
      </c>
      <c r="O13" s="4">
        <f ca="1">Table3[[#This Row],[Mile-Cost Rating Adj]]*2+Table3[[#This Row],[Age-Cost Rating Adj]]*2+Table3[[#This Row],[Warranty-Cost Rating Adj]]*2+Table3[[#This Row],[Cost Rating, Adj]]*6</f>
        <v>3.8642257521373091</v>
      </c>
      <c r="P13" s="13" t="b">
        <f>IFERROR(OR(IFERROR(FIND("Red",Table3[[#This Row],[Color]],1),FALSE),FIND(Table3[[#This Row],[Color]],"Blue",1)),FALSE)</f>
        <v>0</v>
      </c>
      <c r="Q13" t="s">
        <v>8</v>
      </c>
      <c r="R13" s="1">
        <f>IFERROR(IF(FIND("certified",Table3[[#This Row],[Car Type]])&gt;0,1,0),0)</f>
        <v>0</v>
      </c>
      <c r="S13" s="1" t="b">
        <v>0</v>
      </c>
      <c r="T13" s="1" t="str">
        <f>TRIM(SUBSTITUTE(REPLACE(Table3[[#This Row],[Car Type]],1,5,""),"(certified)","",1))</f>
        <v>Honda Fit Sport</v>
      </c>
      <c r="U13" s="1">
        <f>MAX(LEFT(Table3[[#This Row],[Car Type]],4),0)</f>
        <v>2009</v>
      </c>
      <c r="V13" s="8" t="s">
        <v>281</v>
      </c>
      <c r="W13" s="8">
        <f ca="1">VALUE(YEAR(NOW())-Table3[[#This Row],[Year]])</f>
        <v>5</v>
      </c>
      <c r="X13" s="1">
        <f ca="1">IFERROR(IF(FIND("Fit",Table3[[#This Row],[Model]])&gt;0,6-(YEAR(NOW())-Table3[[#This Row],[Year]]),20),7-(YEAR(NOW())-Table3[[#This Row],[Year]]))</f>
        <v>1</v>
      </c>
      <c r="Y1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14" spans="1:25" x14ac:dyDescent="0.25">
      <c r="A14" t="s">
        <v>228</v>
      </c>
      <c r="B14" t="s">
        <v>229</v>
      </c>
      <c r="C14">
        <v>30</v>
      </c>
      <c r="D14" t="s">
        <v>73</v>
      </c>
      <c r="E14" s="3">
        <f>IF(Table3[[#This Row],[Color I Want?]],Table3[[#This Row],[Price, Raw]],Table3[[#This Row],[Price, Raw]]+850)</f>
        <v>16849</v>
      </c>
      <c r="F14" s="3">
        <v>15999</v>
      </c>
      <c r="G14" s="5">
        <v>62814</v>
      </c>
      <c r="H14" s="13">
        <f>1-Table3[[#This Row],[Price, Adj]]/MAX(E:E)</f>
        <v>0.19170064763732308</v>
      </c>
      <c r="I14" s="14">
        <f>1-Table3[[#This Row],[Mile-Cost Rating Raw]]/MAX(J:J)</f>
        <v>0.29065528512030525</v>
      </c>
      <c r="J14" s="14">
        <f>IFERROR(Table3[[#This Row],[Price, Adj]]*Table3[[#This Row],[Mileage]],"")</f>
        <v>1058353086</v>
      </c>
      <c r="K14" s="14">
        <f ca="1">1-Table3[[#This Row],[Age-Cost Rating Raw]]/MAX(L:L)</f>
        <v>0.36143683344829414</v>
      </c>
      <c r="L14" s="14">
        <f ca="1">Table3[[#This Row],[Price, Adj]]*(YEAR(NOW())-Table3[[#This Row],[Year]])</f>
        <v>84245</v>
      </c>
      <c r="M14" s="14">
        <f ca="1">Table3[[#This Row],[Warranty-Cost Rating Raw]]/MAX(N:N)</f>
        <v>0.66646883098898058</v>
      </c>
      <c r="N14" s="10">
        <f ca="1">IF(Table3[[#This Row],[Certified Used?]]&gt;0,MIN(Table3[[#This Row],[Warranty Years Left]],Table3[[#This Row],[Warranty Mileage Years Left]])/Table3[[#This Row],[Price, Adj]],0)</f>
        <v>1.1870140661166835E-4</v>
      </c>
      <c r="O14" s="18">
        <f ca="1">Table3[[#This Row],[Mile-Cost Rating Adj]]*2+Table3[[#This Row],[Age-Cost Rating Adj]]*2+Table3[[#This Row],[Warranty-Cost Rating Adj]]*2+Table3[[#This Row],[Cost Rating, Adj]]*6</f>
        <v>3.7873257849390982</v>
      </c>
      <c r="P14" s="14" t="b">
        <f>IFERROR(OR(IFERROR(FIND("Red",Table3[[#This Row],[Color]],1),FALSE),FIND(Table3[[#This Row],[Color]],"Blue",1)),FALSE)</f>
        <v>0</v>
      </c>
      <c r="Q14" t="s">
        <v>145</v>
      </c>
      <c r="R14" s="1">
        <f>IFERROR(IF(FIND("certified",Table3[[#This Row],[Car Type]])&gt;0,1,0),0)</f>
        <v>1</v>
      </c>
      <c r="S14" s="17" t="b">
        <v>0</v>
      </c>
      <c r="T14" s="1" t="str">
        <f>TRIM(SUBSTITUTE(REPLACE(Table3[[#This Row],[Car Type]],1,5,""),"(certified)","",1))</f>
        <v>Toyota Prius</v>
      </c>
      <c r="U14" s="1">
        <f>MAX(LEFT(Table3[[#This Row],[Car Type]],4),0)</f>
        <v>2009</v>
      </c>
      <c r="V14" t="s">
        <v>230</v>
      </c>
      <c r="W14">
        <f ca="1">VALUE(YEAR(NOW())-Table3[[#This Row],[Year]])</f>
        <v>5</v>
      </c>
      <c r="X14" s="1">
        <f ca="1">IFERROR(IF(FIND("Fit",Table3[[#This Row],[Model]])&gt;0,6-(YEAR(NOW())-Table3[[#This Row],[Year]]),20),7-(YEAR(NOW())-Table3[[#This Row],[Year]]))</f>
        <v>2</v>
      </c>
      <c r="Y1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15" spans="1:25" x14ac:dyDescent="0.25">
      <c r="A15" t="s">
        <v>220</v>
      </c>
      <c r="B15" t="s">
        <v>33</v>
      </c>
      <c r="C15">
        <v>80</v>
      </c>
      <c r="D15" t="s">
        <v>73</v>
      </c>
      <c r="E15" s="3">
        <f>IF(Table3[[#This Row],[Color I Want?]],Table3[[#This Row],[Price, Raw]],Table3[[#This Row],[Price, Raw]]+850)</f>
        <v>16751</v>
      </c>
      <c r="F15" s="3">
        <v>15901</v>
      </c>
      <c r="G15" s="5">
        <v>68808</v>
      </c>
      <c r="H15" s="13">
        <f>1-Table3[[#This Row],[Price, Adj]]/MAX(E:E)</f>
        <v>0.19640201487167186</v>
      </c>
      <c r="I15" s="14">
        <f>1-Table3[[#This Row],[Mile-Cost Rating Raw]]/MAX(J:J)</f>
        <v>0.22748587307440837</v>
      </c>
      <c r="J15" s="14">
        <f>IFERROR(Table3[[#This Row],[Price, Adj]]*Table3[[#This Row],[Mileage]],"")</f>
        <v>1152602808</v>
      </c>
      <c r="K15" s="14">
        <f ca="1">1-Table3[[#This Row],[Age-Cost Rating Raw]]/MAX(L:L)</f>
        <v>0.36515095240621853</v>
      </c>
      <c r="L15" s="14">
        <f ca="1">Table3[[#This Row],[Price, Adj]]*(YEAR(NOW())-Table3[[#This Row],[Year]])</f>
        <v>83755</v>
      </c>
      <c r="M15" s="14">
        <f ca="1">Table3[[#This Row],[Warranty-Cost Rating Raw]]/MAX(N:N)</f>
        <v>0.67036793823254326</v>
      </c>
      <c r="N15" s="10">
        <f ca="1">IF(Table3[[#This Row],[Certified Used?]]&gt;0,MIN(Table3[[#This Row],[Warranty Years Left]],Table3[[#This Row],[Warranty Mileage Years Left]])/Table3[[#This Row],[Price, Adj]],0)</f>
        <v>1.1939585696376336E-4</v>
      </c>
      <c r="O15" s="18">
        <f ca="1">Table3[[#This Row],[Mile-Cost Rating Adj]]*2+Table3[[#This Row],[Age-Cost Rating Adj]]*2+Table3[[#This Row],[Warranty-Cost Rating Adj]]*2+Table3[[#This Row],[Cost Rating, Adj]]*6</f>
        <v>3.7044216166563713</v>
      </c>
      <c r="P15" s="14" t="b">
        <f>IFERROR(OR(IFERROR(FIND("Red",Table3[[#This Row],[Color]],1),FALSE),FIND(Table3[[#This Row],[Color]],"Blue",1)),FALSE)</f>
        <v>0</v>
      </c>
      <c r="Q15" t="s">
        <v>145</v>
      </c>
      <c r="R15" s="1">
        <f>IFERROR(IF(FIND("certified",Table3[[#This Row],[Car Type]])&gt;0,1,0),0)</f>
        <v>1</v>
      </c>
      <c r="S15" s="17" t="b">
        <v>0</v>
      </c>
      <c r="T15" s="1" t="str">
        <f>TRIM(SUBSTITUTE(REPLACE(Table3[[#This Row],[Car Type]],1,5,""),"(certified)","",1))</f>
        <v>Toyota Prius</v>
      </c>
      <c r="U15" s="1">
        <f>MAX(LEFT(Table3[[#This Row],[Car Type]],4),0)</f>
        <v>2009</v>
      </c>
      <c r="V15" t="s">
        <v>221</v>
      </c>
      <c r="W15">
        <f ca="1">VALUE(YEAR(NOW())-Table3[[#This Row],[Year]])</f>
        <v>5</v>
      </c>
      <c r="X15" s="1">
        <f ca="1">IFERROR(IF(FIND("Fit",Table3[[#This Row],[Model]])&gt;0,6-(YEAR(NOW())-Table3[[#This Row],[Year]]),20),7-(YEAR(NOW())-Table3[[#This Row],[Year]]))</f>
        <v>2</v>
      </c>
      <c r="Y15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16" spans="1:25" x14ac:dyDescent="0.25">
      <c r="A16" t="s">
        <v>264</v>
      </c>
      <c r="B16" t="s">
        <v>59</v>
      </c>
      <c r="C16">
        <v>10</v>
      </c>
      <c r="D16" t="s">
        <v>19</v>
      </c>
      <c r="E16" s="3">
        <f>IF(Table3[[#This Row],[Color I Want?]],Table3[[#This Row],[Price, Raw]],Table3[[#This Row],[Price, Raw]]+850)</f>
        <v>16888</v>
      </c>
      <c r="F16" s="3">
        <v>16888</v>
      </c>
      <c r="G16" s="5">
        <v>7681</v>
      </c>
      <c r="H16" s="13">
        <f>1-Table3[[#This Row],[Price, Adj]]/MAX(E:E)</f>
        <v>0.18982969537059247</v>
      </c>
      <c r="I16" s="13">
        <f>1-Table3[[#This Row],[Mile-Cost Rating Raw]]/MAX(J:J)</f>
        <v>0.91305937814567217</v>
      </c>
      <c r="J16" s="13">
        <f>IFERROR(Table3[[#This Row],[Price, Adj]]*Table3[[#This Row],[Mileage]],"")</f>
        <v>129716728</v>
      </c>
      <c r="K16" s="13">
        <f ca="1">1-Table3[[#This Row],[Age-Cost Rating Raw]]/MAX(L:L)</f>
        <v>0.3599587656997324</v>
      </c>
      <c r="L16" s="13">
        <f ca="1">Table3[[#This Row],[Price, Adj]]*(YEAR(NOW())-Table3[[#This Row],[Year]])</f>
        <v>84440</v>
      </c>
      <c r="M16" s="13">
        <f ca="1">Table3[[#This Row],[Warranty-Cost Rating Raw]]/MAX(N:N)</f>
        <v>0</v>
      </c>
      <c r="N16" s="9">
        <f>IF(Table3[[#This Row],[Certified Used?]]&gt;0,MIN(Table3[[#This Row],[Warranty Years Left]],Table3[[#This Row],[Warranty Mileage Years Left]])/Table3[[#This Row],[Price, Adj]],0)</f>
        <v>0</v>
      </c>
      <c r="O16" s="4">
        <f ca="1">Table3[[#This Row],[Mile-Cost Rating Adj]]*2+Table3[[#This Row],[Age-Cost Rating Adj]]*2+Table3[[#This Row],[Warranty-Cost Rating Adj]]*2+Table3[[#This Row],[Cost Rating, Adj]]*6</f>
        <v>3.6850144599143637</v>
      </c>
      <c r="P16" s="13" t="b">
        <v>1</v>
      </c>
      <c r="Q16" t="s">
        <v>6</v>
      </c>
      <c r="R16" s="1">
        <f>IFERROR(IF(FIND("certified",Table3[[#This Row],[Car Type]])&gt;0,1,0),0)</f>
        <v>0</v>
      </c>
      <c r="S16" s="17" t="b">
        <v>0</v>
      </c>
      <c r="T16" s="1" t="str">
        <f>TRIM(SUBSTITUTE(REPLACE(Table3[[#This Row],[Car Type]],1,5,""),"(certified)","",1))</f>
        <v>Honda Fit Sport</v>
      </c>
      <c r="U16" s="1">
        <f>MAX(LEFT(Table3[[#This Row],[Car Type]],4),0)</f>
        <v>2009</v>
      </c>
      <c r="V16" s="8" t="s">
        <v>265</v>
      </c>
      <c r="W16" s="8">
        <f ca="1">VALUE(YEAR(NOW())-Table3[[#This Row],[Year]])</f>
        <v>5</v>
      </c>
      <c r="X16" s="1">
        <f ca="1">IFERROR(IF(FIND("Fit",Table3[[#This Row],[Model]])&gt;0,6-(YEAR(NOW())-Table3[[#This Row],[Year]]),20),7-(YEAR(NOW())-Table3[[#This Row],[Year]]))</f>
        <v>1</v>
      </c>
      <c r="Y1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7" spans="1:25" x14ac:dyDescent="0.25">
      <c r="A17" t="s">
        <v>121</v>
      </c>
      <c r="B17" t="s">
        <v>119</v>
      </c>
      <c r="C17">
        <v>18</v>
      </c>
      <c r="D17" t="s">
        <v>21</v>
      </c>
      <c r="E17" s="3">
        <f>IF(Table3[[#This Row],[Color I Want?]],Table3[[#This Row],[Price, Raw]],Table3[[#This Row],[Price, Raw]]+850)</f>
        <v>17105</v>
      </c>
      <c r="F17" s="3">
        <v>16255</v>
      </c>
      <c r="G17" s="5">
        <v>18622</v>
      </c>
      <c r="H17" s="13">
        <f>1-Table3[[#This Row],[Price, Adj]]/MAX(E:E)</f>
        <v>0.17941952506596304</v>
      </c>
      <c r="I17" s="13">
        <f>1-Table3[[#This Row],[Mile-Cost Rating Raw]]/MAX(J:J)</f>
        <v>0.78651067817382836</v>
      </c>
      <c r="J17" s="13">
        <f>IFERROR(Table3[[#This Row],[Price, Adj]]*Table3[[#This Row],[Mileage]],"")</f>
        <v>318529310</v>
      </c>
      <c r="K17" s="13">
        <f ca="1">1-Table3[[#This Row],[Age-Cost Rating Raw]]/MAX(L:L)</f>
        <v>0.48138771612003428</v>
      </c>
      <c r="L17" s="13">
        <f ca="1">Table3[[#This Row],[Price, Adj]]*(YEAR(NOW())-Table3[[#This Row],[Year]])</f>
        <v>68420</v>
      </c>
      <c r="M17" s="13">
        <f ca="1">Table3[[#This Row],[Warranty-Cost Rating Raw]]/MAX(N:N)</f>
        <v>0</v>
      </c>
      <c r="N17" s="6">
        <f>IF(Table3[[#This Row],[Certified Used?]]&gt;0,MIN(Table3[[#This Row],[Warranty Years Left]],Table3[[#This Row],[Warranty Mileage Years Left]])/Table3[[#This Row],[Price, Adj]],0)</f>
        <v>0</v>
      </c>
      <c r="O17" s="4">
        <f ca="1">Table3[[#This Row],[Mile-Cost Rating Adj]]*2+Table3[[#This Row],[Age-Cost Rating Adj]]*2+Table3[[#This Row],[Warranty-Cost Rating Adj]]*2+Table3[[#This Row],[Cost Rating, Adj]]*6</f>
        <v>3.6123139389835037</v>
      </c>
      <c r="P17" s="16" t="b">
        <f>IFERROR(OR(IFERROR(FIND("Red",Table3[[#This Row],[Color]],1),FALSE),FIND(Table3[[#This Row],[Color]],"Blue",1)),FALSE)</f>
        <v>0</v>
      </c>
      <c r="Q17" t="s">
        <v>22</v>
      </c>
      <c r="R17" s="1">
        <f>IFERROR(IF(FIND("certified",Table3[[#This Row],[Car Type]])&gt;0,1,0),0)</f>
        <v>0</v>
      </c>
      <c r="S17" s="2" t="b">
        <v>0</v>
      </c>
      <c r="T17" s="1" t="str">
        <f>TRIM(SUBSTITUTE(REPLACE(Table3[[#This Row],[Car Type]],1,5,""),"(certified)","",1))</f>
        <v>Honda Fit Sport</v>
      </c>
      <c r="U17">
        <f>MAX(LEFT(Table3[[#This Row],[Car Type]],4),0)</f>
        <v>2010</v>
      </c>
      <c r="V17" t="s">
        <v>120</v>
      </c>
      <c r="W17">
        <f ca="1">VALUE(YEAR(NOW())-Table3[[#This Row],[Year]])</f>
        <v>4</v>
      </c>
      <c r="X17" s="1">
        <f ca="1">IFERROR(IF(FIND("Fit",Table3[[#This Row],[Model]])&gt;0,6-(YEAR(NOW())-Table3[[#This Row],[Year]]),20),7-(YEAR(NOW())-Table3[[#This Row],[Year]]))</f>
        <v>2</v>
      </c>
      <c r="Y1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8" spans="1:25" x14ac:dyDescent="0.25">
      <c r="A18" t="s">
        <v>115</v>
      </c>
      <c r="B18" t="s">
        <v>113</v>
      </c>
      <c r="C18">
        <v>22</v>
      </c>
      <c r="D18" t="s">
        <v>19</v>
      </c>
      <c r="E18" s="3">
        <f>IF(Table3[[#This Row],[Color I Want?]],Table3[[#This Row],[Price, Raw]],Table3[[#This Row],[Price, Raw]]+850)</f>
        <v>16955</v>
      </c>
      <c r="F18" s="3">
        <v>16955</v>
      </c>
      <c r="G18" s="5">
        <v>12772</v>
      </c>
      <c r="H18" s="13">
        <f>1-Table3[[#This Row],[Price, Adj]]/MAX(E:E)</f>
        <v>0.18661549532261934</v>
      </c>
      <c r="I18" s="13">
        <f>1-Table3[[#This Row],[Mile-Cost Rating Raw]]/MAX(J:J)</f>
        <v>0.85486122247475649</v>
      </c>
      <c r="J18" s="13">
        <f>IFERROR(Table3[[#This Row],[Price, Adj]]*Table3[[#This Row],[Mileage]],"")</f>
        <v>216549260</v>
      </c>
      <c r="K18" s="13">
        <f ca="1">1-Table3[[#This Row],[Age-Cost Rating Raw]]/MAX(L:L)</f>
        <v>0.35741952110604946</v>
      </c>
      <c r="L18" s="13">
        <f ca="1">Table3[[#This Row],[Price, Adj]]*(YEAR(NOW())-Table3[[#This Row],[Year]])</f>
        <v>84775</v>
      </c>
      <c r="M18" s="13">
        <f ca="1">Table3[[#This Row],[Warranty-Cost Rating Raw]]/MAX(N:N)</f>
        <v>0</v>
      </c>
      <c r="N18" s="6">
        <f>IF(Table3[[#This Row],[Certified Used?]]&gt;0,MIN(Table3[[#This Row],[Warranty Years Left]],Table3[[#This Row],[Warranty Mileage Years Left]])/Table3[[#This Row],[Price, Adj]],0)</f>
        <v>0</v>
      </c>
      <c r="O18" s="4">
        <f ca="1">Table3[[#This Row],[Mile-Cost Rating Adj]]*2+Table3[[#This Row],[Age-Cost Rating Adj]]*2+Table3[[#This Row],[Warranty-Cost Rating Adj]]*2+Table3[[#This Row],[Cost Rating, Adj]]*6</f>
        <v>3.5442544590973282</v>
      </c>
      <c r="P18" s="16" t="b">
        <v>1</v>
      </c>
      <c r="Q18" t="s">
        <v>112</v>
      </c>
      <c r="R18" s="1">
        <f>IFERROR(IF(FIND("certified",Table3[[#This Row],[Car Type]])&gt;0,1,0),0)</f>
        <v>0</v>
      </c>
      <c r="S18" s="2" t="b">
        <v>0</v>
      </c>
      <c r="T18" s="1" t="str">
        <f>TRIM(SUBSTITUTE(REPLACE(Table3[[#This Row],[Car Type]],1,5,""),"(certified)","",1))</f>
        <v>Honda Fit Sport</v>
      </c>
      <c r="U18">
        <f>MAX(LEFT(Table3[[#This Row],[Car Type]],4),0)</f>
        <v>2009</v>
      </c>
      <c r="V18" t="s">
        <v>114</v>
      </c>
      <c r="W18">
        <f ca="1">VALUE(YEAR(NOW())-Table3[[#This Row],[Year]])</f>
        <v>5</v>
      </c>
      <c r="X18" s="1">
        <f ca="1">IFERROR(IF(FIND("Fit",Table3[[#This Row],[Model]])&gt;0,6-(YEAR(NOW())-Table3[[#This Row],[Year]]),20),7-(YEAR(NOW())-Table3[[#This Row],[Year]]))</f>
        <v>1</v>
      </c>
      <c r="Y1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9" spans="1:25" x14ac:dyDescent="0.25">
      <c r="A19" t="s">
        <v>24</v>
      </c>
      <c r="B19" t="s">
        <v>77</v>
      </c>
      <c r="C19">
        <v>150</v>
      </c>
      <c r="D19" t="s">
        <v>12</v>
      </c>
      <c r="E19" s="3">
        <f>IF(Table3[[#This Row],[Color I Want?]],Table3[[#This Row],[Price, Raw]],Table3[[#This Row],[Price, Raw]]+850)</f>
        <v>14850</v>
      </c>
      <c r="F19" s="3">
        <v>14000</v>
      </c>
      <c r="G19" s="5">
        <v>42984</v>
      </c>
      <c r="H19" s="13">
        <f>1-Table3[[#This Row],[Price, Adj]]/MAX(E:E)</f>
        <v>0.28759894459102897</v>
      </c>
      <c r="I19" s="13">
        <f>1-Table3[[#This Row],[Mile-Cost Rating Raw]]/MAX(J:J)</f>
        <v>0.57218102977953267</v>
      </c>
      <c r="J19" s="13">
        <f>IFERROR(Table3[[#This Row],[Price, Adj]]*Table3[[#This Row],[Mileage]],"")</f>
        <v>638312400</v>
      </c>
      <c r="K19" s="13">
        <f ca="1">1-Table3[[#This Row],[Age-Cost Rating Raw]]/MAX(L:L)</f>
        <v>0.32463673642641122</v>
      </c>
      <c r="L19" s="13">
        <f ca="1">Table3[[#This Row],[Price, Adj]]*(YEAR(NOW())-Table3[[#This Row],[Year]])</f>
        <v>89100</v>
      </c>
      <c r="M19" s="13">
        <f ca="1">Table3[[#This Row],[Warranty-Cost Rating Raw]]/MAX(N:N)</f>
        <v>0</v>
      </c>
      <c r="N19" s="6">
        <f>IF(Table3[[#This Row],[Certified Used?]]&gt;0,MIN(Table3[[#This Row],[Warranty Years Left]],Table3[[#This Row],[Warranty Mileage Years Left]])/Table3[[#This Row],[Price, Adj]],0)</f>
        <v>0</v>
      </c>
      <c r="O19" s="4">
        <f ca="1">Table3[[#This Row],[Mile-Cost Rating Adj]]*2+Table3[[#This Row],[Age-Cost Rating Adj]]*2+Table3[[#This Row],[Warranty-Cost Rating Adj]]*2+Table3[[#This Row],[Cost Rating, Adj]]*6</f>
        <v>3.5192291999580618</v>
      </c>
      <c r="P19" s="16" t="b">
        <f>IFERROR(OR(IFERROR(FIND("Red",Table3[[#This Row],[Color]],1),FALSE),FIND(Table3[[#This Row],[Color]],"Blue",1)),FALSE)</f>
        <v>0</v>
      </c>
      <c r="Q19" t="s">
        <v>22</v>
      </c>
      <c r="R19">
        <f>IFERROR(IF(FIND("certified",Table3[[#This Row],[Car Type]])&gt;0,1,0),0)</f>
        <v>0</v>
      </c>
      <c r="S19" s="2" t="b">
        <v>0</v>
      </c>
      <c r="T19" t="str">
        <f>TRIM(SUBSTITUTE(REPLACE(Table3[[#This Row],[Car Type]],1,5,""),"(certified)","",1))</f>
        <v>Honda Fit Sport</v>
      </c>
      <c r="U19">
        <f>MAX(LEFT(Table3[[#This Row],[Car Type]],4),0)</f>
        <v>2008</v>
      </c>
      <c r="V19" t="s">
        <v>23</v>
      </c>
      <c r="W19">
        <f ca="1">VALUE(YEAR(NOW())-Table3[[#This Row],[Year]])</f>
        <v>6</v>
      </c>
      <c r="X19">
        <f ca="1">IFERROR(IF(FIND("Fit",Table3[[#This Row],[Model]])&gt;0,6-(YEAR(NOW())-Table3[[#This Row],[Year]]),20),7-(YEAR(NOW())-Table3[[#This Row],[Year]]))</f>
        <v>0</v>
      </c>
      <c r="Y19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0" spans="1:25" x14ac:dyDescent="0.25">
      <c r="A20" t="s">
        <v>110</v>
      </c>
      <c r="B20" t="s">
        <v>59</v>
      </c>
      <c r="C20">
        <v>10</v>
      </c>
      <c r="D20" t="s">
        <v>21</v>
      </c>
      <c r="E20" s="3">
        <f>IF(Table3[[#This Row],[Color I Want?]],Table3[[#This Row],[Price, Raw]],Table3[[#This Row],[Price, Raw]]+850)</f>
        <v>17841</v>
      </c>
      <c r="F20" s="3">
        <v>16991</v>
      </c>
      <c r="G20" s="5">
        <v>11312</v>
      </c>
      <c r="H20" s="13">
        <f>1-Table3[[#This Row],[Price, Adj]]/MAX(E:E)</f>
        <v>0.144111297673303</v>
      </c>
      <c r="I20" s="13">
        <f>1-Table3[[#This Row],[Mile-Cost Rating Raw]]/MAX(J:J)</f>
        <v>0.86473502814919412</v>
      </c>
      <c r="J20" s="13">
        <f>IFERROR(Table3[[#This Row],[Price, Adj]]*Table3[[#This Row],[Mileage]],"")</f>
        <v>201817392</v>
      </c>
      <c r="K20" s="13">
        <f ca="1">1-Table3[[#This Row],[Age-Cost Rating Raw]]/MAX(L:L)</f>
        <v>0.45907268303405624</v>
      </c>
      <c r="L20" s="13">
        <f ca="1">Table3[[#This Row],[Price, Adj]]*(YEAR(NOW())-Table3[[#This Row],[Year]])</f>
        <v>71364</v>
      </c>
      <c r="M20" s="13">
        <f ca="1">Table3[[#This Row],[Warranty-Cost Rating Raw]]/MAX(N:N)</f>
        <v>0</v>
      </c>
      <c r="N20" s="6">
        <f>IF(Table3[[#This Row],[Certified Used?]]&gt;0,MIN(Table3[[#This Row],[Warranty Years Left]],Table3[[#This Row],[Warranty Mileage Years Left]])/Table3[[#This Row],[Price, Adj]],0)</f>
        <v>0</v>
      </c>
      <c r="O20" s="4">
        <f ca="1">Table3[[#This Row],[Mile-Cost Rating Adj]]*2+Table3[[#This Row],[Age-Cost Rating Adj]]*2+Table3[[#This Row],[Warranty-Cost Rating Adj]]*2+Table3[[#This Row],[Cost Rating, Adj]]*6</f>
        <v>3.5122832084063189</v>
      </c>
      <c r="P20" s="16" t="b">
        <f>IFERROR(OR(IFERROR(FIND("Red",Table3[[#This Row],[Color]],1),FALSE),FIND(Table3[[#This Row],[Color]],"Blue",1)),FALSE)</f>
        <v>0</v>
      </c>
      <c r="Q20" t="s">
        <v>7</v>
      </c>
      <c r="R20" s="1">
        <f>IFERROR(IF(FIND("certified",Table3[[#This Row],[Car Type]])&gt;0,1,0),0)</f>
        <v>0</v>
      </c>
      <c r="S20" s="2" t="b">
        <v>0</v>
      </c>
      <c r="T20" s="1" t="str">
        <f>TRIM(SUBSTITUTE(REPLACE(Table3[[#This Row],[Car Type]],1,5,""),"(certified)","",1))</f>
        <v>Honda Fit Sport</v>
      </c>
      <c r="U20">
        <f>MAX(LEFT(Table3[[#This Row],[Car Type]],4),0)</f>
        <v>2010</v>
      </c>
      <c r="V20" t="s">
        <v>109</v>
      </c>
      <c r="W20">
        <f ca="1">VALUE(YEAR(NOW())-Table3[[#This Row],[Year]])</f>
        <v>4</v>
      </c>
      <c r="X20" s="1">
        <f ca="1">IFERROR(IF(FIND("Fit",Table3[[#This Row],[Model]])&gt;0,6-(YEAR(NOW())-Table3[[#This Row],[Year]]),20),7-(YEAR(NOW())-Table3[[#This Row],[Year]]))</f>
        <v>2</v>
      </c>
      <c r="Y2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1" spans="1:25" x14ac:dyDescent="0.25">
      <c r="A21" t="s">
        <v>124</v>
      </c>
      <c r="B21" t="s">
        <v>122</v>
      </c>
      <c r="C21">
        <v>10</v>
      </c>
      <c r="D21" t="s">
        <v>21</v>
      </c>
      <c r="E21" s="3">
        <f>IF(Table3[[#This Row],[Color I Want?]],Table3[[#This Row],[Price, Raw]],Table3[[#This Row],[Price, Raw]]+850)</f>
        <v>17349</v>
      </c>
      <c r="F21" s="3">
        <v>16499</v>
      </c>
      <c r="G21" s="5">
        <v>19615</v>
      </c>
      <c r="H21" s="13">
        <f>1-Table3[[#This Row],[Price, Adj]]/MAX(E:E)</f>
        <v>0.16771408011513556</v>
      </c>
      <c r="I21" s="13">
        <f>1-Table3[[#This Row],[Mile-Cost Rating Raw]]/MAX(J:J)</f>
        <v>0.77191878579975715</v>
      </c>
      <c r="J21" s="13">
        <f>IFERROR(Table3[[#This Row],[Price, Adj]]*Table3[[#This Row],[Mileage]],"")</f>
        <v>340300635</v>
      </c>
      <c r="K21" s="13">
        <f ca="1">1-Table3[[#This Row],[Age-Cost Rating Raw]]/MAX(L:L)</f>
        <v>0.47398979754261761</v>
      </c>
      <c r="L21" s="13">
        <f ca="1">Table3[[#This Row],[Price, Adj]]*(YEAR(NOW())-Table3[[#This Row],[Year]])</f>
        <v>69396</v>
      </c>
      <c r="M21" s="13">
        <f ca="1">Table3[[#This Row],[Warranty-Cost Rating Raw]]/MAX(N:N)</f>
        <v>0</v>
      </c>
      <c r="N21" s="6">
        <f>IF(Table3[[#This Row],[Certified Used?]]&gt;0,MIN(Table3[[#This Row],[Warranty Years Left]],Table3[[#This Row],[Warranty Mileage Years Left]])/Table3[[#This Row],[Price, Adj]],0)</f>
        <v>0</v>
      </c>
      <c r="O21" s="4">
        <f ca="1">Table3[[#This Row],[Mile-Cost Rating Adj]]*2+Table3[[#This Row],[Age-Cost Rating Adj]]*2+Table3[[#This Row],[Warranty-Cost Rating Adj]]*2+Table3[[#This Row],[Cost Rating, Adj]]*6</f>
        <v>3.4981016473755631</v>
      </c>
      <c r="P21" s="16" t="b">
        <f>IFERROR(OR(IFERROR(FIND("Red",Table3[[#This Row],[Color]],1),FALSE),FIND(Table3[[#This Row],[Color]],"Blue",1)),FALSE)</f>
        <v>0</v>
      </c>
      <c r="Q21" t="s">
        <v>8</v>
      </c>
      <c r="R21" s="1">
        <f>IFERROR(IF(FIND("certified",Table3[[#This Row],[Car Type]])&gt;0,1,0),0)</f>
        <v>0</v>
      </c>
      <c r="S21" s="2" t="b">
        <v>0</v>
      </c>
      <c r="T21" s="1" t="str">
        <f>TRIM(SUBSTITUTE(REPLACE(Table3[[#This Row],[Car Type]],1,5,""),"(certified)","",1))</f>
        <v>Honda Fit Sport</v>
      </c>
      <c r="U21">
        <f>MAX(LEFT(Table3[[#This Row],[Car Type]],4),0)</f>
        <v>2010</v>
      </c>
      <c r="V21" t="s">
        <v>123</v>
      </c>
      <c r="W21">
        <f ca="1">VALUE(YEAR(NOW())-Table3[[#This Row],[Year]])</f>
        <v>4</v>
      </c>
      <c r="X21" s="1">
        <f ca="1">IFERROR(IF(FIND("Fit",Table3[[#This Row],[Model]])&gt;0,6-(YEAR(NOW())-Table3[[#This Row],[Year]]),20),7-(YEAR(NOW())-Table3[[#This Row],[Year]]))</f>
        <v>2</v>
      </c>
      <c r="Y2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2" spans="1:25" x14ac:dyDescent="0.25">
      <c r="A22" t="s">
        <v>118</v>
      </c>
      <c r="B22" t="s">
        <v>116</v>
      </c>
      <c r="C22">
        <v>33</v>
      </c>
      <c r="D22" t="s">
        <v>21</v>
      </c>
      <c r="E22" s="3">
        <f>IF(Table3[[#This Row],[Color I Want?]],Table3[[#This Row],[Price, Raw]],Table3[[#This Row],[Price, Raw]]+850)</f>
        <v>17838</v>
      </c>
      <c r="F22" s="3">
        <v>16988</v>
      </c>
      <c r="G22" s="5">
        <v>12912</v>
      </c>
      <c r="H22" s="13">
        <f>1-Table3[[#This Row],[Price, Adj]]/MAX(E:E)</f>
        <v>0.14425521707843603</v>
      </c>
      <c r="I22" s="13">
        <f>1-Table3[[#This Row],[Mile-Cost Rating Raw]]/MAX(J:J)</f>
        <v>0.84562874539376753</v>
      </c>
      <c r="J22" s="13">
        <f>IFERROR(Table3[[#This Row],[Price, Adj]]*Table3[[#This Row],[Mileage]],"")</f>
        <v>230324256</v>
      </c>
      <c r="K22" s="13">
        <f ca="1">1-Table3[[#This Row],[Age-Cost Rating Raw]]/MAX(L:L)</f>
        <v>0.45916364104935226</v>
      </c>
      <c r="L22" s="13">
        <f ca="1">Table3[[#This Row],[Price, Adj]]*(YEAR(NOW())-Table3[[#This Row],[Year]])</f>
        <v>71352</v>
      </c>
      <c r="M22" s="13">
        <f ca="1">Table3[[#This Row],[Warranty-Cost Rating Raw]]/MAX(N:N)</f>
        <v>0</v>
      </c>
      <c r="N22" s="6">
        <f>IF(Table3[[#This Row],[Certified Used?]]&gt;0,MIN(Table3[[#This Row],[Warranty Years Left]],Table3[[#This Row],[Warranty Mileage Years Left]])/Table3[[#This Row],[Price, Adj]],0)</f>
        <v>0</v>
      </c>
      <c r="O22" s="4">
        <f ca="1">Table3[[#This Row],[Mile-Cost Rating Adj]]*2+Table3[[#This Row],[Age-Cost Rating Adj]]*2+Table3[[#This Row],[Warranty-Cost Rating Adj]]*2+Table3[[#This Row],[Cost Rating, Adj]]*6</f>
        <v>3.4751160753568557</v>
      </c>
      <c r="P22" s="16" t="b">
        <f>IFERROR(OR(IFERROR(FIND("Red",Table3[[#This Row],[Color]],1),FALSE),FIND(Table3[[#This Row],[Color]],"Blue",1)),FALSE)</f>
        <v>0</v>
      </c>
      <c r="Q22" t="s">
        <v>22</v>
      </c>
      <c r="R22" s="1">
        <f>IFERROR(IF(FIND("certified",Table3[[#This Row],[Car Type]])&gt;0,1,0),0)</f>
        <v>0</v>
      </c>
      <c r="S22" s="2" t="b">
        <v>0</v>
      </c>
      <c r="T22" s="1" t="str">
        <f>TRIM(SUBSTITUTE(REPLACE(Table3[[#This Row],[Car Type]],1,5,""),"(certified)","",1))</f>
        <v>Honda Fit Sport</v>
      </c>
      <c r="U22">
        <f>MAX(LEFT(Table3[[#This Row],[Car Type]],4),0)</f>
        <v>2010</v>
      </c>
      <c r="V22" t="s">
        <v>117</v>
      </c>
      <c r="W22">
        <f ca="1">VALUE(YEAR(NOW())-Table3[[#This Row],[Year]])</f>
        <v>4</v>
      </c>
      <c r="X22" s="1">
        <f ca="1">IFERROR(IF(FIND("Fit",Table3[[#This Row],[Model]])&gt;0,6-(YEAR(NOW())-Table3[[#This Row],[Year]]),20),7-(YEAR(NOW())-Table3[[#This Row],[Year]]))</f>
        <v>2</v>
      </c>
      <c r="Y2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3" spans="1:25" x14ac:dyDescent="0.25">
      <c r="A23" t="s">
        <v>107</v>
      </c>
      <c r="B23" t="s">
        <v>50</v>
      </c>
      <c r="C23">
        <v>15</v>
      </c>
      <c r="D23" t="s">
        <v>106</v>
      </c>
      <c r="E23" s="3">
        <f>IF(Table3[[#This Row],[Color I Want?]],Table3[[#This Row],[Price, Raw]],Table3[[#This Row],[Price, Raw]]+850)</f>
        <v>17055</v>
      </c>
      <c r="F23" s="3">
        <v>16205</v>
      </c>
      <c r="G23" s="5">
        <v>43380</v>
      </c>
      <c r="H23" s="13">
        <f>1-Table3[[#This Row],[Price, Adj]]/MAX(E:E)</f>
        <v>0.18181818181818177</v>
      </c>
      <c r="I23" s="13">
        <f>1-Table3[[#This Row],[Mile-Cost Rating Raw]]/MAX(J:J)</f>
        <v>0.50412977867916275</v>
      </c>
      <c r="J23" s="13">
        <f>IFERROR(Table3[[#This Row],[Price, Adj]]*Table3[[#This Row],[Mileage]],"")</f>
        <v>739845900</v>
      </c>
      <c r="K23" s="13">
        <f ca="1">1-Table3[[#This Row],[Age-Cost Rating Raw]]/MAX(L:L)</f>
        <v>0.353629603802045</v>
      </c>
      <c r="L23" s="13">
        <f ca="1">Table3[[#This Row],[Price, Adj]]*(YEAR(NOW())-Table3[[#This Row],[Year]])</f>
        <v>85275</v>
      </c>
      <c r="M23" s="13">
        <f ca="1">Table3[[#This Row],[Warranty-Cost Rating Raw]]/MAX(N:N)</f>
        <v>0.32920942050229651</v>
      </c>
      <c r="N23" s="6">
        <f ca="1">IF(Table3[[#This Row],[Certified Used?]]&gt;0,MIN(Table3[[#This Row],[Warranty Years Left]],Table3[[#This Row],[Warranty Mileage Years Left]])/Table3[[#This Row],[Price, Adj]],0)</f>
        <v>5.8633831720902964E-5</v>
      </c>
      <c r="O23" s="4">
        <f ca="1">Table3[[#This Row],[Mile-Cost Rating Adj]]*2+Table3[[#This Row],[Age-Cost Rating Adj]]*2+Table3[[#This Row],[Warranty-Cost Rating Adj]]*2+Table3[[#This Row],[Cost Rating, Adj]]*6</f>
        <v>3.4648466968760996</v>
      </c>
      <c r="P23" s="16" t="b">
        <f>IFERROR(OR(IFERROR(FIND("Red",Table3[[#This Row],[Color]],1),FALSE),FIND(Table3[[#This Row],[Color]],"Blue",1)),FALSE)</f>
        <v>0</v>
      </c>
      <c r="Q23" t="s">
        <v>7</v>
      </c>
      <c r="R23" s="1">
        <f>IFERROR(IF(FIND("certified",Table3[[#This Row],[Car Type]])&gt;0,1,0),0)</f>
        <v>1</v>
      </c>
      <c r="S23" s="2" t="b">
        <v>0</v>
      </c>
      <c r="T23" s="1" t="str">
        <f>TRIM(SUBSTITUTE(REPLACE(Table3[[#This Row],[Car Type]],1,5,""),"(certified)","",1))</f>
        <v>Honda Fit Sport</v>
      </c>
      <c r="U23">
        <f>MAX(LEFT(Table3[[#This Row],[Car Type]],4),0)</f>
        <v>2009</v>
      </c>
      <c r="V23" t="s">
        <v>108</v>
      </c>
      <c r="W23">
        <f ca="1">VALUE(YEAR(NOW())-Table3[[#This Row],[Year]])</f>
        <v>5</v>
      </c>
      <c r="X23" s="1">
        <f ca="1">IFERROR(IF(FIND("Fit",Table3[[#This Row],[Model]])&gt;0,6-(YEAR(NOW())-Table3[[#This Row],[Year]]),20),7-(YEAR(NOW())-Table3[[#This Row],[Year]]))</f>
        <v>1</v>
      </c>
      <c r="Y2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4" spans="1:25" x14ac:dyDescent="0.25">
      <c r="A24" t="s">
        <v>129</v>
      </c>
      <c r="B24" t="s">
        <v>42</v>
      </c>
      <c r="C24">
        <v>36</v>
      </c>
      <c r="D24" t="s">
        <v>21</v>
      </c>
      <c r="E24" s="3">
        <f>IF(Table3[[#This Row],[Color I Want?]],Table3[[#This Row],[Price, Raw]],Table3[[#This Row],[Price, Raw]]+850)</f>
        <v>17087</v>
      </c>
      <c r="F24" s="3">
        <v>16237</v>
      </c>
      <c r="G24" s="5">
        <v>25703</v>
      </c>
      <c r="H24" s="13">
        <f>1-Table3[[#This Row],[Price, Adj]]/MAX(E:E)</f>
        <v>0.18028304149676178</v>
      </c>
      <c r="I24" s="13">
        <f>1-Table3[[#This Row],[Mile-Cost Rating Raw]]/MAX(J:J)</f>
        <v>0.70564162790340501</v>
      </c>
      <c r="J24" s="13">
        <f>IFERROR(Table3[[#This Row],[Price, Adj]]*Table3[[#This Row],[Mileage]],"")</f>
        <v>439187161</v>
      </c>
      <c r="K24" s="13">
        <f ca="1">1-Table3[[#This Row],[Age-Cost Rating Raw]]/MAX(L:L)</f>
        <v>0.48193346421181094</v>
      </c>
      <c r="L24" s="13">
        <f ca="1">Table3[[#This Row],[Price, Adj]]*(YEAR(NOW())-Table3[[#This Row],[Year]])</f>
        <v>68348</v>
      </c>
      <c r="M24" s="13">
        <f ca="1">Table3[[#This Row],[Warranty-Cost Rating Raw]]/MAX(N:N)</f>
        <v>0</v>
      </c>
      <c r="N24" s="6">
        <f>IF(Table3[[#This Row],[Certified Used?]]&gt;0,MIN(Table3[[#This Row],[Warranty Years Left]],Table3[[#This Row],[Warranty Mileage Years Left]])/Table3[[#This Row],[Price, Adj]],0)</f>
        <v>0</v>
      </c>
      <c r="O24" s="4">
        <f ca="1">Table3[[#This Row],[Mile-Cost Rating Adj]]*2+Table3[[#This Row],[Age-Cost Rating Adj]]*2+Table3[[#This Row],[Warranty-Cost Rating Adj]]*2+Table3[[#This Row],[Cost Rating, Adj]]*6</f>
        <v>3.4568484332110025</v>
      </c>
      <c r="P24" s="16" t="b">
        <f>IFERROR(OR(IFERROR(FIND("Red",Table3[[#This Row],[Color]],1),FALSE),FIND(Table3[[#This Row],[Color]],"Blue",1)),FALSE)</f>
        <v>0</v>
      </c>
      <c r="Q24" t="s">
        <v>7</v>
      </c>
      <c r="R24" s="1">
        <f>IFERROR(IF(FIND("certified",Table3[[#This Row],[Car Type]])&gt;0,1,0),0)</f>
        <v>0</v>
      </c>
      <c r="S24" s="2" t="b">
        <v>0</v>
      </c>
      <c r="T24" s="1" t="str">
        <f>TRIM(SUBSTITUTE(REPLACE(Table3[[#This Row],[Car Type]],1,5,""),"(certified)","",1))</f>
        <v>Honda Fit Sport</v>
      </c>
      <c r="U24">
        <f>MAX(LEFT(Table3[[#This Row],[Car Type]],4),0)</f>
        <v>2010</v>
      </c>
      <c r="V24" t="s">
        <v>128</v>
      </c>
      <c r="W24">
        <f ca="1">VALUE(YEAR(NOW())-Table3[[#This Row],[Year]])</f>
        <v>4</v>
      </c>
      <c r="X24" s="1">
        <f ca="1">IFERROR(IF(FIND("Fit",Table3[[#This Row],[Model]])&gt;0,6-(YEAR(NOW())-Table3[[#This Row],[Year]]),20),7-(YEAR(NOW())-Table3[[#This Row],[Year]]))</f>
        <v>2</v>
      </c>
      <c r="Y2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5" spans="1:25" x14ac:dyDescent="0.25">
      <c r="A25" t="s">
        <v>99</v>
      </c>
      <c r="B25" t="s">
        <v>59</v>
      </c>
      <c r="C25">
        <v>10</v>
      </c>
      <c r="D25" t="s">
        <v>21</v>
      </c>
      <c r="E25" s="3">
        <f>IF(Table3[[#This Row],[Color I Want?]],Table3[[#This Row],[Price, Raw]],Table3[[#This Row],[Price, Raw]]+850)</f>
        <v>17745</v>
      </c>
      <c r="F25" s="3">
        <v>16895</v>
      </c>
      <c r="G25" s="5">
        <v>18263</v>
      </c>
      <c r="H25" s="13">
        <f>1-Table3[[#This Row],[Price, Adj]]/MAX(E:E)</f>
        <v>0.14871671863756297</v>
      </c>
      <c r="I25" s="13">
        <f>1-Table3[[#This Row],[Mile-Cost Rating Raw]]/MAX(J:J)</f>
        <v>0.78279246869729413</v>
      </c>
      <c r="J25" s="13">
        <f>IFERROR(Table3[[#This Row],[Price, Adj]]*Table3[[#This Row],[Mileage]],"")</f>
        <v>324076935</v>
      </c>
      <c r="K25" s="13">
        <f ca="1">1-Table3[[#This Row],[Age-Cost Rating Raw]]/MAX(L:L)</f>
        <v>0.46198333952353154</v>
      </c>
      <c r="L25" s="13">
        <f ca="1">Table3[[#This Row],[Price, Adj]]*(YEAR(NOW())-Table3[[#This Row],[Year]])</f>
        <v>70980</v>
      </c>
      <c r="M25" s="13">
        <f ca="1">Table3[[#This Row],[Warranty-Cost Rating Raw]]/MAX(N:N)</f>
        <v>0</v>
      </c>
      <c r="N25" s="6">
        <f>IF(Table3[[#This Row],[Certified Used?]]&gt;0,MIN(Table3[[#This Row],[Warranty Years Left]],Table3[[#This Row],[Warranty Mileage Years Left]])/Table3[[#This Row],[Price, Adj]],0)</f>
        <v>0</v>
      </c>
      <c r="O25" s="4">
        <f ca="1">Table3[[#This Row],[Mile-Cost Rating Adj]]*2+Table3[[#This Row],[Age-Cost Rating Adj]]*2+Table3[[#This Row],[Warranty-Cost Rating Adj]]*2+Table3[[#This Row],[Cost Rating, Adj]]*6</f>
        <v>3.3818519282670287</v>
      </c>
      <c r="P25" s="16" t="b">
        <f>IFERROR(OR(IFERROR(FIND("Red",Table3[[#This Row],[Color]],1),FALSE),FIND(Table3[[#This Row],[Color]],"Blue",1)),FALSE)</f>
        <v>0</v>
      </c>
      <c r="Q25" t="s">
        <v>45</v>
      </c>
      <c r="R25" s="1">
        <f>IFERROR(IF(FIND("certified",Table3[[#This Row],[Car Type]])&gt;0,1,0),0)</f>
        <v>0</v>
      </c>
      <c r="S25" s="2" t="b">
        <v>0</v>
      </c>
      <c r="T25" s="1" t="str">
        <f>TRIM(SUBSTITUTE(REPLACE(Table3[[#This Row],[Car Type]],1,5,""),"(certified)","",1))</f>
        <v>Honda Fit Sport</v>
      </c>
      <c r="U25">
        <f>MAX(LEFT(Table3[[#This Row],[Car Type]],4),0)</f>
        <v>2010</v>
      </c>
      <c r="V25" t="s">
        <v>98</v>
      </c>
      <c r="W25">
        <f ca="1">VALUE(YEAR(NOW())-Table3[[#This Row],[Year]])</f>
        <v>4</v>
      </c>
      <c r="X25">
        <f ca="1">IFERROR(IF(FIND("Fit",Table3[[#This Row],[Model]])&gt;0,6-(YEAR(NOW())-Table3[[#This Row],[Year]]),20),7-(YEAR(NOW())-Table3[[#This Row],[Year]]))</f>
        <v>2</v>
      </c>
      <c r="Y25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6" spans="1:25" x14ac:dyDescent="0.25">
      <c r="A26" t="s">
        <v>275</v>
      </c>
      <c r="B26" t="s">
        <v>276</v>
      </c>
      <c r="C26">
        <v>212</v>
      </c>
      <c r="D26" t="s">
        <v>21</v>
      </c>
      <c r="E26" s="3">
        <f>IF(Table3[[#This Row],[Color I Want?]],Table3[[#This Row],[Price, Raw]],Table3[[#This Row],[Price, Raw]]+850)</f>
        <v>18639</v>
      </c>
      <c r="F26" s="3">
        <v>17789</v>
      </c>
      <c r="G26" s="5">
        <v>7580</v>
      </c>
      <c r="H26" s="13">
        <f>1-Table3[[#This Row],[Price, Adj]]/MAX(E:E)</f>
        <v>0.10582873590789155</v>
      </c>
      <c r="I26" s="13">
        <f>1-Table3[[#This Row],[Mile-Cost Rating Raw]]/MAX(J:J)</f>
        <v>0.9053068484688378</v>
      </c>
      <c r="J26" s="13">
        <f>IFERROR(Table3[[#This Row],[Price, Adj]]*Table3[[#This Row],[Mileage]],"")</f>
        <v>141283620</v>
      </c>
      <c r="K26" s="13">
        <f ca="1">1-Table3[[#This Row],[Age-Cost Rating Raw]]/MAX(L:L)</f>
        <v>0.43487785096529197</v>
      </c>
      <c r="L26" s="13">
        <f ca="1">Table3[[#This Row],[Price, Adj]]*(YEAR(NOW())-Table3[[#This Row],[Year]])</f>
        <v>74556</v>
      </c>
      <c r="M26" s="13">
        <f ca="1">Table3[[#This Row],[Warranty-Cost Rating Raw]]/MAX(N:N)</f>
        <v>0</v>
      </c>
      <c r="N26" s="9">
        <f>IF(Table3[[#This Row],[Certified Used?]]&gt;0,MIN(Table3[[#This Row],[Warranty Years Left]],Table3[[#This Row],[Warranty Mileage Years Left]])/Table3[[#This Row],[Price, Adj]],0)</f>
        <v>0</v>
      </c>
      <c r="O26" s="4">
        <f ca="1">Table3[[#This Row],[Mile-Cost Rating Adj]]*2+Table3[[#This Row],[Age-Cost Rating Adj]]*2+Table3[[#This Row],[Warranty-Cost Rating Adj]]*2+Table3[[#This Row],[Cost Rating, Adj]]*6</f>
        <v>3.3153418143156088</v>
      </c>
      <c r="P26" s="13" t="b">
        <f>IFERROR(OR(IFERROR(FIND("Red",Table3[[#This Row],[Color]],1),FALSE),FIND(Table3[[#This Row],[Color]],"Blue",1)),FALSE)</f>
        <v>0</v>
      </c>
      <c r="Q26" t="s">
        <v>22</v>
      </c>
      <c r="R26" s="1">
        <f>IFERROR(IF(FIND("certified",Table3[[#This Row],[Car Type]])&gt;0,1,0),0)</f>
        <v>0</v>
      </c>
      <c r="S26" s="1" t="b">
        <v>0</v>
      </c>
      <c r="T26" s="1" t="str">
        <f>TRIM(SUBSTITUTE(REPLACE(Table3[[#This Row],[Car Type]],1,5,""),"(certified)","",1))</f>
        <v>Honda Fit Sport</v>
      </c>
      <c r="U26" s="1">
        <f>MAX(LEFT(Table3[[#This Row],[Car Type]],4),0)</f>
        <v>2010</v>
      </c>
      <c r="V26" s="8" t="s">
        <v>277</v>
      </c>
      <c r="W26" s="8">
        <f ca="1">VALUE(YEAR(NOW())-Table3[[#This Row],[Year]])</f>
        <v>4</v>
      </c>
      <c r="X26" s="1">
        <f ca="1">IFERROR(IF(FIND("Fit",Table3[[#This Row],[Model]])&gt;0,6-(YEAR(NOW())-Table3[[#This Row],[Year]]),20),7-(YEAR(NOW())-Table3[[#This Row],[Year]]))</f>
        <v>2</v>
      </c>
      <c r="Y2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7" spans="1:25" x14ac:dyDescent="0.25">
      <c r="A27" t="s">
        <v>210</v>
      </c>
      <c r="B27" t="s">
        <v>65</v>
      </c>
      <c r="C27">
        <v>0</v>
      </c>
      <c r="D27" t="s">
        <v>73</v>
      </c>
      <c r="E27" s="3">
        <f>IF(Table3[[#This Row],[Color I Want?]],Table3[[#This Row],[Price, Raw]],Table3[[#This Row],[Price, Raw]]+850)</f>
        <v>16995</v>
      </c>
      <c r="F27" s="3">
        <v>16995</v>
      </c>
      <c r="G27" s="5">
        <v>80199</v>
      </c>
      <c r="H27" s="13">
        <f>1-Table3[[#This Row],[Price, Adj]]/MAX(E:E)</f>
        <v>0.18469656992084438</v>
      </c>
      <c r="I27" s="14">
        <f>1-Table3[[#This Row],[Mile-Cost Rating Raw]]/MAX(J:J)</f>
        <v>8.648248442592088E-2</v>
      </c>
      <c r="J27" s="14">
        <f>IFERROR(Table3[[#This Row],[Price, Adj]]*Table3[[#This Row],[Mileage]],"")</f>
        <v>1362982005</v>
      </c>
      <c r="K27" s="14">
        <f ca="1">1-Table3[[#This Row],[Age-Cost Rating Raw]]/MAX(L:L)</f>
        <v>0.35590355418444775</v>
      </c>
      <c r="L27" s="14">
        <f ca="1">Table3[[#This Row],[Price, Adj]]*(YEAR(NOW())-Table3[[#This Row],[Year]])</f>
        <v>84975</v>
      </c>
      <c r="M27" s="14">
        <f ca="1">Table3[[#This Row],[Warranty-Cost Rating Raw]]/MAX(N:N)</f>
        <v>0.66074335588898692</v>
      </c>
      <c r="N27" s="10">
        <f ca="1">IF(Table3[[#This Row],[Certified Used?]]&gt;0,MIN(Table3[[#This Row],[Warranty Years Left]],Table3[[#This Row],[Warranty Mileage Years Left]])/Table3[[#This Row],[Price, Adj]],0)</f>
        <v>1.1768167107972933E-4</v>
      </c>
      <c r="O27" s="18">
        <f ca="1">Table3[[#This Row],[Mile-Cost Rating Adj]]*2+Table3[[#This Row],[Age-Cost Rating Adj]]*2+Table3[[#This Row],[Warranty-Cost Rating Adj]]*2+Table3[[#This Row],[Cost Rating, Adj]]*6</f>
        <v>3.3144382085237769</v>
      </c>
      <c r="P27" s="14" t="b">
        <v>1</v>
      </c>
      <c r="Q27" t="s">
        <v>6</v>
      </c>
      <c r="R27" s="1">
        <f>IFERROR(IF(FIND("certified",Table3[[#This Row],[Car Type]])&gt;0,1,0),0)</f>
        <v>1</v>
      </c>
      <c r="S27" s="17" t="b">
        <v>1</v>
      </c>
      <c r="T27" s="1" t="str">
        <f>TRIM(SUBSTITUTE(REPLACE(Table3[[#This Row],[Car Type]],1,5,""),"(certified)","",1))</f>
        <v>Toyota Prius</v>
      </c>
      <c r="U27" s="1">
        <f>MAX(LEFT(Table3[[#This Row],[Car Type]],4),0)</f>
        <v>2009</v>
      </c>
      <c r="V27" t="s">
        <v>211</v>
      </c>
      <c r="W27">
        <f ca="1">VALUE(YEAR(NOW())-Table3[[#This Row],[Year]])</f>
        <v>5</v>
      </c>
      <c r="X27" s="1">
        <f ca="1">IFERROR(IF(FIND("Fit",Table3[[#This Row],[Model]])&gt;0,6-(YEAR(NOW())-Table3[[#This Row],[Year]]),20),7-(YEAR(NOW())-Table3[[#This Row],[Year]]))</f>
        <v>2</v>
      </c>
      <c r="Y2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3</v>
      </c>
    </row>
    <row r="28" spans="1:25" x14ac:dyDescent="0.25">
      <c r="A28" t="s">
        <v>174</v>
      </c>
      <c r="B28" t="s">
        <v>59</v>
      </c>
      <c r="C28">
        <v>10</v>
      </c>
      <c r="D28" t="s">
        <v>4</v>
      </c>
      <c r="E28" s="3">
        <f>IF(Table3[[#This Row],[Color I Want?]],Table3[[#This Row],[Price, Raw]],Table3[[#This Row],[Price, Raw]]+850)</f>
        <v>14700</v>
      </c>
      <c r="F28" s="3">
        <v>13850</v>
      </c>
      <c r="G28" s="5">
        <v>46755</v>
      </c>
      <c r="H28" s="13">
        <f>1-Table3[[#This Row],[Price, Adj]]/MAX(E:E)</f>
        <v>0.29479491484768527</v>
      </c>
      <c r="I28" s="13">
        <f>1-Table3[[#This Row],[Mile-Cost Rating Raw]]/MAX(J:J)</f>
        <v>0.53934885723029691</v>
      </c>
      <c r="J28" s="14">
        <f>IFERROR(Table3[[#This Row],[Price, Adj]]*Table3[[#This Row],[Mileage]],"")</f>
        <v>687298500</v>
      </c>
      <c r="K28" s="14">
        <f ca="1">1-Table3[[#This Row],[Age-Cost Rating Raw]]/MAX(L:L)</f>
        <v>0.22003501883588905</v>
      </c>
      <c r="L28" s="14">
        <f ca="1">Table3[[#This Row],[Price, Adj]]*(YEAR(NOW())-Table3[[#This Row],[Year]])</f>
        <v>102900</v>
      </c>
      <c r="M28" s="14">
        <f ca="1">Table3[[#This Row],[Warranty-Cost Rating Raw]]/MAX(N:N)</f>
        <v>0</v>
      </c>
      <c r="N28" s="12">
        <f>IF(Table3[[#This Row],[Certified Used?]]&gt;0,MIN(Table3[[#This Row],[Warranty Years Left]],Table3[[#This Row],[Warranty Mileage Years Left]])/Table3[[#This Row],[Price, Adj]],0)</f>
        <v>0</v>
      </c>
      <c r="O28" s="18">
        <f ca="1">Table3[[#This Row],[Mile-Cost Rating Adj]]*2+Table3[[#This Row],[Age-Cost Rating Adj]]*2+Table3[[#This Row],[Warranty-Cost Rating Adj]]*2+Table3[[#This Row],[Cost Rating, Adj]]*6</f>
        <v>3.2875372412184838</v>
      </c>
      <c r="P28" s="14" t="b">
        <f>IFERROR(OR(IFERROR(FIND("Red",Table3[[#This Row],[Color]],1),FALSE),FIND(Table3[[#This Row],[Color]],"Blue",1)),FALSE)</f>
        <v>0</v>
      </c>
      <c r="Q28" t="s">
        <v>8</v>
      </c>
      <c r="R28" s="1">
        <f>IFERROR(IF(FIND("certified",Table3[[#This Row],[Car Type]])&gt;0,1,0),0)</f>
        <v>0</v>
      </c>
      <c r="S28" s="2" t="b">
        <v>0</v>
      </c>
      <c r="T28" s="1" t="str">
        <f>TRIM(SUBSTITUTE(REPLACE(Table3[[#This Row],[Car Type]],1,5,""),"(certified)","",1))</f>
        <v>Toyota Prius</v>
      </c>
      <c r="U28">
        <f>MAX(LEFT(Table3[[#This Row],[Car Type]],4),0)</f>
        <v>2007</v>
      </c>
      <c r="V28" t="s">
        <v>173</v>
      </c>
      <c r="W28">
        <f ca="1">VALUE(YEAR(NOW())-Table3[[#This Row],[Year]])</f>
        <v>7</v>
      </c>
      <c r="X28" s="1">
        <f ca="1">IFERROR(IF(FIND("Fit",Table3[[#This Row],[Model]])&gt;0,6-(YEAR(NOW())-Table3[[#This Row],[Year]]),20),7-(YEAR(NOW())-Table3[[#This Row],[Year]]))</f>
        <v>0</v>
      </c>
      <c r="Y2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29" spans="1:25" x14ac:dyDescent="0.25">
      <c r="A29" t="s">
        <v>268</v>
      </c>
      <c r="B29" t="s">
        <v>31</v>
      </c>
      <c r="C29">
        <v>16</v>
      </c>
      <c r="D29" t="s">
        <v>4</v>
      </c>
      <c r="E29" s="3">
        <f>IF(Table3[[#This Row],[Color I Want?]],Table3[[#This Row],[Price, Raw]],Table3[[#This Row],[Price, Raw]]+850)</f>
        <v>13887</v>
      </c>
      <c r="F29" s="3">
        <v>13887</v>
      </c>
      <c r="G29" s="5">
        <v>68445</v>
      </c>
      <c r="H29" s="13">
        <f>1-Table3[[#This Row],[Price, Adj]]/MAX(E:E)</f>
        <v>0.33379707363876232</v>
      </c>
      <c r="I29" s="13">
        <f>1-Table3[[#This Row],[Mile-Cost Rating Raw]]/MAX(J:J)</f>
        <v>0.36294501252009714</v>
      </c>
      <c r="J29" s="13">
        <f>IFERROR(Table3[[#This Row],[Price, Adj]]*Table3[[#This Row],[Mileage]],"")</f>
        <v>950495715</v>
      </c>
      <c r="K29" s="13">
        <f ca="1">1-Table3[[#This Row],[Age-Cost Rating Raw]]/MAX(L:L)</f>
        <v>0.26317185759006734</v>
      </c>
      <c r="L29" s="13">
        <f ca="1">Table3[[#This Row],[Price, Adj]]*(YEAR(NOW())-Table3[[#This Row],[Year]])</f>
        <v>97209</v>
      </c>
      <c r="M29" s="13">
        <f ca="1">Table3[[#This Row],[Warranty-Cost Rating Raw]]/MAX(N:N)</f>
        <v>0</v>
      </c>
      <c r="N29" s="9">
        <f>IF(Table3[[#This Row],[Certified Used?]]&gt;0,MIN(Table3[[#This Row],[Warranty Years Left]],Table3[[#This Row],[Warranty Mileage Years Left]])/Table3[[#This Row],[Price, Adj]],0)</f>
        <v>0</v>
      </c>
      <c r="O29" s="4">
        <f ca="1">Table3[[#This Row],[Mile-Cost Rating Adj]]*2+Table3[[#This Row],[Age-Cost Rating Adj]]*2+Table3[[#This Row],[Warranty-Cost Rating Adj]]*2+Table3[[#This Row],[Cost Rating, Adj]]*6</f>
        <v>3.2550161820529029</v>
      </c>
      <c r="P29" s="13" t="b">
        <v>1</v>
      </c>
      <c r="Q29" t="s">
        <v>6</v>
      </c>
      <c r="R29" s="1">
        <f>IFERROR(IF(FIND("certified",Table3[[#This Row],[Car Type]])&gt;0,1,0),0)</f>
        <v>0</v>
      </c>
      <c r="S29" s="17" t="b">
        <v>0</v>
      </c>
      <c r="T29" s="1" t="str">
        <f>TRIM(SUBSTITUTE(REPLACE(Table3[[#This Row],[Car Type]],1,5,""),"(certified)","",1))</f>
        <v>Toyota Prius</v>
      </c>
      <c r="U29" s="1">
        <f>MAX(LEFT(Table3[[#This Row],[Car Type]],4),0)</f>
        <v>2007</v>
      </c>
      <c r="V29" s="8" t="s">
        <v>269</v>
      </c>
      <c r="W29" s="8">
        <f ca="1">VALUE(YEAR(NOW())-Table3[[#This Row],[Year]])</f>
        <v>7</v>
      </c>
      <c r="X29" s="1">
        <f ca="1">IFERROR(IF(FIND("Fit",Table3[[#This Row],[Model]])&gt;0,6-(YEAR(NOW())-Table3[[#This Row],[Year]]),20),7-(YEAR(NOW())-Table3[[#This Row],[Year]]))</f>
        <v>0</v>
      </c>
      <c r="Y2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30" spans="1:25" x14ac:dyDescent="0.25">
      <c r="A30" t="s">
        <v>133</v>
      </c>
      <c r="B30" t="s">
        <v>122</v>
      </c>
      <c r="C30">
        <v>10</v>
      </c>
      <c r="D30" t="s">
        <v>19</v>
      </c>
      <c r="E30" s="3">
        <f>IF(Table3[[#This Row],[Color I Want?]],Table3[[#This Row],[Price, Raw]],Table3[[#This Row],[Price, Raw]]+850)</f>
        <v>16845</v>
      </c>
      <c r="F30" s="3">
        <v>15995</v>
      </c>
      <c r="G30" s="5">
        <v>27597</v>
      </c>
      <c r="H30" s="13">
        <f>1-Table3[[#This Row],[Price, Adj]]/MAX(E:E)</f>
        <v>0.19189254017750057</v>
      </c>
      <c r="I30" s="13">
        <f>1-Table3[[#This Row],[Mile-Cost Rating Raw]]/MAX(J:J)</f>
        <v>0.68842712214085133</v>
      </c>
      <c r="J30" s="13">
        <f>IFERROR(Table3[[#This Row],[Price, Adj]]*Table3[[#This Row],[Mileage]],"")</f>
        <v>464871465</v>
      </c>
      <c r="K30" s="13">
        <f ca="1">1-Table3[[#This Row],[Age-Cost Rating Raw]]/MAX(L:L)</f>
        <v>0.36158843014045439</v>
      </c>
      <c r="L30" s="13">
        <f ca="1">Table3[[#This Row],[Price, Adj]]*(YEAR(NOW())-Table3[[#This Row],[Year]])</f>
        <v>84225</v>
      </c>
      <c r="M30" s="13">
        <f ca="1">Table3[[#This Row],[Warranty-Cost Rating Raw]]/MAX(N:N)</f>
        <v>0</v>
      </c>
      <c r="N30" s="6">
        <f>IF(Table3[[#This Row],[Certified Used?]]&gt;0,MIN(Table3[[#This Row],[Warranty Years Left]],Table3[[#This Row],[Warranty Mileage Years Left]])/Table3[[#This Row],[Price, Adj]],0)</f>
        <v>0</v>
      </c>
      <c r="O30" s="4">
        <f ca="1">Table3[[#This Row],[Mile-Cost Rating Adj]]*2+Table3[[#This Row],[Age-Cost Rating Adj]]*2+Table3[[#This Row],[Warranty-Cost Rating Adj]]*2+Table3[[#This Row],[Cost Rating, Adj]]*6</f>
        <v>3.2513863456276146</v>
      </c>
      <c r="P30" s="16" t="b">
        <f>IFERROR(OR(IFERROR(FIND("Red",Table3[[#This Row],[Color]],1),FALSE),FIND(Table3[[#This Row],[Color]],"Blue",1)),FALSE)</f>
        <v>0</v>
      </c>
      <c r="Q30" t="s">
        <v>22</v>
      </c>
      <c r="R30" s="1">
        <f>IFERROR(IF(FIND("certified",Table3[[#This Row],[Car Type]])&gt;0,1,0),0)</f>
        <v>0</v>
      </c>
      <c r="S30" s="2" t="b">
        <v>0</v>
      </c>
      <c r="T30" s="1" t="str">
        <f>TRIM(SUBSTITUTE(REPLACE(Table3[[#This Row],[Car Type]],1,5,""),"(certified)","",1))</f>
        <v>Honda Fit Sport</v>
      </c>
      <c r="U30">
        <f>MAX(LEFT(Table3[[#This Row],[Car Type]],4),0)</f>
        <v>2009</v>
      </c>
      <c r="V30" t="s">
        <v>132</v>
      </c>
      <c r="W30">
        <f ca="1">VALUE(YEAR(NOW())-Table3[[#This Row],[Year]])</f>
        <v>5</v>
      </c>
      <c r="X30" s="1">
        <f ca="1">IFERROR(IF(FIND("Fit",Table3[[#This Row],[Model]])&gt;0,6-(YEAR(NOW())-Table3[[#This Row],[Year]]),20),7-(YEAR(NOW())-Table3[[#This Row],[Year]]))</f>
        <v>1</v>
      </c>
      <c r="Y3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31" spans="1:25" x14ac:dyDescent="0.25">
      <c r="A31" t="s">
        <v>5</v>
      </c>
      <c r="B31" t="s">
        <v>29</v>
      </c>
      <c r="C31">
        <v>0</v>
      </c>
      <c r="D31" t="s">
        <v>4</v>
      </c>
      <c r="E31" s="3">
        <f>IF(Table3[[#This Row],[Color I Want?]],Table3[[#This Row],[Price, Raw]],Table3[[#This Row],[Price, Raw]]+850)</f>
        <v>15848</v>
      </c>
      <c r="F31" s="3">
        <v>14998</v>
      </c>
      <c r="G31" s="5">
        <v>26000</v>
      </c>
      <c r="H31" s="13">
        <f>1-Table3[[#This Row],[Price, Adj]]/MAX(E:E)</f>
        <v>0.2397217558167426</v>
      </c>
      <c r="I31" s="13">
        <f>1-Table3[[#This Row],[Mile-Cost Rating Raw]]/MAX(J:J)</f>
        <v>0.72383122896969709</v>
      </c>
      <c r="J31" s="13">
        <f>IFERROR(Table3[[#This Row],[Price, Adj]]*Table3[[#This Row],[Mileage]],"")</f>
        <v>412048000</v>
      </c>
      <c r="K31" s="13">
        <f ca="1">1-Table3[[#This Row],[Age-Cost Rating Raw]]/MAX(L:L)</f>
        <v>0.15912346792592991</v>
      </c>
      <c r="L31" s="13">
        <f ca="1">Table3[[#This Row],[Price, Adj]]*(YEAR(NOW())-Table3[[#This Row],[Year]])</f>
        <v>110936</v>
      </c>
      <c r="M31" s="13">
        <f ca="1">Table3[[#This Row],[Warranty-Cost Rating Raw]]/MAX(N:N)</f>
        <v>0</v>
      </c>
      <c r="N31" s="11">
        <f>IF(Table3[[#This Row],[Certified Used?]]&gt;0,MIN(Table3[[#This Row],[Warranty Years Left]],Table3[[#This Row],[Warranty Mileage Years Left]])/Table3[[#This Row],[Price, Adj]],0)</f>
        <v>0</v>
      </c>
      <c r="O31" s="4">
        <f ca="1">Table3[[#This Row],[Mile-Cost Rating Adj]]*2+Table3[[#This Row],[Age-Cost Rating Adj]]*2+Table3[[#This Row],[Warranty-Cost Rating Adj]]*2+Table3[[#This Row],[Cost Rating, Adj]]*6</f>
        <v>3.2042399286917096</v>
      </c>
      <c r="P31" s="13" t="b">
        <f>IFERROR(OR(IFERROR(FIND("Red",Table3[[#This Row],[Color]],1),FALSE),FIND(Table3[[#This Row],[Color]],"Blue",1)),FALSE)</f>
        <v>0</v>
      </c>
      <c r="Q31" t="s">
        <v>45</v>
      </c>
      <c r="R31">
        <f>IFERROR(IF(FIND("certified",Table3[[#This Row],[Car Type]])&gt;0,1,0),0)</f>
        <v>0</v>
      </c>
      <c r="S31" s="2" t="b">
        <v>0</v>
      </c>
      <c r="T31" t="str">
        <f>TRIM(SUBSTITUTE(REPLACE(Table3[[#This Row],[Car Type]],1,5,""),"(certified)","",1))</f>
        <v>Toyota Prius</v>
      </c>
      <c r="U31">
        <f>MAX(LEFT(Table3[[#This Row],[Car Type]],4),0)</f>
        <v>2007</v>
      </c>
      <c r="V31" t="s">
        <v>11</v>
      </c>
      <c r="W31">
        <f ca="1">VALUE(YEAR(NOW())-Table3[[#This Row],[Year]])</f>
        <v>7</v>
      </c>
      <c r="X31">
        <f ca="1">IFERROR(IF(FIND("Fit",Table3[[#This Row],[Model]])&gt;0,6-(YEAR(NOW())-Table3[[#This Row],[Year]]),20),7-(YEAR(NOW())-Table3[[#This Row],[Year]]))</f>
        <v>0</v>
      </c>
      <c r="Y3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32" spans="1:25" x14ac:dyDescent="0.25">
      <c r="A32" t="s">
        <v>272</v>
      </c>
      <c r="B32" t="s">
        <v>273</v>
      </c>
      <c r="C32">
        <v>242</v>
      </c>
      <c r="D32" t="s">
        <v>19</v>
      </c>
      <c r="E32" s="3">
        <f>IF(Table3[[#This Row],[Color I Want?]],Table3[[#This Row],[Price, Raw]],Table3[[#This Row],[Price, Raw]]+850)</f>
        <v>15990</v>
      </c>
      <c r="F32" s="3">
        <v>15990</v>
      </c>
      <c r="G32" s="5">
        <v>47877</v>
      </c>
      <c r="H32" s="13">
        <f>1-Table3[[#This Row],[Price, Adj]]/MAX(E:E)</f>
        <v>0.23290957064044138</v>
      </c>
      <c r="I32" s="13">
        <f>1-Table3[[#This Row],[Mile-Cost Rating Raw]]/MAX(J:J)</f>
        <v>0.48689984009780707</v>
      </c>
      <c r="J32" s="13">
        <f>IFERROR(Table3[[#This Row],[Price, Adj]]*Table3[[#This Row],[Mileage]],"")</f>
        <v>765553230</v>
      </c>
      <c r="K32" s="13">
        <f ca="1">1-Table3[[#This Row],[Age-Cost Rating Raw]]/MAX(L:L)</f>
        <v>0.39399222308969217</v>
      </c>
      <c r="L32" s="13">
        <f ca="1">Table3[[#This Row],[Price, Adj]]*(YEAR(NOW())-Table3[[#This Row],[Year]])</f>
        <v>79950</v>
      </c>
      <c r="M32" s="13">
        <f ca="1">Table3[[#This Row],[Warranty-Cost Rating Raw]]/MAX(N:N)</f>
        <v>0</v>
      </c>
      <c r="N32" s="9">
        <f>IF(Table3[[#This Row],[Certified Used?]]&gt;0,MIN(Table3[[#This Row],[Warranty Years Left]],Table3[[#This Row],[Warranty Mileage Years Left]])/Table3[[#This Row],[Price, Adj]],0)</f>
        <v>0</v>
      </c>
      <c r="O32" s="4">
        <f ca="1">Table3[[#This Row],[Mile-Cost Rating Adj]]*2+Table3[[#This Row],[Age-Cost Rating Adj]]*2+Table3[[#This Row],[Warranty-Cost Rating Adj]]*2+Table3[[#This Row],[Cost Rating, Adj]]*6</f>
        <v>3.1592415502176467</v>
      </c>
      <c r="P32" s="13" t="b">
        <f>IFERROR(OR(IFERROR(FIND("Red",Table3[[#This Row],[Color]],1),FALSE),FIND(Table3[[#This Row],[Color]],"Blue",1)),FALSE)</f>
        <v>1</v>
      </c>
      <c r="Q32" t="s">
        <v>13</v>
      </c>
      <c r="R32" s="1">
        <f>IFERROR(IF(FIND("certified",Table3[[#This Row],[Car Type]])&gt;0,1,0),0)</f>
        <v>0</v>
      </c>
      <c r="S32" s="1" t="b">
        <v>0</v>
      </c>
      <c r="T32" s="1" t="str">
        <f>TRIM(SUBSTITUTE(REPLACE(Table3[[#This Row],[Car Type]],1,5,""),"(certified)","",1))</f>
        <v>Honda Fit Sport</v>
      </c>
      <c r="U32" s="1">
        <f>MAX(LEFT(Table3[[#This Row],[Car Type]],4),0)</f>
        <v>2009</v>
      </c>
      <c r="V32" s="8" t="s">
        <v>274</v>
      </c>
      <c r="W32" s="8">
        <f ca="1">VALUE(YEAR(NOW())-Table3[[#This Row],[Year]])</f>
        <v>5</v>
      </c>
      <c r="X32" s="1">
        <f ca="1">IFERROR(IF(FIND("Fit",Table3[[#This Row],[Model]])&gt;0,6-(YEAR(NOW())-Table3[[#This Row],[Year]]),20),7-(YEAR(NOW())-Table3[[#This Row],[Year]]))</f>
        <v>1</v>
      </c>
      <c r="Y3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33" spans="1:25" x14ac:dyDescent="0.25">
      <c r="A33" t="s">
        <v>102</v>
      </c>
      <c r="B33" t="s">
        <v>59</v>
      </c>
      <c r="C33">
        <v>10</v>
      </c>
      <c r="D33" t="s">
        <v>19</v>
      </c>
      <c r="E33" s="3">
        <f>IF(Table3[[#This Row],[Color I Want?]],Table3[[#This Row],[Price, Raw]],Table3[[#This Row],[Price, Raw]]+850)</f>
        <v>17488</v>
      </c>
      <c r="F33" s="3">
        <v>17488</v>
      </c>
      <c r="G33" s="5">
        <v>21195</v>
      </c>
      <c r="H33" s="13">
        <f>1-Table3[[#This Row],[Price, Adj]]/MAX(E:E)</f>
        <v>0.16104581434396736</v>
      </c>
      <c r="I33" s="13">
        <f>1-Table3[[#This Row],[Mile-Cost Rating Raw]]/MAX(J:J)</f>
        <v>0.75157212625821901</v>
      </c>
      <c r="J33" s="13">
        <f>IFERROR(Table3[[#This Row],[Price, Adj]]*Table3[[#This Row],[Mileage]],"")</f>
        <v>370658160</v>
      </c>
      <c r="K33" s="13">
        <f ca="1">1-Table3[[#This Row],[Age-Cost Rating Raw]]/MAX(L:L)</f>
        <v>0.33721926187570583</v>
      </c>
      <c r="L33" s="13">
        <f ca="1">Table3[[#This Row],[Price, Adj]]*(YEAR(NOW())-Table3[[#This Row],[Year]])</f>
        <v>87440</v>
      </c>
      <c r="M33" s="13">
        <f ca="1">Table3[[#This Row],[Warranty-Cost Rating Raw]]/MAX(N:N)</f>
        <v>0</v>
      </c>
      <c r="N33" s="6">
        <f>IF(Table3[[#This Row],[Certified Used?]]&gt;0,MIN(Table3[[#This Row],[Warranty Years Left]],Table3[[#This Row],[Warranty Mileage Years Left]])/Table3[[#This Row],[Price, Adj]],0)</f>
        <v>0</v>
      </c>
      <c r="O33" s="4">
        <f ca="1">Table3[[#This Row],[Mile-Cost Rating Adj]]*2+Table3[[#This Row],[Age-Cost Rating Adj]]*2+Table3[[#This Row],[Warranty-Cost Rating Adj]]*2+Table3[[#This Row],[Cost Rating, Adj]]*6</f>
        <v>3.1438576623316541</v>
      </c>
      <c r="P33" s="16" t="b">
        <f>IFERROR(OR(IFERROR(FIND("Red",Table3[[#This Row],[Color]],1),FALSE),FIND(Table3[[#This Row],[Color]],"Blue",1)),FALSE)</f>
        <v>1</v>
      </c>
      <c r="Q33" t="s">
        <v>13</v>
      </c>
      <c r="R33" s="1">
        <f>IFERROR(IF(FIND("certified",Table3[[#This Row],[Car Type]])&gt;0,1,0),0)</f>
        <v>0</v>
      </c>
      <c r="S33" s="2" t="b">
        <v>0</v>
      </c>
      <c r="T33" s="1" t="str">
        <f>TRIM(SUBSTITUTE(REPLACE(Table3[[#This Row],[Car Type]],1,5,""),"(certified)","",1))</f>
        <v>Honda Fit Sport</v>
      </c>
      <c r="U33">
        <f>MAX(LEFT(Table3[[#This Row],[Car Type]],4),0)</f>
        <v>2009</v>
      </c>
      <c r="V33" t="s">
        <v>100</v>
      </c>
      <c r="W33">
        <f ca="1">VALUE(YEAR(NOW())-Table3[[#This Row],[Year]])</f>
        <v>5</v>
      </c>
      <c r="X33">
        <f ca="1">IFERROR(IF(FIND("Fit",Table3[[#This Row],[Model]])&gt;0,6-(YEAR(NOW())-Table3[[#This Row],[Year]]),20),7-(YEAR(NOW())-Table3[[#This Row],[Year]]))</f>
        <v>1</v>
      </c>
      <c r="Y33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34" spans="1:25" x14ac:dyDescent="0.25">
      <c r="A34" t="s">
        <v>82</v>
      </c>
      <c r="B34" t="s">
        <v>80</v>
      </c>
      <c r="C34">
        <v>261</v>
      </c>
      <c r="D34" t="s">
        <v>73</v>
      </c>
      <c r="E34" s="3">
        <f>IF(Table3[[#This Row],[Color I Want?]],Table3[[#This Row],[Price, Raw]],Table3[[#This Row],[Price, Raw]]+850)</f>
        <v>19838</v>
      </c>
      <c r="F34" s="3">
        <v>18988</v>
      </c>
      <c r="G34" s="5">
        <v>29195</v>
      </c>
      <c r="H34" s="13">
        <f>1-Table3[[#This Row],[Price, Adj]]/MAX(E:E)</f>
        <v>4.8308946989685797E-2</v>
      </c>
      <c r="I34" s="13">
        <f>1-Table3[[#This Row],[Mile-Cost Rating Raw]]/MAX(J:J)</f>
        <v>0.61182002983434791</v>
      </c>
      <c r="J34" s="14">
        <f>IFERROR(Table3[[#This Row],[Price, Adj]]*Table3[[#This Row],[Mileage]],"")</f>
        <v>579170410</v>
      </c>
      <c r="K34" s="14">
        <f ca="1">1-Table3[[#This Row],[Age-Cost Rating Raw]]/MAX(L:L)</f>
        <v>0.24815620523160187</v>
      </c>
      <c r="L34" s="14">
        <f ca="1">Table3[[#This Row],[Price, Adj]]*(YEAR(NOW())-Table3[[#This Row],[Year]])</f>
        <v>99190</v>
      </c>
      <c r="M34" s="14">
        <f ca="1">Table3[[#This Row],[Warranty-Cost Rating Raw]]/MAX(N:N)</f>
        <v>0.56605168531774031</v>
      </c>
      <c r="N34" s="10">
        <f ca="1">IF(Table3[[#This Row],[Certified Used?]]&gt;0,MIN(Table3[[#This Row],[Warranty Years Left]],Table3[[#This Row],[Warranty Mileage Years Left]])/Table3[[#This Row],[Price, Adj]],0)</f>
        <v>1.0081661457808247E-4</v>
      </c>
      <c r="O34" s="18">
        <f ca="1">Table3[[#This Row],[Mile-Cost Rating Adj]]*2+Table3[[#This Row],[Age-Cost Rating Adj]]*2+Table3[[#This Row],[Warranty-Cost Rating Adj]]*2+Table3[[#This Row],[Cost Rating, Adj]]*6</f>
        <v>3.141909522705495</v>
      </c>
      <c r="P34" s="14" t="b">
        <f>IFERROR(OR(IFERROR(FIND("Red",Table3[[#This Row],[Color]],1),FALSE),FIND(Table3[[#This Row],[Color]],"Blue",1)),FALSE)</f>
        <v>0</v>
      </c>
      <c r="Q34" t="s">
        <v>22</v>
      </c>
      <c r="R34">
        <f>IFERROR(IF(FIND("certified",Table3[[#This Row],[Car Type]])&gt;0,1,0),0)</f>
        <v>1</v>
      </c>
      <c r="S34" s="2" t="b">
        <v>0</v>
      </c>
      <c r="T34" t="str">
        <f>TRIM(SUBSTITUTE(REPLACE(Table3[[#This Row],[Car Type]],1,5,""),"(certified)","",1))</f>
        <v>Toyota Prius</v>
      </c>
      <c r="U34">
        <f>MAX(LEFT(Table3[[#This Row],[Car Type]],4),0)</f>
        <v>2009</v>
      </c>
      <c r="V34" t="s">
        <v>81</v>
      </c>
      <c r="W34">
        <f ca="1">VALUE(YEAR(NOW())-Table3[[#This Row],[Year]])</f>
        <v>5</v>
      </c>
      <c r="X34">
        <f ca="1">IFERROR(IF(FIND("Fit",Table3[[#This Row],[Model]])&gt;0,6-(YEAR(NOW())-Table3[[#This Row],[Year]]),20),7-(YEAR(NOW())-Table3[[#This Row],[Year]]))</f>
        <v>2</v>
      </c>
      <c r="Y34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35" spans="1:25" x14ac:dyDescent="0.25">
      <c r="A35" t="s">
        <v>18</v>
      </c>
      <c r="B35" t="s">
        <v>28</v>
      </c>
      <c r="C35">
        <v>280</v>
      </c>
      <c r="D35" t="s">
        <v>40</v>
      </c>
      <c r="E35" s="3">
        <f>IF(Table3[[#This Row],[Color I Want?]],Table3[[#This Row],[Price, Raw]],Table3[[#This Row],[Price, Raw]]+850)</f>
        <v>15995</v>
      </c>
      <c r="F35" s="3">
        <v>15995</v>
      </c>
      <c r="G35" s="5">
        <v>70382</v>
      </c>
      <c r="H35" s="13">
        <f>1-Table3[[#This Row],[Price, Adj]]/MAX(E:E)</f>
        <v>0.23266970496521944</v>
      </c>
      <c r="I35" s="13">
        <f>1-Table3[[#This Row],[Mile-Cost Rating Raw]]/MAX(J:J)</f>
        <v>0.24547678782505156</v>
      </c>
      <c r="J35" s="13">
        <f>IFERROR(Table3[[#This Row],[Price, Adj]]*Table3[[#This Row],[Mileage]],"")</f>
        <v>1125760090</v>
      </c>
      <c r="K35" s="13">
        <f ca="1">1-Table3[[#This Row],[Age-Cost Rating Raw]]/MAX(L:L)</f>
        <v>0.2725632726693904</v>
      </c>
      <c r="L35" s="13">
        <f ca="1">Table3[[#This Row],[Price, Adj]]*(YEAR(NOW())-Table3[[#This Row],[Year]])</f>
        <v>95970</v>
      </c>
      <c r="M35" s="13">
        <f ca="1">Table3[[#This Row],[Warranty-Cost Rating Raw]]/MAX(N:N)</f>
        <v>0.35102636240491819</v>
      </c>
      <c r="N35" s="9">
        <f ca="1">IF(Table3[[#This Row],[Certified Used?]]&gt;0,MIN(Table3[[#This Row],[Warranty Years Left]],Table3[[#This Row],[Warranty Mileage Years Left]])/Table3[[#This Row],[Price, Adj]],0)</f>
        <v>6.2519537355423574E-5</v>
      </c>
      <c r="O35" s="4">
        <f ca="1">Table3[[#This Row],[Mile-Cost Rating Adj]]*2+Table3[[#This Row],[Age-Cost Rating Adj]]*2+Table3[[#This Row],[Warranty-Cost Rating Adj]]*2+Table3[[#This Row],[Cost Rating, Adj]]*6</f>
        <v>3.1341510755900366</v>
      </c>
      <c r="P35" s="13" t="b">
        <f>IFERROR(OR(IFERROR(FIND("Red",Table3[[#This Row],[Color]],1),FALSE),FIND(Table3[[#This Row],[Color]],"Blue",1)),FALSE)</f>
        <v>1</v>
      </c>
      <c r="Q35" t="s">
        <v>13</v>
      </c>
      <c r="R35">
        <f>IFERROR(IF(FIND("certified",Table3[[#This Row],[Car Type]])&gt;0,1,0),0)</f>
        <v>1</v>
      </c>
      <c r="S35" s="2" t="b">
        <v>0</v>
      </c>
      <c r="T35" t="str">
        <f>TRIM(SUBSTITUTE(REPLACE(Table3[[#This Row],[Car Type]],1,5,""),"(certified)","",1))</f>
        <v>Toyota Prius</v>
      </c>
      <c r="U35">
        <f>MAX(LEFT(Table3[[#This Row],[Car Type]],4),0)</f>
        <v>2008</v>
      </c>
      <c r="V35" t="s">
        <v>17</v>
      </c>
      <c r="W35">
        <f ca="1">VALUE(YEAR(NOW())-Table3[[#This Row],[Year]])</f>
        <v>6</v>
      </c>
      <c r="X35">
        <f ca="1">IFERROR(IF(FIND("Fit",Table3[[#This Row],[Model]])&gt;0,6-(YEAR(NOW())-Table3[[#This Row],[Year]]),20),7-(YEAR(NOW())-Table3[[#This Row],[Year]]))</f>
        <v>1</v>
      </c>
      <c r="Y35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36" spans="1:25" x14ac:dyDescent="0.25">
      <c r="A36" t="s">
        <v>239</v>
      </c>
      <c r="B36" t="s">
        <v>59</v>
      </c>
      <c r="C36">
        <v>10</v>
      </c>
      <c r="D36" t="s">
        <v>73</v>
      </c>
      <c r="E36" s="3">
        <f>IF(Table3[[#This Row],[Color I Want?]],Table3[[#This Row],[Price, Raw]],Table3[[#This Row],[Price, Raw]]+850)</f>
        <v>17995</v>
      </c>
      <c r="F36" s="3">
        <v>17995</v>
      </c>
      <c r="G36" s="5">
        <v>66015</v>
      </c>
      <c r="H36" s="13">
        <f>1-Table3[[#This Row],[Price, Adj]]/MAX(E:E)</f>
        <v>0.13672343487646921</v>
      </c>
      <c r="I36" s="14">
        <f>1-Table3[[#This Row],[Mile-Cost Rating Raw]]/MAX(J:J)</f>
        <v>0.20380171935046354</v>
      </c>
      <c r="J36" s="14">
        <f>IFERROR(Table3[[#This Row],[Price, Adj]]*Table3[[#This Row],[Mileage]],"")</f>
        <v>1187939925</v>
      </c>
      <c r="K36" s="14">
        <f ca="1">1-Table3[[#This Row],[Age-Cost Rating Raw]]/MAX(L:L)</f>
        <v>0.31800438114440344</v>
      </c>
      <c r="L36" s="14">
        <f ca="1">Table3[[#This Row],[Price, Adj]]*(YEAR(NOW())-Table3[[#This Row],[Year]])</f>
        <v>89975</v>
      </c>
      <c r="M36" s="14">
        <f ca="1">Table3[[#This Row],[Warranty-Cost Rating Raw]]/MAX(N:N)</f>
        <v>0.62402519218301378</v>
      </c>
      <c r="N36" s="10">
        <f ca="1">IF(Table3[[#This Row],[Certified Used?]]&gt;0,MIN(Table3[[#This Row],[Warranty Years Left]],Table3[[#This Row],[Warranty Mileage Years Left]])/Table3[[#This Row],[Price, Adj]],0)</f>
        <v>1.1114198388441234E-4</v>
      </c>
      <c r="O36" s="18">
        <f ca="1">Table3[[#This Row],[Mile-Cost Rating Adj]]*2+Table3[[#This Row],[Age-Cost Rating Adj]]*2+Table3[[#This Row],[Warranty-Cost Rating Adj]]*2+Table3[[#This Row],[Cost Rating, Adj]]*6</f>
        <v>3.112003194614577</v>
      </c>
      <c r="P36" s="14" t="b">
        <f>IFERROR(OR(IFERROR(FIND("Red",Table3[[#This Row],[Color]],1),FALSE),FIND(Table3[[#This Row],[Color]],"Blue",1)),FALSE)</f>
        <v>1</v>
      </c>
      <c r="Q36" t="s">
        <v>13</v>
      </c>
      <c r="R36" s="1">
        <f>IFERROR(IF(FIND("certified",Table3[[#This Row],[Car Type]])&gt;0,1,0),0)</f>
        <v>1</v>
      </c>
      <c r="S36" s="1" t="b">
        <v>0</v>
      </c>
      <c r="T36" s="1" t="str">
        <f>TRIM(SUBSTITUTE(REPLACE(Table3[[#This Row],[Car Type]],1,5,""),"(certified)","",1))</f>
        <v>Toyota Prius</v>
      </c>
      <c r="U36" s="1">
        <f>MAX(LEFT(Table3[[#This Row],[Car Type]],4),0)</f>
        <v>2009</v>
      </c>
      <c r="V36" t="s">
        <v>240</v>
      </c>
      <c r="W36">
        <f ca="1">VALUE(YEAR(NOW())-Table3[[#This Row],[Year]])</f>
        <v>5</v>
      </c>
      <c r="X36" s="1">
        <f ca="1">IFERROR(IF(FIND("Fit",Table3[[#This Row],[Model]])&gt;0,6-(YEAR(NOW())-Table3[[#This Row],[Year]]),20),7-(YEAR(NOW())-Table3[[#This Row],[Year]]))</f>
        <v>2</v>
      </c>
      <c r="Y3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37" spans="1:25" x14ac:dyDescent="0.25">
      <c r="A37" t="s">
        <v>218</v>
      </c>
      <c r="B37" t="s">
        <v>33</v>
      </c>
      <c r="C37">
        <v>80</v>
      </c>
      <c r="D37" t="s">
        <v>40</v>
      </c>
      <c r="E37" s="3">
        <f>IF(Table3[[#This Row],[Color I Want?]],Table3[[#This Row],[Price, Raw]],Table3[[#This Row],[Price, Raw]]+850)</f>
        <v>15901</v>
      </c>
      <c r="F37" s="3">
        <v>15901</v>
      </c>
      <c r="G37" s="5">
        <v>76766</v>
      </c>
      <c r="H37" s="13">
        <f>1-Table3[[#This Row],[Price, Adj]]/MAX(E:E)</f>
        <v>0.23717917965939073</v>
      </c>
      <c r="I37" s="14">
        <f>1-Table3[[#This Row],[Mile-Cost Rating Raw]]/MAX(J:J)</f>
        <v>0.18187416705145665</v>
      </c>
      <c r="J37" s="14">
        <f>IFERROR(Table3[[#This Row],[Price, Adj]]*Table3[[#This Row],[Mileage]],"")</f>
        <v>1220656166</v>
      </c>
      <c r="K37" s="14">
        <f ca="1">1-Table3[[#This Row],[Age-Cost Rating Raw]]/MAX(L:L)</f>
        <v>0.2768382993883074</v>
      </c>
      <c r="L37" s="14">
        <f ca="1">Table3[[#This Row],[Price, Adj]]*(YEAR(NOW())-Table3[[#This Row],[Year]])</f>
        <v>95406</v>
      </c>
      <c r="M37" s="14">
        <f ca="1">Table3[[#This Row],[Warranty-Cost Rating Raw]]/MAX(N:N)</f>
        <v>0.35310148208708042</v>
      </c>
      <c r="N37" s="10">
        <f ca="1">IF(Table3[[#This Row],[Certified Used?]]&gt;0,MIN(Table3[[#This Row],[Warranty Years Left]],Table3[[#This Row],[Warranty Mileage Years Left]])/Table3[[#This Row],[Price, Adj]],0)</f>
        <v>6.2889126470033326E-5</v>
      </c>
      <c r="O37" s="18">
        <f ca="1">Table3[[#This Row],[Mile-Cost Rating Adj]]*2+Table3[[#This Row],[Age-Cost Rating Adj]]*2+Table3[[#This Row],[Warranty-Cost Rating Adj]]*2+Table3[[#This Row],[Cost Rating, Adj]]*6</f>
        <v>3.0467029750100334</v>
      </c>
      <c r="P37" s="14" t="b">
        <v>1</v>
      </c>
      <c r="Q37" t="s">
        <v>6</v>
      </c>
      <c r="R37" s="1">
        <f>IFERROR(IF(FIND("certified",Table3[[#This Row],[Car Type]])&gt;0,1,0),0)</f>
        <v>1</v>
      </c>
      <c r="S37" s="17" t="b">
        <v>0</v>
      </c>
      <c r="T37" s="1" t="str">
        <f>TRIM(SUBSTITUTE(REPLACE(Table3[[#This Row],[Car Type]],1,5,""),"(certified)","",1))</f>
        <v>Toyota Prius</v>
      </c>
      <c r="U37" s="1">
        <f>MAX(LEFT(Table3[[#This Row],[Car Type]],4),0)</f>
        <v>2008</v>
      </c>
      <c r="V37" t="s">
        <v>219</v>
      </c>
      <c r="W37">
        <f ca="1">VALUE(YEAR(NOW())-Table3[[#This Row],[Year]])</f>
        <v>6</v>
      </c>
      <c r="X37" s="1">
        <f ca="1">IFERROR(IF(FIND("Fit",Table3[[#This Row],[Model]])&gt;0,6-(YEAR(NOW())-Table3[[#This Row],[Year]]),20),7-(YEAR(NOW())-Table3[[#This Row],[Year]]))</f>
        <v>1</v>
      </c>
      <c r="Y3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3</v>
      </c>
    </row>
    <row r="38" spans="1:25" x14ac:dyDescent="0.25">
      <c r="A38" t="s">
        <v>224</v>
      </c>
      <c r="B38" t="s">
        <v>77</v>
      </c>
      <c r="C38">
        <v>150</v>
      </c>
      <c r="D38" t="s">
        <v>37</v>
      </c>
      <c r="E38" s="3">
        <f>IF(Table3[[#This Row],[Color I Want?]],Table3[[#This Row],[Price, Raw]],Table3[[#This Row],[Price, Raw]]+850)</f>
        <v>14750</v>
      </c>
      <c r="F38" s="3">
        <v>13900</v>
      </c>
      <c r="G38" s="5">
        <v>60193</v>
      </c>
      <c r="H38" s="13">
        <f>1-Table3[[#This Row],[Price, Adj]]/MAX(E:E)</f>
        <v>0.29239625809546654</v>
      </c>
      <c r="I38" s="14">
        <f>1-Table3[[#This Row],[Mile-Cost Rating Raw]]/MAX(J:J)</f>
        <v>0.40493450808947362</v>
      </c>
      <c r="J38" s="14">
        <f>IFERROR(Table3[[#This Row],[Price, Adj]]*Table3[[#This Row],[Mileage]],"")</f>
        <v>887846750</v>
      </c>
      <c r="K38" s="14">
        <f ca="1">1-Table3[[#This Row],[Age-Cost Rating Raw]]/MAX(L:L)</f>
        <v>0.21738207672308585</v>
      </c>
      <c r="L38" s="14">
        <f ca="1">Table3[[#This Row],[Price, Adj]]*(YEAR(NOW())-Table3[[#This Row],[Year]])</f>
        <v>103250</v>
      </c>
      <c r="M38" s="14">
        <f ca="1">Table3[[#This Row],[Warranty-Cost Rating Raw]]/MAX(N:N)</f>
        <v>0</v>
      </c>
      <c r="N38" s="10">
        <f ca="1">IF(Table3[[#This Row],[Certified Used?]]&gt;0,MIN(Table3[[#This Row],[Warranty Years Left]],Table3[[#This Row],[Warranty Mileage Years Left]])/Table3[[#This Row],[Price, Adj]],0)</f>
        <v>0</v>
      </c>
      <c r="O38" s="18">
        <f ca="1">Table3[[#This Row],[Mile-Cost Rating Adj]]*2+Table3[[#This Row],[Age-Cost Rating Adj]]*2+Table3[[#This Row],[Warranty-Cost Rating Adj]]*2+Table3[[#This Row],[Cost Rating, Adj]]*6</f>
        <v>2.9990107181979182</v>
      </c>
      <c r="P38" s="14" t="b">
        <f>IFERROR(OR(IFERROR(FIND("Red",Table3[[#This Row],[Color]],1),FALSE),FIND(Table3[[#This Row],[Color]],"Blue",1)),FALSE)</f>
        <v>0</v>
      </c>
      <c r="Q38" t="s">
        <v>45</v>
      </c>
      <c r="R38" s="1">
        <f>IFERROR(IF(FIND("certified",Table3[[#This Row],[Car Type]])&gt;0,1,0),0)</f>
        <v>1</v>
      </c>
      <c r="S38" s="17" t="b">
        <v>0</v>
      </c>
      <c r="T38" s="1" t="str">
        <f>TRIM(SUBSTITUTE(REPLACE(Table3[[#This Row],[Car Type]],1,5,""),"(certified)","",1))</f>
        <v>Toyota Prius</v>
      </c>
      <c r="U38" s="1">
        <f>MAX(LEFT(Table3[[#This Row],[Car Type]],4),0)</f>
        <v>2007</v>
      </c>
      <c r="V38" t="s">
        <v>225</v>
      </c>
      <c r="W38">
        <f ca="1">VALUE(YEAR(NOW())-Table3[[#This Row],[Year]])</f>
        <v>7</v>
      </c>
      <c r="X38" s="1">
        <f ca="1">IFERROR(IF(FIND("Fit",Table3[[#This Row],[Model]])&gt;0,6-(YEAR(NOW())-Table3[[#This Row],[Year]]),20),7-(YEAR(NOW())-Table3[[#This Row],[Year]]))</f>
        <v>0</v>
      </c>
      <c r="Y3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39" spans="1:25" x14ac:dyDescent="0.25">
      <c r="A39" t="s">
        <v>178</v>
      </c>
      <c r="B39" t="s">
        <v>96</v>
      </c>
      <c r="C39">
        <v>191</v>
      </c>
      <c r="D39" t="s">
        <v>4</v>
      </c>
      <c r="E39" s="3">
        <f>IF(Table3[[#This Row],[Color I Want?]],Table3[[#This Row],[Price, Raw]],Table3[[#This Row],[Price, Raw]]+850)</f>
        <v>15400</v>
      </c>
      <c r="F39" s="3">
        <v>15400</v>
      </c>
      <c r="G39" s="5">
        <v>49068</v>
      </c>
      <c r="H39" s="13">
        <f>1-Table3[[#This Row],[Price, Adj]]/MAX(E:E)</f>
        <v>0.26121372031662271</v>
      </c>
      <c r="I39" s="13">
        <f>1-Table3[[#This Row],[Mile-Cost Rating Raw]]/MAX(J:J)</f>
        <v>0.49353920281984265</v>
      </c>
      <c r="J39" s="14">
        <f>IFERROR(Table3[[#This Row],[Price, Adj]]*Table3[[#This Row],[Mileage]],"")</f>
        <v>755647200</v>
      </c>
      <c r="K39" s="14">
        <f ca="1">1-Table3[[#This Row],[Age-Cost Rating Raw]]/MAX(L:L)</f>
        <v>0.18289382925664566</v>
      </c>
      <c r="L39" s="14">
        <f ca="1">Table3[[#This Row],[Price, Adj]]*(YEAR(NOW())-Table3[[#This Row],[Year]])</f>
        <v>107800</v>
      </c>
      <c r="M39" s="14">
        <f ca="1">Table3[[#This Row],[Warranty-Cost Rating Raw]]/MAX(N:N)</f>
        <v>0</v>
      </c>
      <c r="N39" s="12">
        <f>IF(Table3[[#This Row],[Certified Used?]]&gt;0,MIN(Table3[[#This Row],[Warranty Years Left]],Table3[[#This Row],[Warranty Mileage Years Left]])/Table3[[#This Row],[Price, Adj]],0)</f>
        <v>0</v>
      </c>
      <c r="O39" s="18">
        <f ca="1">Table3[[#This Row],[Mile-Cost Rating Adj]]*2+Table3[[#This Row],[Age-Cost Rating Adj]]*2+Table3[[#This Row],[Warranty-Cost Rating Adj]]*2+Table3[[#This Row],[Cost Rating, Adj]]*6</f>
        <v>2.9201483860527127</v>
      </c>
      <c r="P39" s="14" t="b">
        <v>1</v>
      </c>
      <c r="Q39" t="s">
        <v>6</v>
      </c>
      <c r="R39" s="1">
        <f>IFERROR(IF(FIND("certified",Table3[[#This Row],[Car Type]])&gt;0,1,0),0)</f>
        <v>0</v>
      </c>
      <c r="S39" s="2" t="b">
        <v>0</v>
      </c>
      <c r="T39" s="1" t="str">
        <f>TRIM(SUBSTITUTE(REPLACE(Table3[[#This Row],[Car Type]],1,5,""),"(certified)","",1))</f>
        <v>Toyota Prius</v>
      </c>
      <c r="U39">
        <f>MAX(LEFT(Table3[[#This Row],[Car Type]],4),0)</f>
        <v>2007</v>
      </c>
      <c r="V39" t="s">
        <v>177</v>
      </c>
      <c r="W39">
        <f ca="1">VALUE(YEAR(NOW())-Table3[[#This Row],[Year]])</f>
        <v>7</v>
      </c>
      <c r="X39" s="1">
        <f ca="1">IFERROR(IF(FIND("Fit",Table3[[#This Row],[Model]])&gt;0,6-(YEAR(NOW())-Table3[[#This Row],[Year]]),20),7-(YEAR(NOW())-Table3[[#This Row],[Year]]))</f>
        <v>0</v>
      </c>
      <c r="Y3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40" spans="1:25" x14ac:dyDescent="0.25">
      <c r="A40" t="s">
        <v>140</v>
      </c>
      <c r="B40" t="s">
        <v>33</v>
      </c>
      <c r="C40">
        <v>80</v>
      </c>
      <c r="D40" t="s">
        <v>106</v>
      </c>
      <c r="E40" s="3">
        <f>IF(Table3[[#This Row],[Color I Want?]],Table3[[#This Row],[Price, Raw]],Table3[[#This Row],[Price, Raw]]+850)</f>
        <v>18849</v>
      </c>
      <c r="F40" s="3">
        <v>17999</v>
      </c>
      <c r="G40" s="5">
        <v>32969</v>
      </c>
      <c r="H40" s="13">
        <f>1-Table3[[#This Row],[Price, Adj]]/MAX(E:E)</f>
        <v>9.5754377548572744E-2</v>
      </c>
      <c r="I40" s="13">
        <f>1-Table3[[#This Row],[Mile-Cost Rating Raw]]/MAX(J:J)</f>
        <v>0.58349439922087654</v>
      </c>
      <c r="J40" s="13">
        <f>IFERROR(Table3[[#This Row],[Price, Adj]]*Table3[[#This Row],[Mileage]],"")</f>
        <v>621432681</v>
      </c>
      <c r="K40" s="13">
        <f ca="1">1-Table3[[#This Row],[Age-Cost Rating Raw]]/MAX(L:L)</f>
        <v>0.28563848736820563</v>
      </c>
      <c r="L40" s="13">
        <f ca="1">Table3[[#This Row],[Price, Adj]]*(YEAR(NOW())-Table3[[#This Row],[Year]])</f>
        <v>94245</v>
      </c>
      <c r="M40" s="13">
        <f ca="1">Table3[[#This Row],[Warranty-Cost Rating Raw]]/MAX(N:N)</f>
        <v>0.29787610306470724</v>
      </c>
      <c r="N40" s="6">
        <f ca="1">IF(Table3[[#This Row],[Certified Used?]]&gt;0,MIN(Table3[[#This Row],[Warranty Years Left]],Table3[[#This Row],[Warranty Mileage Years Left]])/Table3[[#This Row],[Price, Adj]],0)</f>
        <v>5.3053212372009127E-5</v>
      </c>
      <c r="O40" s="4">
        <f ca="1">Table3[[#This Row],[Mile-Cost Rating Adj]]*2+Table3[[#This Row],[Age-Cost Rating Adj]]*2+Table3[[#This Row],[Warranty-Cost Rating Adj]]*2+Table3[[#This Row],[Cost Rating, Adj]]*6</f>
        <v>2.9085442445990153</v>
      </c>
      <c r="P40" s="16" t="b">
        <f>IFERROR(OR(IFERROR(FIND("Red",Table3[[#This Row],[Color]],1),FALSE),FIND(Table3[[#This Row],[Color]],"Blue",1)),FALSE)</f>
        <v>0</v>
      </c>
      <c r="Q40" t="s">
        <v>22</v>
      </c>
      <c r="R40" s="1">
        <f>IFERROR(IF(FIND("certified",Table3[[#This Row],[Car Type]])&gt;0,1,0),0)</f>
        <v>1</v>
      </c>
      <c r="S40" s="2" t="b">
        <v>0</v>
      </c>
      <c r="T40" s="1" t="str">
        <f>TRIM(SUBSTITUTE(REPLACE(Table3[[#This Row],[Car Type]],1,5,""),"(certified)","",1))</f>
        <v>Honda Fit Sport</v>
      </c>
      <c r="U40">
        <f>MAX(LEFT(Table3[[#This Row],[Car Type]],4),0)</f>
        <v>2009</v>
      </c>
      <c r="V40" t="s">
        <v>141</v>
      </c>
      <c r="W40">
        <f ca="1">VALUE(YEAR(NOW())-Table3[[#This Row],[Year]])</f>
        <v>5</v>
      </c>
      <c r="X40" s="1">
        <f ca="1">IFERROR(IF(FIND("Fit",Table3[[#This Row],[Model]])&gt;0,6-(YEAR(NOW())-Table3[[#This Row],[Year]]),20),7-(YEAR(NOW())-Table3[[#This Row],[Year]]))</f>
        <v>1</v>
      </c>
      <c r="Y4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1" spans="1:25" x14ac:dyDescent="0.25">
      <c r="A41" t="s">
        <v>257</v>
      </c>
      <c r="B41" t="s">
        <v>59</v>
      </c>
      <c r="C41">
        <v>10</v>
      </c>
      <c r="D41" t="s">
        <v>4</v>
      </c>
      <c r="E41" s="3">
        <f>IF(Table3[[#This Row],[Color I Want?]],Table3[[#This Row],[Price, Raw]],Table3[[#This Row],[Price, Raw]]+850)</f>
        <v>13845</v>
      </c>
      <c r="F41" s="3">
        <v>12995</v>
      </c>
      <c r="G41" s="5">
        <v>91674</v>
      </c>
      <c r="H41" s="13">
        <f>1-Table3[[#This Row],[Price, Adj]]/MAX(E:E)</f>
        <v>0.33581194531062608</v>
      </c>
      <c r="I41" s="13">
        <f>1-Table3[[#This Row],[Mile-Cost Rating Raw]]/MAX(J:J)</f>
        <v>0.14932063509795979</v>
      </c>
      <c r="J41" s="13">
        <f>IFERROR(Table3[[#This Row],[Price, Adj]]*Table3[[#This Row],[Mileage]],"")</f>
        <v>1269226530</v>
      </c>
      <c r="K41" s="13">
        <f ca="1">1-Table3[[#This Row],[Age-Cost Rating Raw]]/MAX(L:L)</f>
        <v>0.26540032896482202</v>
      </c>
      <c r="L41" s="13">
        <f ca="1">Table3[[#This Row],[Price, Adj]]*(YEAR(NOW())-Table3[[#This Row],[Year]])</f>
        <v>96915</v>
      </c>
      <c r="M41" s="13">
        <f ca="1">Table3[[#This Row],[Warranty-Cost Rating Raw]]/MAX(N:N)</f>
        <v>0</v>
      </c>
      <c r="N41" s="9">
        <f>IF(Table3[[#This Row],[Certified Used?]]&gt;0,MIN(Table3[[#This Row],[Warranty Years Left]],Table3[[#This Row],[Warranty Mileage Years Left]])/Table3[[#This Row],[Price, Adj]],0)</f>
        <v>0</v>
      </c>
      <c r="O41" s="4">
        <f ca="1">Table3[[#This Row],[Mile-Cost Rating Adj]]*2+Table3[[#This Row],[Age-Cost Rating Adj]]*2+Table3[[#This Row],[Warranty-Cost Rating Adj]]*2+Table3[[#This Row],[Cost Rating, Adj]]*6</f>
        <v>2.8443135999893201</v>
      </c>
      <c r="P41" s="13" t="b">
        <f>IFERROR(OR(IFERROR(FIND("Red",Table3[[#This Row],[Color]],1),FALSE),FIND(Table3[[#This Row],[Color]],"Blue",1)),FALSE)</f>
        <v>0</v>
      </c>
      <c r="Q41" t="s">
        <v>45</v>
      </c>
      <c r="R41" s="1">
        <f>IFERROR(IF(FIND("certified",Table3[[#This Row],[Car Type]])&gt;0,1,0),0)</f>
        <v>0</v>
      </c>
      <c r="S41" s="17" t="b">
        <v>0</v>
      </c>
      <c r="T41" s="1" t="str">
        <f>TRIM(SUBSTITUTE(REPLACE(Table3[[#This Row],[Car Type]],1,5,""),"(certified)","",1))</f>
        <v>Toyota Prius</v>
      </c>
      <c r="U41" s="1">
        <f>MAX(LEFT(Table3[[#This Row],[Car Type]],4),0)</f>
        <v>2007</v>
      </c>
      <c r="V41" s="8" t="s">
        <v>258</v>
      </c>
      <c r="W41" s="8">
        <f ca="1">VALUE(YEAR(NOW())-Table3[[#This Row],[Year]])</f>
        <v>7</v>
      </c>
      <c r="X41" s="1">
        <f ca="1">IFERROR(IF(FIND("Fit",Table3[[#This Row],[Model]])&gt;0,6-(YEAR(NOW())-Table3[[#This Row],[Year]]),20),7-(YEAR(NOW())-Table3[[#This Row],[Year]]))</f>
        <v>0</v>
      </c>
      <c r="Y4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1</v>
      </c>
    </row>
    <row r="42" spans="1:25" x14ac:dyDescent="0.25">
      <c r="A42" t="s">
        <v>14</v>
      </c>
      <c r="B42" t="s">
        <v>105</v>
      </c>
      <c r="C42">
        <v>90</v>
      </c>
      <c r="D42" t="s">
        <v>12</v>
      </c>
      <c r="E42" s="3">
        <f>IF(Table3[[#This Row],[Color I Want?]],Table3[[#This Row],[Price, Raw]],Table3[[#This Row],[Price, Raw]]+850)</f>
        <v>16728</v>
      </c>
      <c r="F42" s="3">
        <v>15878</v>
      </c>
      <c r="G42" s="5">
        <v>37262</v>
      </c>
      <c r="H42" s="13">
        <f>1-Table3[[#This Row],[Price, Adj]]/MAX(E:E)</f>
        <v>0.19750539697769254</v>
      </c>
      <c r="I42" s="13">
        <f>1-Table3[[#This Row],[Mile-Cost Rating Raw]]/MAX(J:J)</f>
        <v>0.58223030015609389</v>
      </c>
      <c r="J42" s="13">
        <f>IFERROR(Table3[[#This Row],[Price, Adj]]*Table3[[#This Row],[Mileage]],"")</f>
        <v>623318736</v>
      </c>
      <c r="K42" s="13">
        <f ca="1">1-Table3[[#This Row],[Age-Cost Rating Raw]]/MAX(L:L)</f>
        <v>0.23922716006336742</v>
      </c>
      <c r="L42" s="13">
        <f ca="1">Table3[[#This Row],[Price, Adj]]*(YEAR(NOW())-Table3[[#This Row],[Year]])</f>
        <v>100368</v>
      </c>
      <c r="M42" s="13">
        <f ca="1">Table3[[#This Row],[Warranty-Cost Rating Raw]]/MAX(N:N)</f>
        <v>0</v>
      </c>
      <c r="N42" s="6">
        <f>IF(Table3[[#This Row],[Certified Used?]]&gt;0,MIN(Table3[[#This Row],[Warranty Years Left]],Table3[[#This Row],[Warranty Mileage Years Left]])/Table3[[#This Row],[Price, Adj]],0)</f>
        <v>0</v>
      </c>
      <c r="O42" s="4">
        <f ca="1">Table3[[#This Row],[Mile-Cost Rating Adj]]*2+Table3[[#This Row],[Age-Cost Rating Adj]]*2+Table3[[#This Row],[Warranty-Cost Rating Adj]]*2+Table3[[#This Row],[Cost Rating, Adj]]*6</f>
        <v>2.8279473023050778</v>
      </c>
      <c r="P42" s="16" t="b">
        <f>IFERROR(OR(IFERROR(FIND("Red",Table3[[#This Row],[Color]],1),FALSE),FIND(Table3[[#This Row],[Color]],"Blue",1)),FALSE)</f>
        <v>0</v>
      </c>
      <c r="Q42" t="s">
        <v>7</v>
      </c>
      <c r="R42">
        <f>IFERROR(IF(FIND("certified",Table3[[#This Row],[Car Type]])&gt;0,1,0),0)</f>
        <v>0</v>
      </c>
      <c r="S42" s="2" t="b">
        <v>0</v>
      </c>
      <c r="T42" t="str">
        <f>TRIM(SUBSTITUTE(REPLACE(Table3[[#This Row],[Car Type]],1,5,""),"(certified)","",1))</f>
        <v>Honda Fit Sport</v>
      </c>
      <c r="U42">
        <f>MAX(LEFT(Table3[[#This Row],[Car Type]],4),0)</f>
        <v>2008</v>
      </c>
      <c r="V42" t="s">
        <v>15</v>
      </c>
      <c r="W42">
        <f ca="1">VALUE(YEAR(NOW())-Table3[[#This Row],[Year]])</f>
        <v>6</v>
      </c>
      <c r="X42">
        <f ca="1">IFERROR(IF(FIND("Fit",Table3[[#This Row],[Model]])&gt;0,6-(YEAR(NOW())-Table3[[#This Row],[Year]]),20),7-(YEAR(NOW())-Table3[[#This Row],[Year]]))</f>
        <v>0</v>
      </c>
      <c r="Y42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3" spans="1:25" x14ac:dyDescent="0.25">
      <c r="A43" t="s">
        <v>149</v>
      </c>
      <c r="B43" t="s">
        <v>65</v>
      </c>
      <c r="C43">
        <v>0</v>
      </c>
      <c r="D43" t="s">
        <v>73</v>
      </c>
      <c r="E43" s="3">
        <f>IF(Table3[[#This Row],[Color I Want?]],Table3[[#This Row],[Price, Raw]],Table3[[#This Row],[Price, Raw]]+850)</f>
        <v>19781</v>
      </c>
      <c r="F43" s="3">
        <v>18931</v>
      </c>
      <c r="G43" s="5">
        <v>42340</v>
      </c>
      <c r="H43" s="13">
        <f>1-Table3[[#This Row],[Price, Adj]]/MAX(E:E)</f>
        <v>5.1043415687215155E-2</v>
      </c>
      <c r="I43" s="13">
        <f>1-Table3[[#This Row],[Mile-Cost Rating Raw]]/MAX(J:J)</f>
        <v>0.43866017690697967</v>
      </c>
      <c r="J43" s="14">
        <f>IFERROR(Table3[[#This Row],[Price, Adj]]*Table3[[#This Row],[Mileage]],"")</f>
        <v>837527540</v>
      </c>
      <c r="K43" s="14">
        <f ca="1">1-Table3[[#This Row],[Age-Cost Rating Raw]]/MAX(L:L)</f>
        <v>0.25031645809488434</v>
      </c>
      <c r="L43" s="14">
        <f ca="1">Table3[[#This Row],[Price, Adj]]*(YEAR(NOW())-Table3[[#This Row],[Year]])</f>
        <v>98905</v>
      </c>
      <c r="M43" s="14">
        <f ca="1">Table3[[#This Row],[Warranty-Cost Rating Raw]]/MAX(N:N)</f>
        <v>0.5676827932527847</v>
      </c>
      <c r="N43" s="10">
        <f ca="1">IF(Table3[[#This Row],[Certified Used?]]&gt;0,MIN(Table3[[#This Row],[Warranty Years Left]],Table3[[#This Row],[Warranty Mileage Years Left]])/Table3[[#This Row],[Price, Adj]],0)</f>
        <v>1.0110712299681513E-4</v>
      </c>
      <c r="O43" s="18">
        <f ca="1">Table3[[#This Row],[Mile-Cost Rating Adj]]*2+Table3[[#This Row],[Age-Cost Rating Adj]]*2+Table3[[#This Row],[Warranty-Cost Rating Adj]]*2+Table3[[#This Row],[Cost Rating, Adj]]*6</f>
        <v>2.8195793506325879</v>
      </c>
      <c r="P43" s="14" t="b">
        <f>IFERROR(OR(IFERROR(FIND("Red",Table3[[#This Row],[Color]],1),FALSE),FIND(Table3[[#This Row],[Color]],"Blue",1)),FALSE)</f>
        <v>0</v>
      </c>
      <c r="Q43" t="s">
        <v>22</v>
      </c>
      <c r="R43" s="1">
        <f>IFERROR(IF(FIND("certified",Table3[[#This Row],[Car Type]])&gt;0,1,0),0)</f>
        <v>1</v>
      </c>
      <c r="S43" s="2" t="b">
        <v>0</v>
      </c>
      <c r="T43" s="1" t="str">
        <f>TRIM(SUBSTITUTE(REPLACE(Table3[[#This Row],[Car Type]],1,5,""),"(certified)","",1))</f>
        <v>Toyota Prius</v>
      </c>
      <c r="U43">
        <f>MAX(LEFT(Table3[[#This Row],[Car Type]],4),0)</f>
        <v>2009</v>
      </c>
      <c r="V43" s="8" t="s">
        <v>146</v>
      </c>
      <c r="W43" s="8">
        <f ca="1">VALUE(YEAR(NOW())-Table3[[#This Row],[Year]])</f>
        <v>5</v>
      </c>
      <c r="X43" s="1">
        <f ca="1">IFERROR(IF(FIND("Fit",Table3[[#This Row],[Model]])&gt;0,6-(YEAR(NOW())-Table3[[#This Row],[Year]]),20),7-(YEAR(NOW())-Table3[[#This Row],[Year]]))</f>
        <v>2</v>
      </c>
      <c r="Y4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4" spans="1:25" x14ac:dyDescent="0.25">
      <c r="A44" t="s">
        <v>39</v>
      </c>
      <c r="B44" t="s">
        <v>33</v>
      </c>
      <c r="C44">
        <v>80</v>
      </c>
      <c r="D44" t="s">
        <v>37</v>
      </c>
      <c r="E44" s="3">
        <f>IF(Table3[[#This Row],[Color I Want?]],Table3[[#This Row],[Price, Raw]],Table3[[#This Row],[Price, Raw]]+850)</f>
        <v>15901</v>
      </c>
      <c r="F44" s="3">
        <v>15901</v>
      </c>
      <c r="G44" s="5">
        <v>44809</v>
      </c>
      <c r="H44" s="13">
        <f>1-Table3[[#This Row],[Price, Adj]]/MAX(E:E)</f>
        <v>0.23717917965939073</v>
      </c>
      <c r="I44" s="13">
        <f>1-Table3[[#This Row],[Mile-Cost Rating Raw]]/MAX(J:J)</f>
        <v>0.52245264246422529</v>
      </c>
      <c r="J44" s="13">
        <f>IFERROR(Table3[[#This Row],[Price, Adj]]*Table3[[#This Row],[Mileage]],"")</f>
        <v>712507909</v>
      </c>
      <c r="K44" s="13">
        <f ca="1">1-Table3[[#This Row],[Age-Cost Rating Raw]]/MAX(L:L)</f>
        <v>0.15631134928635859</v>
      </c>
      <c r="L44" s="13">
        <f ca="1">Table3[[#This Row],[Price, Adj]]*(YEAR(NOW())-Table3[[#This Row],[Year]])</f>
        <v>111307</v>
      </c>
      <c r="M44" s="13">
        <f ca="1">Table3[[#This Row],[Warranty-Cost Rating Raw]]/MAX(N:N)</f>
        <v>0</v>
      </c>
      <c r="N44" s="9">
        <f ca="1">IF(Table3[[#This Row],[Certified Used?]]&gt;0,MIN(Table3[[#This Row],[Warranty Years Left]],Table3[[#This Row],[Warranty Mileage Years Left]])/Table3[[#This Row],[Price, Adj]],0)</f>
        <v>0</v>
      </c>
      <c r="O44" s="4">
        <f ca="1">Table3[[#This Row],[Mile-Cost Rating Adj]]*2+Table3[[#This Row],[Age-Cost Rating Adj]]*2+Table3[[#This Row],[Warranty-Cost Rating Adj]]*2+Table3[[#This Row],[Cost Rating, Adj]]*6</f>
        <v>2.7806030614575121</v>
      </c>
      <c r="P44" s="13" t="b">
        <f>IFERROR(OR(IFERROR(FIND("Red",Table3[[#This Row],[Color]],1),FALSE),FIND(Table3[[#This Row],[Color]],"Blue",1)),FALSE)</f>
        <v>1</v>
      </c>
      <c r="Q44" t="s">
        <v>13</v>
      </c>
      <c r="R44">
        <f>IFERROR(IF(FIND("certified",Table3[[#This Row],[Car Type]])&gt;0,1,0),0)</f>
        <v>1</v>
      </c>
      <c r="S44" s="2" t="b">
        <v>0</v>
      </c>
      <c r="T44" t="str">
        <f>TRIM(SUBSTITUTE(REPLACE(Table3[[#This Row],[Car Type]],1,5,""),"(certified)","",1))</f>
        <v>Toyota Prius</v>
      </c>
      <c r="U44">
        <f>MAX(LEFT(Table3[[#This Row],[Car Type]],4),0)</f>
        <v>2007</v>
      </c>
      <c r="V44" t="s">
        <v>38</v>
      </c>
      <c r="W44">
        <f ca="1">VALUE(YEAR(NOW())-Table3[[#This Row],[Year]])</f>
        <v>7</v>
      </c>
      <c r="X44">
        <f ca="1">IFERROR(IF(FIND("Fit",Table3[[#This Row],[Model]])&gt;0,6-(YEAR(NOW())-Table3[[#This Row],[Year]]),20),7-(YEAR(NOW())-Table3[[#This Row],[Year]]))</f>
        <v>0</v>
      </c>
      <c r="Y44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5" spans="1:25" x14ac:dyDescent="0.25">
      <c r="A45" t="s">
        <v>32</v>
      </c>
      <c r="B45" t="s">
        <v>33</v>
      </c>
      <c r="C45">
        <v>80</v>
      </c>
      <c r="D45" t="s">
        <v>40</v>
      </c>
      <c r="E45" s="3">
        <f>IF(Table3[[#This Row],[Color I Want?]],Table3[[#This Row],[Price, Raw]],Table3[[#This Row],[Price, Raw]]+850)</f>
        <v>16351</v>
      </c>
      <c r="F45" s="3">
        <v>15501</v>
      </c>
      <c r="G45" s="5">
        <v>79122</v>
      </c>
      <c r="H45" s="13">
        <f>1-Table3[[#This Row],[Price, Adj]]/MAX(E:E)</f>
        <v>0.21559126888942193</v>
      </c>
      <c r="I45" s="13">
        <f>1-Table3[[#This Row],[Mile-Cost Rating Raw]]/MAX(J:J)</f>
        <v>0.13290170568873938</v>
      </c>
      <c r="J45" s="13">
        <f>IFERROR(Table3[[#This Row],[Price, Adj]]*Table3[[#This Row],[Mileage]],"")</f>
        <v>1293723822</v>
      </c>
      <c r="K45" s="13">
        <f ca="1">1-Table3[[#This Row],[Age-Cost Rating Raw]]/MAX(L:L)</f>
        <v>0.25637274594668347</v>
      </c>
      <c r="L45" s="13">
        <f ca="1">Table3[[#This Row],[Price, Adj]]*(YEAR(NOW())-Table3[[#This Row],[Year]])</f>
        <v>98106</v>
      </c>
      <c r="M45" s="13">
        <f ca="1">Table3[[#This Row],[Warranty-Cost Rating Raw]]/MAX(N:N)</f>
        <v>0.34338368703239353</v>
      </c>
      <c r="N45" s="9">
        <f ca="1">IF(Table3[[#This Row],[Certified Used?]]&gt;0,MIN(Table3[[#This Row],[Warranty Years Left]],Table3[[#This Row],[Warranty Mileage Years Left]])/Table3[[#This Row],[Price, Adj]],0)</f>
        <v>6.1158338939514407E-5</v>
      </c>
      <c r="O45" s="4">
        <f ca="1">Table3[[#This Row],[Mile-Cost Rating Adj]]*2+Table3[[#This Row],[Age-Cost Rating Adj]]*2+Table3[[#This Row],[Warranty-Cost Rating Adj]]*2+Table3[[#This Row],[Cost Rating, Adj]]*6</f>
        <v>2.7588638906721643</v>
      </c>
      <c r="P45" s="13" t="b">
        <f>IFERROR(OR(IFERROR(FIND("Red",Table3[[#This Row],[Color]],1),FALSE),FIND(Table3[[#This Row],[Color]],"Blue",1)),FALSE)</f>
        <v>0</v>
      </c>
      <c r="Q45" t="s">
        <v>145</v>
      </c>
      <c r="R45">
        <f>IFERROR(IF(FIND("certified",Table3[[#This Row],[Car Type]])&gt;0,1,0),0)</f>
        <v>1</v>
      </c>
      <c r="S45" s="2" t="b">
        <v>0</v>
      </c>
      <c r="T45" t="str">
        <f>TRIM(SUBSTITUTE(REPLACE(Table3[[#This Row],[Car Type]],1,5,""),"(certified)","",1))</f>
        <v>Toyota Prius</v>
      </c>
      <c r="U45">
        <f>MAX(LEFT(Table3[[#This Row],[Car Type]],4),0)</f>
        <v>2008</v>
      </c>
      <c r="V45" t="s">
        <v>34</v>
      </c>
      <c r="W45">
        <f ca="1">VALUE(YEAR(NOW())-Table3[[#This Row],[Year]])</f>
        <v>6</v>
      </c>
      <c r="X45">
        <f ca="1">IFERROR(IF(FIND("Fit",Table3[[#This Row],[Model]])&gt;0,6-(YEAR(NOW())-Table3[[#This Row],[Year]]),20),7-(YEAR(NOW())-Table3[[#This Row],[Year]]))</f>
        <v>1</v>
      </c>
      <c r="Y45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3</v>
      </c>
    </row>
    <row r="46" spans="1:25" x14ac:dyDescent="0.25">
      <c r="A46" t="s">
        <v>147</v>
      </c>
      <c r="B46" t="s">
        <v>65</v>
      </c>
      <c r="C46">
        <v>0</v>
      </c>
      <c r="D46" t="s">
        <v>40</v>
      </c>
      <c r="E46" s="3">
        <f>IF(Table3[[#This Row],[Color I Want?]],Table3[[#This Row],[Price, Raw]],Table3[[#This Row],[Price, Raw]]+850)</f>
        <v>18151</v>
      </c>
      <c r="F46" s="3">
        <v>17301</v>
      </c>
      <c r="G46" s="5">
        <v>40704</v>
      </c>
      <c r="H46" s="13">
        <f>1-Table3[[#This Row],[Price, Adj]]/MAX(E:E)</f>
        <v>0.12923962580954662</v>
      </c>
      <c r="I46" s="13">
        <f>1-Table3[[#This Row],[Mile-Cost Rating Raw]]/MAX(J:J)</f>
        <v>0.50481850893494762</v>
      </c>
      <c r="J46" s="13">
        <f>IFERROR(Table3[[#This Row],[Price, Adj]]*Table3[[#This Row],[Mileage]],"")</f>
        <v>738818304</v>
      </c>
      <c r="K46" s="13">
        <f ca="1">1-Table3[[#This Row],[Age-Cost Rating Raw]]/MAX(L:L)</f>
        <v>0.17451053218018786</v>
      </c>
      <c r="L46" s="13">
        <f ca="1">Table3[[#This Row],[Price, Adj]]*(YEAR(NOW())-Table3[[#This Row],[Year]])</f>
        <v>108906</v>
      </c>
      <c r="M46" s="13">
        <f ca="1">Table3[[#This Row],[Warranty-Cost Rating Raw]]/MAX(N:N)</f>
        <v>0.30933098268231318</v>
      </c>
      <c r="N46" s="9">
        <f ca="1">IF(Table3[[#This Row],[Certified Used?]]&gt;0,MIN(Table3[[#This Row],[Warranty Years Left]],Table3[[#This Row],[Warranty Mileage Years Left]])/Table3[[#This Row],[Price, Adj]],0)</f>
        <v>5.5093383284667509E-5</v>
      </c>
      <c r="O46" s="4">
        <f ca="1">Table3[[#This Row],[Mile-Cost Rating Adj]]*2+Table3[[#This Row],[Age-Cost Rating Adj]]*2+Table3[[#This Row],[Warranty-Cost Rating Adj]]*2+Table3[[#This Row],[Cost Rating, Adj]]*6</f>
        <v>2.752757802452177</v>
      </c>
      <c r="P46" s="13" t="b">
        <f>IFERROR(OR(IFERROR(FIND("Red",Table3[[#This Row],[Color]],1),FALSE),FIND(Table3[[#This Row],[Color]],"Blue",1)),FALSE)</f>
        <v>0</v>
      </c>
      <c r="Q46" t="s">
        <v>22</v>
      </c>
      <c r="R46" s="1">
        <f>IFERROR(IF(FIND("certified",Table3[[#This Row],[Car Type]])&gt;0,1,0),0)</f>
        <v>1</v>
      </c>
      <c r="S46" s="2" t="b">
        <v>0</v>
      </c>
      <c r="T46" s="1" t="str">
        <f>TRIM(SUBSTITUTE(REPLACE(Table3[[#This Row],[Car Type]],1,5,""),"(certified)","",1))</f>
        <v>Toyota Prius</v>
      </c>
      <c r="U46">
        <f>MAX(LEFT(Table3[[#This Row],[Car Type]],4),0)</f>
        <v>2008</v>
      </c>
      <c r="V46" s="8" t="s">
        <v>148</v>
      </c>
      <c r="W46" s="8">
        <f ca="1">VALUE(YEAR(NOW())-Table3[[#This Row],[Year]])</f>
        <v>6</v>
      </c>
      <c r="X46" s="1">
        <f ca="1">IFERROR(IF(FIND("Fit",Table3[[#This Row],[Model]])&gt;0,6-(YEAR(NOW())-Table3[[#This Row],[Year]]),20),7-(YEAR(NOW())-Table3[[#This Row],[Year]]))</f>
        <v>1</v>
      </c>
      <c r="Y4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7" spans="1:25" x14ac:dyDescent="0.25">
      <c r="A47" t="s">
        <v>74</v>
      </c>
      <c r="B47" t="s">
        <v>50</v>
      </c>
      <c r="C47">
        <v>15</v>
      </c>
      <c r="D47" t="s">
        <v>73</v>
      </c>
      <c r="E47" s="3">
        <f>IF(Table3[[#This Row],[Color I Want?]],Table3[[#This Row],[Price, Raw]],Table3[[#This Row],[Price, Raw]]+850)</f>
        <v>19840</v>
      </c>
      <c r="F47" s="3">
        <v>18990</v>
      </c>
      <c r="G47" s="5">
        <v>44243</v>
      </c>
      <c r="H47" s="13">
        <f>1-Table3[[#This Row],[Price, Adj]]/MAX(E:E)</f>
        <v>4.8213000719596999E-2</v>
      </c>
      <c r="I47" s="13">
        <f>1-Table3[[#This Row],[Mile-Cost Rating Raw]]/MAX(J:J)</f>
        <v>0.41168084023219909</v>
      </c>
      <c r="J47" s="13">
        <f>IFERROR(Table3[[#This Row],[Price, Adj]]*Table3[[#This Row],[Mileage]],"")</f>
        <v>877781120</v>
      </c>
      <c r="K47" s="13">
        <f ca="1">1-Table3[[#This Row],[Age-Cost Rating Raw]]/MAX(L:L)</f>
        <v>0.2480804068855218</v>
      </c>
      <c r="L47" s="13">
        <f ca="1">Table3[[#This Row],[Price, Adj]]*(YEAR(NOW())-Table3[[#This Row],[Year]])</f>
        <v>99200</v>
      </c>
      <c r="M47" s="13">
        <f ca="1">Table3[[#This Row],[Warranty-Cost Rating Raw]]/MAX(N:N)</f>
        <v>0.56599462365591391</v>
      </c>
      <c r="N47" s="9">
        <f ca="1">IF(Table3[[#This Row],[Certified Used?]]&gt;0,MIN(Table3[[#This Row],[Warranty Years Left]],Table3[[#This Row],[Warranty Mileage Years Left]])/Table3[[#This Row],[Price, Adj]],0)</f>
        <v>1.0080645161290323E-4</v>
      </c>
      <c r="O47" s="4">
        <f ca="1">Table3[[#This Row],[Mile-Cost Rating Adj]]*2+Table3[[#This Row],[Age-Cost Rating Adj]]*2+Table3[[#This Row],[Warranty-Cost Rating Adj]]*2+Table3[[#This Row],[Cost Rating, Adj]]*6</f>
        <v>2.740789745864852</v>
      </c>
      <c r="P47" s="13" t="b">
        <f>IFERROR(OR(IFERROR(FIND("Red",Table3[[#This Row],[Color]],1),FALSE),FIND(Table3[[#This Row],[Color]],"Blue",1)),FALSE)</f>
        <v>0</v>
      </c>
      <c r="Q47" t="s">
        <v>45</v>
      </c>
      <c r="R47">
        <f>IFERROR(IF(FIND("certified",Table3[[#This Row],[Car Type]])&gt;0,1,0),0)</f>
        <v>1</v>
      </c>
      <c r="S47" s="2" t="b">
        <v>0</v>
      </c>
      <c r="T47" t="str">
        <f>TRIM(SUBSTITUTE(REPLACE(Table3[[#This Row],[Car Type]],1,5,""),"(certified)","",1))</f>
        <v>Toyota Prius</v>
      </c>
      <c r="U47">
        <f>MAX(LEFT(Table3[[#This Row],[Car Type]],4),0)</f>
        <v>2009</v>
      </c>
      <c r="V47" t="s">
        <v>72</v>
      </c>
      <c r="W47">
        <f ca="1">VALUE(YEAR(NOW())-Table3[[#This Row],[Year]])</f>
        <v>5</v>
      </c>
      <c r="X47">
        <f ca="1">IFERROR(IF(FIND("Fit",Table3[[#This Row],[Model]])&gt;0,6-(YEAR(NOW())-Table3[[#This Row],[Year]]),20),7-(YEAR(NOW())-Table3[[#This Row],[Year]]))</f>
        <v>2</v>
      </c>
      <c r="Y47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8" spans="1:25" x14ac:dyDescent="0.25">
      <c r="A48" t="s">
        <v>53</v>
      </c>
      <c r="B48" t="s">
        <v>52</v>
      </c>
      <c r="C48">
        <v>181</v>
      </c>
      <c r="D48" t="s">
        <v>16</v>
      </c>
      <c r="E48" s="3">
        <f>IF(Table3[[#This Row],[Color I Want?]],Table3[[#This Row],[Price, Raw]],Table3[[#This Row],[Price, Raw]]+850)</f>
        <v>16995</v>
      </c>
      <c r="F48" s="3">
        <v>16995</v>
      </c>
      <c r="G48" s="5">
        <v>36100</v>
      </c>
      <c r="H48" s="13">
        <f>1-Table3[[#This Row],[Price, Adj]]/MAX(E:E)</f>
        <v>0.18469656992084438</v>
      </c>
      <c r="I48" s="13">
        <f>1-Table3[[#This Row],[Mile-Cost Rating Raw]]/MAX(J:J)</f>
        <v>0.58879808585862348</v>
      </c>
      <c r="J48" s="13">
        <f>IFERROR(Table3[[#This Row],[Price, Adj]]*Table3[[#This Row],[Mileage]],"")</f>
        <v>613519500</v>
      </c>
      <c r="K48" s="13">
        <f ca="1">1-Table3[[#This Row],[Age-Cost Rating Raw]]/MAX(L:L)</f>
        <v>0.22708426502133727</v>
      </c>
      <c r="L48" s="13">
        <f ca="1">Table3[[#This Row],[Price, Adj]]*(YEAR(NOW())-Table3[[#This Row],[Year]])</f>
        <v>101970</v>
      </c>
      <c r="M48" s="13">
        <f ca="1">Table3[[#This Row],[Warranty-Cost Rating Raw]]/MAX(N:N)</f>
        <v>0</v>
      </c>
      <c r="N48" s="11">
        <f>IF(Table3[[#This Row],[Certified Used?]]&gt;0,MIN(Table3[[#This Row],[Warranty Years Left]],Table3[[#This Row],[Warranty Mileage Years Left]])/Table3[[#This Row],[Price, Adj]],0)</f>
        <v>0</v>
      </c>
      <c r="O48" s="4">
        <f ca="1">Table3[[#This Row],[Mile-Cost Rating Adj]]*2+Table3[[#This Row],[Age-Cost Rating Adj]]*2+Table3[[#This Row],[Warranty-Cost Rating Adj]]*2+Table3[[#This Row],[Cost Rating, Adj]]*6</f>
        <v>2.7399441212849878</v>
      </c>
      <c r="P48" s="13" t="b">
        <f>IFERROR(OR(IFERROR(FIND("Red",Table3[[#This Row],[Color]],1),FALSE),FIND(Table3[[#This Row],[Color]],"Blue",1)),FALSE)</f>
        <v>1</v>
      </c>
      <c r="Q48" t="s">
        <v>13</v>
      </c>
      <c r="R48">
        <f>IFERROR(IF(FIND("certified",Table3[[#This Row],[Car Type]])&gt;0,1,0),0)</f>
        <v>0</v>
      </c>
      <c r="S48" s="2" t="b">
        <v>0</v>
      </c>
      <c r="T48" t="str">
        <f>TRIM(SUBSTITUTE(REPLACE(Table3[[#This Row],[Car Type]],1,5,""),"(certified)","",1))</f>
        <v>Toyota Prius</v>
      </c>
      <c r="U48">
        <f>MAX(LEFT(Table3[[#This Row],[Car Type]],4),0)</f>
        <v>2008</v>
      </c>
      <c r="V48" t="s">
        <v>54</v>
      </c>
      <c r="W48">
        <f ca="1">VALUE(YEAR(NOW())-Table3[[#This Row],[Year]])</f>
        <v>6</v>
      </c>
      <c r="X48">
        <f ca="1">IFERROR(IF(FIND("Fit",Table3[[#This Row],[Model]])&gt;0,6-(YEAR(NOW())-Table3[[#This Row],[Year]]),20),7-(YEAR(NOW())-Table3[[#This Row],[Year]]))</f>
        <v>1</v>
      </c>
      <c r="Y48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49" spans="1:25" x14ac:dyDescent="0.25">
      <c r="A49" t="s">
        <v>216</v>
      </c>
      <c r="B49" t="s">
        <v>50</v>
      </c>
      <c r="C49">
        <v>15</v>
      </c>
      <c r="D49" t="s">
        <v>40</v>
      </c>
      <c r="E49" s="3">
        <f>IF(Table3[[#This Row],[Color I Want?]],Table3[[#This Row],[Price, Raw]],Table3[[#This Row],[Price, Raw]]+850)</f>
        <v>16990</v>
      </c>
      <c r="F49" s="3">
        <v>16990</v>
      </c>
      <c r="G49" s="5">
        <v>65456</v>
      </c>
      <c r="H49" s="13">
        <f>1-Table3[[#This Row],[Price, Adj]]/MAX(E:E)</f>
        <v>0.18493643559606621</v>
      </c>
      <c r="I49" s="14">
        <f>1-Table3[[#This Row],[Mile-Cost Rating Raw]]/MAX(J:J)</f>
        <v>0.25463396674478211</v>
      </c>
      <c r="J49" s="14">
        <f>IFERROR(Table3[[#This Row],[Price, Adj]]*Table3[[#This Row],[Mileage]],"")</f>
        <v>1112097440</v>
      </c>
      <c r="K49" s="14">
        <f ca="1">1-Table3[[#This Row],[Age-Cost Rating Raw]]/MAX(L:L)</f>
        <v>0.22731166005957748</v>
      </c>
      <c r="L49" s="14">
        <f ca="1">Table3[[#This Row],[Price, Adj]]*(YEAR(NOW())-Table3[[#This Row],[Year]])</f>
        <v>101940</v>
      </c>
      <c r="M49" s="14">
        <f ca="1">Table3[[#This Row],[Warranty-Cost Rating Raw]]/MAX(N:N)</f>
        <v>0.33046890327643708</v>
      </c>
      <c r="N49" s="10">
        <f ca="1">IF(Table3[[#This Row],[Certified Used?]]&gt;0,MIN(Table3[[#This Row],[Warranty Years Left]],Table3[[#This Row],[Warranty Mileage Years Left]])/Table3[[#This Row],[Price, Adj]],0)</f>
        <v>5.8858151854031782E-5</v>
      </c>
      <c r="O49" s="18">
        <f ca="1">Table3[[#This Row],[Mile-Cost Rating Adj]]*2+Table3[[#This Row],[Age-Cost Rating Adj]]*2+Table3[[#This Row],[Warranty-Cost Rating Adj]]*2+Table3[[#This Row],[Cost Rating, Adj]]*6</f>
        <v>2.7344476737379906</v>
      </c>
      <c r="P49" s="14" t="b">
        <v>1</v>
      </c>
      <c r="Q49" t="s">
        <v>6</v>
      </c>
      <c r="R49" s="1">
        <f>IFERROR(IF(FIND("certified",Table3[[#This Row],[Car Type]])&gt;0,1,0),0)</f>
        <v>1</v>
      </c>
      <c r="S49" s="17" t="b">
        <v>0</v>
      </c>
      <c r="T49" s="1" t="str">
        <f>TRIM(SUBSTITUTE(REPLACE(Table3[[#This Row],[Car Type]],1,5,""),"(certified)","",1))</f>
        <v>Toyota Prius</v>
      </c>
      <c r="U49" s="1">
        <f>MAX(LEFT(Table3[[#This Row],[Car Type]],4),0)</f>
        <v>2008</v>
      </c>
      <c r="V49" t="s">
        <v>217</v>
      </c>
      <c r="W49">
        <f ca="1">VALUE(YEAR(NOW())-Table3[[#This Row],[Year]])</f>
        <v>6</v>
      </c>
      <c r="X49" s="1">
        <f ca="1">IFERROR(IF(FIND("Fit",Table3[[#This Row],[Model]])&gt;0,6-(YEAR(NOW())-Table3[[#This Row],[Year]]),20),7-(YEAR(NOW())-Table3[[#This Row],[Year]]))</f>
        <v>1</v>
      </c>
      <c r="Y4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50" spans="1:25" x14ac:dyDescent="0.25">
      <c r="A50" t="s">
        <v>254</v>
      </c>
      <c r="B50" t="s">
        <v>59</v>
      </c>
      <c r="C50">
        <v>10</v>
      </c>
      <c r="D50" t="s">
        <v>255</v>
      </c>
      <c r="E50" s="3">
        <f>IF(Table3[[#This Row],[Color I Want?]],Table3[[#This Row],[Price, Raw]],Table3[[#This Row],[Price, Raw]]+850)</f>
        <v>13995</v>
      </c>
      <c r="F50" s="3">
        <v>13995</v>
      </c>
      <c r="G50" s="5">
        <v>83458</v>
      </c>
      <c r="H50" s="13">
        <f>1-Table3[[#This Row],[Price, Adj]]/MAX(E:E)</f>
        <v>0.32861597505396978</v>
      </c>
      <c r="I50" s="13">
        <f>1-Table3[[#This Row],[Mile-Cost Rating Raw]]/MAX(J:J)</f>
        <v>0.21716968986478513</v>
      </c>
      <c r="J50" s="13">
        <f>IFERROR(Table3[[#This Row],[Price, Adj]]*Table3[[#This Row],[Mileage]],"")</f>
        <v>1167994710</v>
      </c>
      <c r="K50" s="13">
        <f ca="1">1-Table3[[#This Row],[Age-Cost Rating Raw]]/MAX(L:L)</f>
        <v>0.15136171728732883</v>
      </c>
      <c r="L50" s="13">
        <f ca="1">Table3[[#This Row],[Price, Adj]]*(YEAR(NOW())-Table3[[#This Row],[Year]])</f>
        <v>111960</v>
      </c>
      <c r="M50" s="13">
        <f ca="1">Table3[[#This Row],[Warranty-Cost Rating Raw]]/MAX(N:N)</f>
        <v>0</v>
      </c>
      <c r="N50" s="9">
        <f>IF(Table3[[#This Row],[Certified Used?]]&gt;0,MIN(Table3[[#This Row],[Warranty Years Left]],Table3[[#This Row],[Warranty Mileage Years Left]])/Table3[[#This Row],[Price, Adj]],0)</f>
        <v>0</v>
      </c>
      <c r="O50" s="4">
        <f ca="1">Table3[[#This Row],[Mile-Cost Rating Adj]]*2+Table3[[#This Row],[Age-Cost Rating Adj]]*2+Table3[[#This Row],[Warranty-Cost Rating Adj]]*2+Table3[[#This Row],[Cost Rating, Adj]]*6</f>
        <v>2.7087586646280464</v>
      </c>
      <c r="P50" s="13" t="b">
        <v>1</v>
      </c>
      <c r="Q50" t="s">
        <v>6</v>
      </c>
      <c r="R50" s="1">
        <f>IFERROR(IF(FIND("certified",Table3[[#This Row],[Car Type]])&gt;0,1,0),0)</f>
        <v>0</v>
      </c>
      <c r="S50" s="17" t="b">
        <v>0</v>
      </c>
      <c r="T50" s="1" t="str">
        <f>TRIM(SUBSTITUTE(REPLACE(Table3[[#This Row],[Car Type]],1,5,""),"(certified)","",1))</f>
        <v>Toyota Prius</v>
      </c>
      <c r="U50" s="1">
        <f>MAX(LEFT(Table3[[#This Row],[Car Type]],4),0)</f>
        <v>2006</v>
      </c>
      <c r="V50" s="8" t="s">
        <v>256</v>
      </c>
      <c r="W50" s="8">
        <f ca="1">VALUE(YEAR(NOW())-Table3[[#This Row],[Year]])</f>
        <v>8</v>
      </c>
      <c r="X50" s="1">
        <f ca="1">IFERROR(IF(FIND("Fit",Table3[[#This Row],[Model]])&gt;0,6-(YEAR(NOW())-Table3[[#This Row],[Year]]),20),7-(YEAR(NOW())-Table3[[#This Row],[Year]]))</f>
        <v>-1</v>
      </c>
      <c r="Y5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2</v>
      </c>
    </row>
    <row r="51" spans="1:25" x14ac:dyDescent="0.25">
      <c r="A51" t="s">
        <v>226</v>
      </c>
      <c r="B51" t="s">
        <v>144</v>
      </c>
      <c r="C51">
        <v>34</v>
      </c>
      <c r="D51" t="s">
        <v>40</v>
      </c>
      <c r="E51" s="3">
        <f>IF(Table3[[#This Row],[Color I Want?]],Table3[[#This Row],[Price, Raw]],Table3[[#This Row],[Price, Raw]]+850)</f>
        <v>16846</v>
      </c>
      <c r="F51" s="3">
        <v>15996</v>
      </c>
      <c r="G51" s="5">
        <v>70207</v>
      </c>
      <c r="H51" s="13">
        <f>1-Table3[[#This Row],[Price, Adj]]/MAX(E:E)</f>
        <v>0.19184456704245623</v>
      </c>
      <c r="I51" s="14">
        <f>1-Table3[[#This Row],[Mile-Cost Rating Raw]]/MAX(J:J)</f>
        <v>0.2073089242721079</v>
      </c>
      <c r="J51" s="14">
        <f>IFERROR(Table3[[#This Row],[Price, Adj]]*Table3[[#This Row],[Mileage]],"")</f>
        <v>1182707122</v>
      </c>
      <c r="K51" s="14">
        <f ca="1">1-Table3[[#This Row],[Age-Cost Rating Raw]]/MAX(L:L)</f>
        <v>0.23386063716089711</v>
      </c>
      <c r="L51" s="14">
        <f ca="1">Table3[[#This Row],[Price, Adj]]*(YEAR(NOW())-Table3[[#This Row],[Year]])</f>
        <v>101076</v>
      </c>
      <c r="M51" s="14">
        <f ca="1">Table3[[#This Row],[Warranty-Cost Rating Raw]]/MAX(N:N)</f>
        <v>0.33329375915152953</v>
      </c>
      <c r="N51" s="10">
        <f ca="1">IF(Table3[[#This Row],[Certified Used?]]&gt;0,MIN(Table3[[#This Row],[Warranty Years Left]],Table3[[#This Row],[Warranty Mileage Years Left]])/Table3[[#This Row],[Price, Adj]],0)</f>
        <v>5.9361272705686811E-5</v>
      </c>
      <c r="O51" s="18">
        <f ca="1">Table3[[#This Row],[Mile-Cost Rating Adj]]*2+Table3[[#This Row],[Age-Cost Rating Adj]]*2+Table3[[#This Row],[Warranty-Cost Rating Adj]]*2+Table3[[#This Row],[Cost Rating, Adj]]*6</f>
        <v>2.6999940434238066</v>
      </c>
      <c r="P51" s="14" t="b">
        <f>IFERROR(OR(IFERROR(FIND("Red",Table3[[#This Row],[Color]],1),FALSE),FIND(Table3[[#This Row],[Color]],"Blue",1)),FALSE)</f>
        <v>0</v>
      </c>
      <c r="Q51" t="s">
        <v>145</v>
      </c>
      <c r="R51" s="1">
        <f>IFERROR(IF(FIND("certified",Table3[[#This Row],[Car Type]])&gt;0,1,0),0)</f>
        <v>1</v>
      </c>
      <c r="S51" s="17" t="b">
        <v>0</v>
      </c>
      <c r="T51" s="1" t="str">
        <f>TRIM(SUBSTITUTE(REPLACE(Table3[[#This Row],[Car Type]],1,5,""),"(certified)","",1))</f>
        <v>Toyota Prius</v>
      </c>
      <c r="U51" s="1">
        <f>MAX(LEFT(Table3[[#This Row],[Car Type]],4),0)</f>
        <v>2008</v>
      </c>
      <c r="V51" t="s">
        <v>227</v>
      </c>
      <c r="W51">
        <f ca="1">VALUE(YEAR(NOW())-Table3[[#This Row],[Year]])</f>
        <v>6</v>
      </c>
      <c r="X51" s="1">
        <f ca="1">IFERROR(IF(FIND("Fit",Table3[[#This Row],[Model]])&gt;0,6-(YEAR(NOW())-Table3[[#This Row],[Year]]),20),7-(YEAR(NOW())-Table3[[#This Row],[Year]]))</f>
        <v>1</v>
      </c>
      <c r="Y5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52" spans="1:25" x14ac:dyDescent="0.25">
      <c r="A52" t="s">
        <v>69</v>
      </c>
      <c r="B52" t="s">
        <v>33</v>
      </c>
      <c r="C52">
        <v>80</v>
      </c>
      <c r="D52" t="s">
        <v>40</v>
      </c>
      <c r="E52" s="3">
        <f>IF(Table3[[#This Row],[Color I Want?]],Table3[[#This Row],[Price, Raw]],Table3[[#This Row],[Price, Raw]]+850)</f>
        <v>18795</v>
      </c>
      <c r="F52" s="3">
        <v>17945</v>
      </c>
      <c r="G52" s="5">
        <v>31242</v>
      </c>
      <c r="H52" s="13">
        <f>1-Table3[[#This Row],[Price, Adj]]/MAX(E:E)</f>
        <v>9.8344926840969071E-2</v>
      </c>
      <c r="I52" s="13">
        <f>1-Table3[[#This Row],[Mile-Cost Rating Raw]]/MAX(J:J)</f>
        <v>0.60644275212252619</v>
      </c>
      <c r="J52" s="13">
        <f>IFERROR(Table3[[#This Row],[Price, Adj]]*Table3[[#This Row],[Mileage]],"")</f>
        <v>587193390</v>
      </c>
      <c r="K52" s="13">
        <f ca="1">1-Table3[[#This Row],[Age-Cost Rating Raw]]/MAX(L:L)</f>
        <v>0.14522205125484167</v>
      </c>
      <c r="L52" s="13">
        <f ca="1">Table3[[#This Row],[Price, Adj]]*(YEAR(NOW())-Table3[[#This Row],[Year]])</f>
        <v>112770</v>
      </c>
      <c r="M52" s="13">
        <f ca="1">Table3[[#This Row],[Warranty-Cost Rating Raw]]/MAX(N:N)</f>
        <v>0.29873193225148531</v>
      </c>
      <c r="N52" s="9">
        <f ca="1">IF(Table3[[#This Row],[Certified Used?]]&gt;0,MIN(Table3[[#This Row],[Warranty Years Left]],Table3[[#This Row],[Warranty Mileage Years Left]])/Table3[[#This Row],[Price, Adj]],0)</f>
        <v>5.3205639797818569E-5</v>
      </c>
      <c r="O52" s="4">
        <f ca="1">Table3[[#This Row],[Mile-Cost Rating Adj]]*2+Table3[[#This Row],[Age-Cost Rating Adj]]*2+Table3[[#This Row],[Warranty-Cost Rating Adj]]*2+Table3[[#This Row],[Cost Rating, Adj]]*6</f>
        <v>2.6908630323035205</v>
      </c>
      <c r="P52" s="13" t="b">
        <f>IFERROR(OR(IFERROR(FIND("Red",Table3[[#This Row],[Color]],1),FALSE),FIND(Table3[[#This Row],[Color]],"Blue",1)),FALSE)</f>
        <v>0</v>
      </c>
      <c r="Q52" t="s">
        <v>7</v>
      </c>
      <c r="R52">
        <f>IFERROR(IF(FIND("certified",Table3[[#This Row],[Car Type]])&gt;0,1,0),0)</f>
        <v>1</v>
      </c>
      <c r="S52" s="2" t="b">
        <v>0</v>
      </c>
      <c r="T52" t="str">
        <f>TRIM(SUBSTITUTE(REPLACE(Table3[[#This Row],[Car Type]],1,5,""),"(certified)","",1))</f>
        <v>Toyota Prius</v>
      </c>
      <c r="U52">
        <f>MAX(LEFT(Table3[[#This Row],[Car Type]],4),0)</f>
        <v>2008</v>
      </c>
      <c r="V52" t="s">
        <v>68</v>
      </c>
      <c r="W52">
        <f ca="1">VALUE(YEAR(NOW())-Table3[[#This Row],[Year]])</f>
        <v>6</v>
      </c>
      <c r="X52">
        <f ca="1">IFERROR(IF(FIND("Fit",Table3[[#This Row],[Model]])&gt;0,6-(YEAR(NOW())-Table3[[#This Row],[Year]]),20),7-(YEAR(NOW())-Table3[[#This Row],[Year]]))</f>
        <v>1</v>
      </c>
      <c r="Y52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53" spans="1:25" x14ac:dyDescent="0.25">
      <c r="A53" t="s">
        <v>266</v>
      </c>
      <c r="B53" t="s">
        <v>233</v>
      </c>
      <c r="C53">
        <v>30</v>
      </c>
      <c r="D53" t="s">
        <v>19</v>
      </c>
      <c r="E53" s="3">
        <f>IF(Table3[[#This Row],[Color I Want?]],Table3[[#This Row],[Price, Raw]],Table3[[#This Row],[Price, Raw]]+850)</f>
        <v>17828</v>
      </c>
      <c r="F53" s="3">
        <v>16978</v>
      </c>
      <c r="G53" s="5">
        <v>36000</v>
      </c>
      <c r="H53" s="13">
        <f>1-Table3[[#This Row],[Price, Adj]]/MAX(E:E)</f>
        <v>0.14473494842887979</v>
      </c>
      <c r="I53" s="13">
        <f>1-Table3[[#This Row],[Mile-Cost Rating Raw]]/MAX(J:J)</f>
        <v>0.56983815818201611</v>
      </c>
      <c r="J53" s="13">
        <f>IFERROR(Table3[[#This Row],[Price, Adj]]*Table3[[#This Row],[Mileage]],"")</f>
        <v>641808000</v>
      </c>
      <c r="K53" s="13">
        <f ca="1">1-Table3[[#This Row],[Age-Cost Rating Raw]]/MAX(L:L)</f>
        <v>0.32433354304209083</v>
      </c>
      <c r="L53" s="13">
        <f ca="1">Table3[[#This Row],[Price, Adj]]*(YEAR(NOW())-Table3[[#This Row],[Year]])</f>
        <v>89140</v>
      </c>
      <c r="M53" s="13">
        <f ca="1">Table3[[#This Row],[Warranty-Cost Rating Raw]]/MAX(N:N)</f>
        <v>0</v>
      </c>
      <c r="N53" s="9">
        <f>IF(Table3[[#This Row],[Certified Used?]]&gt;0,MIN(Table3[[#This Row],[Warranty Years Left]],Table3[[#This Row],[Warranty Mileage Years Left]])/Table3[[#This Row],[Price, Adj]],0)</f>
        <v>0</v>
      </c>
      <c r="O53" s="4">
        <f ca="1">Table3[[#This Row],[Mile-Cost Rating Adj]]*2+Table3[[#This Row],[Age-Cost Rating Adj]]*2+Table3[[#This Row],[Warranty-Cost Rating Adj]]*2+Table3[[#This Row],[Cost Rating, Adj]]*6</f>
        <v>2.6567530930214929</v>
      </c>
      <c r="P53" s="13" t="b">
        <f>IFERROR(OR(IFERROR(FIND("Red",Table3[[#This Row],[Color]],1),FALSE),FIND(Table3[[#This Row],[Color]],"Blue",1)),FALSE)</f>
        <v>0</v>
      </c>
      <c r="Q53" t="s">
        <v>8</v>
      </c>
      <c r="R53" s="1">
        <f>IFERROR(IF(FIND("certified",Table3[[#This Row],[Car Type]])&gt;0,1,0),0)</f>
        <v>0</v>
      </c>
      <c r="S53" s="17" t="b">
        <v>0</v>
      </c>
      <c r="T53" s="1" t="str">
        <f>TRIM(SUBSTITUTE(REPLACE(Table3[[#This Row],[Car Type]],1,5,""),"(certified)","",1))</f>
        <v>Honda Fit Sport</v>
      </c>
      <c r="U53" s="1">
        <f>MAX(LEFT(Table3[[#This Row],[Car Type]],4),0)</f>
        <v>2009</v>
      </c>
      <c r="V53" s="8" t="s">
        <v>267</v>
      </c>
      <c r="W53" s="8">
        <f ca="1">VALUE(YEAR(NOW())-Table3[[#This Row],[Year]])</f>
        <v>5</v>
      </c>
      <c r="X53" s="1">
        <f ca="1">IFERROR(IF(FIND("Fit",Table3[[#This Row],[Model]])&gt;0,6-(YEAR(NOW())-Table3[[#This Row],[Year]]),20),7-(YEAR(NOW())-Table3[[#This Row],[Year]]))</f>
        <v>1</v>
      </c>
      <c r="Y5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54" spans="1:25" x14ac:dyDescent="0.25">
      <c r="A54" t="s">
        <v>143</v>
      </c>
      <c r="B54" t="s">
        <v>105</v>
      </c>
      <c r="C54">
        <v>90</v>
      </c>
      <c r="D54" t="s">
        <v>19</v>
      </c>
      <c r="E54" s="3">
        <f>IF(Table3[[#This Row],[Color I Want?]],Table3[[#This Row],[Price, Raw]],Table3[[#This Row],[Price, Raw]]+850)</f>
        <v>17850</v>
      </c>
      <c r="F54" s="3">
        <v>17000</v>
      </c>
      <c r="G54" s="5">
        <v>36236</v>
      </c>
      <c r="H54" s="13">
        <f>1-Table3[[#This Row],[Price, Adj]]/MAX(E:E)</f>
        <v>0.14367953945790357</v>
      </c>
      <c r="I54" s="13">
        <f>1-Table3[[#This Row],[Mile-Cost Rating Raw]]/MAX(J:J)</f>
        <v>0.56648390277609673</v>
      </c>
      <c r="J54" s="13">
        <f>IFERROR(Table3[[#This Row],[Price, Adj]]*Table3[[#This Row],[Mileage]],"")</f>
        <v>646812600</v>
      </c>
      <c r="K54" s="13">
        <f ca="1">1-Table3[[#This Row],[Age-Cost Rating Raw]]/MAX(L:L)</f>
        <v>0.32349976123520985</v>
      </c>
      <c r="L54" s="13">
        <f ca="1">Table3[[#This Row],[Price, Adj]]*(YEAR(NOW())-Table3[[#This Row],[Year]])</f>
        <v>89250</v>
      </c>
      <c r="M54" s="13">
        <f ca="1">Table3[[#This Row],[Warranty-Cost Rating Raw]]/MAX(N:N)</f>
        <v>0</v>
      </c>
      <c r="N54" s="6">
        <f>IF(Table3[[#This Row],[Certified Used?]]&gt;0,MIN(Table3[[#This Row],[Warranty Years Left]],Table3[[#This Row],[Warranty Mileage Years Left]])/Table3[[#This Row],[Price, Adj]],0)</f>
        <v>0</v>
      </c>
      <c r="O54" s="4">
        <f ca="1">Table3[[#This Row],[Mile-Cost Rating Adj]]*2+Table3[[#This Row],[Age-Cost Rating Adj]]*2+Table3[[#This Row],[Warranty-Cost Rating Adj]]*2+Table3[[#This Row],[Cost Rating, Adj]]*6</f>
        <v>2.6420445647700346</v>
      </c>
      <c r="P54" s="16" t="b">
        <f>IFERROR(OR(IFERROR(FIND("Red",Table3[[#This Row],[Color]],1),FALSE),FIND(Table3[[#This Row],[Color]],"Blue",1)),FALSE)</f>
        <v>0</v>
      </c>
      <c r="Q54" t="s">
        <v>45</v>
      </c>
      <c r="R54" s="1">
        <f>IFERROR(IF(FIND("certified",Table3[[#This Row],[Car Type]])&gt;0,1,0),0)</f>
        <v>0</v>
      </c>
      <c r="S54" s="2" t="b">
        <v>0</v>
      </c>
      <c r="T54" s="1" t="str">
        <f>TRIM(SUBSTITUTE(REPLACE(Table3[[#This Row],[Car Type]],1,5,""),"(certified)","",1))</f>
        <v>Honda Fit Sport</v>
      </c>
      <c r="U54">
        <f>MAX(LEFT(Table3[[#This Row],[Car Type]],4),0)</f>
        <v>2009</v>
      </c>
      <c r="V54" t="s">
        <v>142</v>
      </c>
      <c r="W54">
        <f ca="1">VALUE(YEAR(NOW())-Table3[[#This Row],[Year]])</f>
        <v>5</v>
      </c>
      <c r="X54" s="1">
        <f ca="1">IFERROR(IF(FIND("Fit",Table3[[#This Row],[Model]])&gt;0,6-(YEAR(NOW())-Table3[[#This Row],[Year]]),20),7-(YEAR(NOW())-Table3[[#This Row],[Year]]))</f>
        <v>1</v>
      </c>
      <c r="Y5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55" spans="1:25" x14ac:dyDescent="0.25">
      <c r="A55" t="s">
        <v>188</v>
      </c>
      <c r="B55" t="s">
        <v>122</v>
      </c>
      <c r="C55">
        <v>10</v>
      </c>
      <c r="D55" t="s">
        <v>4</v>
      </c>
      <c r="E55" s="3">
        <f>IF(Table3[[#This Row],[Color I Want?]],Table3[[#This Row],[Price, Raw]],Table3[[#This Row],[Price, Raw]]+850)</f>
        <v>15845</v>
      </c>
      <c r="F55" s="3">
        <v>14995</v>
      </c>
      <c r="G55" s="5">
        <v>54655</v>
      </c>
      <c r="H55" s="13">
        <f>1-Table3[[#This Row],[Price, Adj]]/MAX(E:E)</f>
        <v>0.23986567522187574</v>
      </c>
      <c r="I55" s="13">
        <f>1-Table3[[#This Row],[Mile-Cost Rating Raw]]/MAX(J:J)</f>
        <v>0.41957127266100847</v>
      </c>
      <c r="J55" s="14">
        <f>IFERROR(Table3[[#This Row],[Price, Adj]]*Table3[[#This Row],[Mileage]],"")</f>
        <v>866008475</v>
      </c>
      <c r="K55" s="14">
        <f ca="1">1-Table3[[#This Row],[Age-Cost Rating Raw]]/MAX(L:L)</f>
        <v>0.15928264445269802</v>
      </c>
      <c r="L55" s="14">
        <f ca="1">Table3[[#This Row],[Price, Adj]]*(YEAR(NOW())-Table3[[#This Row],[Year]])</f>
        <v>110915</v>
      </c>
      <c r="M55" s="14">
        <f ca="1">Table3[[#This Row],[Warranty-Cost Rating Raw]]/MAX(N:N)</f>
        <v>0</v>
      </c>
      <c r="N55" s="12">
        <f>IF(Table3[[#This Row],[Certified Used?]]&gt;0,MIN(Table3[[#This Row],[Warranty Years Left]],Table3[[#This Row],[Warranty Mileage Years Left]])/Table3[[#This Row],[Price, Adj]],0)</f>
        <v>0</v>
      </c>
      <c r="O55" s="18">
        <f ca="1">Table3[[#This Row],[Mile-Cost Rating Adj]]*2+Table3[[#This Row],[Age-Cost Rating Adj]]*2+Table3[[#This Row],[Warranty-Cost Rating Adj]]*2+Table3[[#This Row],[Cost Rating, Adj]]*6</f>
        <v>2.5969018855586672</v>
      </c>
      <c r="P55" s="14" t="b">
        <f>IFERROR(OR(IFERROR(FIND("Red",Table3[[#This Row],[Color]],1),FALSE),FIND(Table3[[#This Row],[Color]],"Blue",1)),FALSE)</f>
        <v>0</v>
      </c>
      <c r="Q55" t="s">
        <v>22</v>
      </c>
      <c r="R55" s="1">
        <f>IFERROR(IF(FIND("certified",Table3[[#This Row],[Car Type]])&gt;0,1,0),0)</f>
        <v>0</v>
      </c>
      <c r="S55" s="2" t="b">
        <v>1</v>
      </c>
      <c r="T55" s="1" t="str">
        <f>TRIM(SUBSTITUTE(REPLACE(Table3[[#This Row],[Car Type]],1,5,""),"(certified)","",1))</f>
        <v>Toyota Prius</v>
      </c>
      <c r="U55">
        <f>MAX(LEFT(Table3[[#This Row],[Car Type]],4),0)</f>
        <v>2007</v>
      </c>
      <c r="V55" t="s">
        <v>187</v>
      </c>
      <c r="W55">
        <f ca="1">VALUE(YEAR(NOW())-Table3[[#This Row],[Year]])</f>
        <v>7</v>
      </c>
      <c r="X55" s="1">
        <f ca="1">IFERROR(IF(FIND("Fit",Table3[[#This Row],[Model]])&gt;0,6-(YEAR(NOW())-Table3[[#This Row],[Year]]),20),7-(YEAR(NOW())-Table3[[#This Row],[Year]]))</f>
        <v>0</v>
      </c>
      <c r="Y55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56" spans="1:25" x14ac:dyDescent="0.25">
      <c r="A56" t="s">
        <v>270</v>
      </c>
      <c r="B56" t="s">
        <v>144</v>
      </c>
      <c r="C56">
        <v>34</v>
      </c>
      <c r="D56" t="s">
        <v>16</v>
      </c>
      <c r="E56" s="3">
        <f>IF(Table3[[#This Row],[Color I Want?]],Table3[[#This Row],[Price, Raw]],Table3[[#This Row],[Price, Raw]]+850)</f>
        <v>15995</v>
      </c>
      <c r="F56" s="3">
        <v>15995</v>
      </c>
      <c r="G56" s="5">
        <v>63013</v>
      </c>
      <c r="H56" s="13">
        <f>1-Table3[[#This Row],[Price, Adj]]/MAX(E:E)</f>
        <v>0.23266970496521944</v>
      </c>
      <c r="I56" s="13">
        <f>1-Table3[[#This Row],[Mile-Cost Rating Raw]]/MAX(J:J)</f>
        <v>0.32447541745360986</v>
      </c>
      <c r="J56" s="13">
        <f>IFERROR(Table3[[#This Row],[Price, Adj]]*Table3[[#This Row],[Mileage]],"")</f>
        <v>1007892935</v>
      </c>
      <c r="K56" s="13">
        <f ca="1">1-Table3[[#This Row],[Age-Cost Rating Raw]]/MAX(L:L)</f>
        <v>0.2725632726693904</v>
      </c>
      <c r="L56" s="13">
        <f ca="1">Table3[[#This Row],[Price, Adj]]*(YEAR(NOW())-Table3[[#This Row],[Year]])</f>
        <v>95970</v>
      </c>
      <c r="M56" s="13">
        <f ca="1">Table3[[#This Row],[Warranty-Cost Rating Raw]]/MAX(N:N)</f>
        <v>0</v>
      </c>
      <c r="N56" s="9">
        <f>IF(Table3[[#This Row],[Certified Used?]]&gt;0,MIN(Table3[[#This Row],[Warranty Years Left]],Table3[[#This Row],[Warranty Mileage Years Left]])/Table3[[#This Row],[Price, Adj]],0)</f>
        <v>0</v>
      </c>
      <c r="O56" s="4">
        <f ca="1">Table3[[#This Row],[Mile-Cost Rating Adj]]*2+Table3[[#This Row],[Age-Cost Rating Adj]]*2+Table3[[#This Row],[Warranty-Cost Rating Adj]]*2+Table3[[#This Row],[Cost Rating, Adj]]*6</f>
        <v>2.5900956100373174</v>
      </c>
      <c r="P56" s="13" t="b">
        <f>IFERROR(OR(IFERROR(FIND("Red",Table3[[#This Row],[Color]],1),FALSE),FIND(Table3[[#This Row],[Color]],"Blue",1)),FALSE)</f>
        <v>1</v>
      </c>
      <c r="Q56" t="s">
        <v>13</v>
      </c>
      <c r="R56" s="1">
        <f>IFERROR(IF(FIND("certified",Table3[[#This Row],[Car Type]])&gt;0,1,0),0)</f>
        <v>0</v>
      </c>
      <c r="S56" s="17" t="b">
        <v>1</v>
      </c>
      <c r="T56" s="1" t="str">
        <f>TRIM(SUBSTITUTE(REPLACE(Table3[[#This Row],[Car Type]],1,5,""),"(certified)","",1))</f>
        <v>Toyota Prius</v>
      </c>
      <c r="U56" s="1">
        <f>MAX(LEFT(Table3[[#This Row],[Car Type]],4),0)</f>
        <v>2008</v>
      </c>
      <c r="V56" s="8" t="s">
        <v>271</v>
      </c>
      <c r="W56" s="8">
        <f ca="1">VALUE(YEAR(NOW())-Table3[[#This Row],[Year]])</f>
        <v>6</v>
      </c>
      <c r="X56" s="1">
        <f ca="1">IFERROR(IF(FIND("Fit",Table3[[#This Row],[Model]])&gt;0,6-(YEAR(NOW())-Table3[[#This Row],[Year]]),20),7-(YEAR(NOW())-Table3[[#This Row],[Year]]))</f>
        <v>1</v>
      </c>
      <c r="Y5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57" spans="1:25" x14ac:dyDescent="0.25">
      <c r="A57" t="s">
        <v>189</v>
      </c>
      <c r="B57" t="s">
        <v>42</v>
      </c>
      <c r="C57">
        <v>36</v>
      </c>
      <c r="D57" t="s">
        <v>16</v>
      </c>
      <c r="E57" s="3">
        <f>IF(Table3[[#This Row],[Color I Want?]],Table3[[#This Row],[Price, Raw]],Table3[[#This Row],[Price, Raw]]+850)</f>
        <v>16349</v>
      </c>
      <c r="F57" s="3">
        <v>15499</v>
      </c>
      <c r="G57" s="5">
        <v>56000</v>
      </c>
      <c r="H57" s="13">
        <f>1-Table3[[#This Row],[Price, Adj]]/MAX(E:E)</f>
        <v>0.21568721515951073</v>
      </c>
      <c r="I57" s="13">
        <f>1-Table3[[#This Row],[Mile-Cost Rating Raw]]/MAX(J:J)</f>
        <v>0.38637085654057868</v>
      </c>
      <c r="J57" s="14">
        <f>IFERROR(Table3[[#This Row],[Price, Adj]]*Table3[[#This Row],[Mileage]],"")</f>
        <v>915544000</v>
      </c>
      <c r="K57" s="14">
        <f ca="1">1-Table3[[#This Row],[Age-Cost Rating Raw]]/MAX(L:L)</f>
        <v>0.25646370396197959</v>
      </c>
      <c r="L57" s="14">
        <f ca="1">Table3[[#This Row],[Price, Adj]]*(YEAR(NOW())-Table3[[#This Row],[Year]])</f>
        <v>98094</v>
      </c>
      <c r="M57" s="14">
        <f ca="1">Table3[[#This Row],[Warranty-Cost Rating Raw]]/MAX(N:N)</f>
        <v>0</v>
      </c>
      <c r="N57" s="12">
        <f>IF(Table3[[#This Row],[Certified Used?]]&gt;0,MIN(Table3[[#This Row],[Warranty Years Left]],Table3[[#This Row],[Warranty Mileage Years Left]])/Table3[[#This Row],[Price, Adj]],0)</f>
        <v>0</v>
      </c>
      <c r="O57" s="18">
        <f ca="1">Table3[[#This Row],[Mile-Cost Rating Adj]]*2+Table3[[#This Row],[Age-Cost Rating Adj]]*2+Table3[[#This Row],[Warranty-Cost Rating Adj]]*2+Table3[[#This Row],[Cost Rating, Adj]]*6</f>
        <v>2.5797924119621811</v>
      </c>
      <c r="P57" s="14" t="b">
        <f>IFERROR(OR(IFERROR(FIND("Red",Table3[[#This Row],[Color]],1),FALSE),FIND(Table3[[#This Row],[Color]],"Blue",1)),FALSE)</f>
        <v>0</v>
      </c>
      <c r="Q57" t="s">
        <v>8</v>
      </c>
      <c r="R57" s="1">
        <f>IFERROR(IF(FIND("certified",Table3[[#This Row],[Car Type]])&gt;0,1,0),0)</f>
        <v>0</v>
      </c>
      <c r="S57" s="2" t="b">
        <v>0</v>
      </c>
      <c r="T57" s="1" t="str">
        <f>TRIM(SUBSTITUTE(REPLACE(Table3[[#This Row],[Car Type]],1,5,""),"(certified)","",1))</f>
        <v>Toyota Prius</v>
      </c>
      <c r="U57">
        <f>MAX(LEFT(Table3[[#This Row],[Car Type]],4),0)</f>
        <v>2008</v>
      </c>
      <c r="V57" t="s">
        <v>190</v>
      </c>
      <c r="W57">
        <f ca="1">VALUE(YEAR(NOW())-Table3[[#This Row],[Year]])</f>
        <v>6</v>
      </c>
      <c r="X57" s="1">
        <f ca="1">IFERROR(IF(FIND("Fit",Table3[[#This Row],[Model]])&gt;0,6-(YEAR(NOW())-Table3[[#This Row],[Year]]),20),7-(YEAR(NOW())-Table3[[#This Row],[Year]]))</f>
        <v>1</v>
      </c>
      <c r="Y5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58" spans="1:25" x14ac:dyDescent="0.25">
      <c r="A58" t="s">
        <v>180</v>
      </c>
      <c r="B58" t="s">
        <v>179</v>
      </c>
      <c r="C58">
        <v>60</v>
      </c>
      <c r="D58" t="s">
        <v>4</v>
      </c>
      <c r="E58" s="3">
        <f>IF(Table3[[#This Row],[Color I Want?]],Table3[[#This Row],[Price, Raw]],Table3[[#This Row],[Price, Raw]]+850)</f>
        <v>16162</v>
      </c>
      <c r="F58" s="3">
        <v>15312</v>
      </c>
      <c r="G58" s="5">
        <v>49277</v>
      </c>
      <c r="H58" s="13">
        <f>1-Table3[[#This Row],[Price, Adj]]/MAX(E:E)</f>
        <v>0.22465819141280885</v>
      </c>
      <c r="I58" s="13">
        <f>1-Table3[[#This Row],[Mile-Cost Rating Raw]]/MAX(J:J)</f>
        <v>0.46621530262776778</v>
      </c>
      <c r="J58" s="14">
        <f>IFERROR(Table3[[#This Row],[Price, Adj]]*Table3[[#This Row],[Mileage]],"")</f>
        <v>796414874</v>
      </c>
      <c r="K58" s="14">
        <f ca="1">1-Table3[[#This Row],[Age-Cost Rating Raw]]/MAX(L:L)</f>
        <v>0.14246299145752639</v>
      </c>
      <c r="L58" s="14">
        <f ca="1">Table3[[#This Row],[Price, Adj]]*(YEAR(NOW())-Table3[[#This Row],[Year]])</f>
        <v>113134</v>
      </c>
      <c r="M58" s="14">
        <f ca="1">Table3[[#This Row],[Warranty-Cost Rating Raw]]/MAX(N:N)</f>
        <v>0</v>
      </c>
      <c r="N58" s="12">
        <f>IF(Table3[[#This Row],[Certified Used?]]&gt;0,MIN(Table3[[#This Row],[Warranty Years Left]],Table3[[#This Row],[Warranty Mileage Years Left]])/Table3[[#This Row],[Price, Adj]],0)</f>
        <v>0</v>
      </c>
      <c r="O58" s="18">
        <f ca="1">Table3[[#This Row],[Mile-Cost Rating Adj]]*2+Table3[[#This Row],[Age-Cost Rating Adj]]*2+Table3[[#This Row],[Warranty-Cost Rating Adj]]*2+Table3[[#This Row],[Cost Rating, Adj]]*6</f>
        <v>2.5653057366474412</v>
      </c>
      <c r="P58" s="14" t="b">
        <f>IFERROR(OR(IFERROR(FIND("Red",Table3[[#This Row],[Color]],1),FALSE),FIND(Table3[[#This Row],[Color]],"Blue",1)),FALSE)</f>
        <v>0</v>
      </c>
      <c r="Q58" t="s">
        <v>145</v>
      </c>
      <c r="R58" s="1">
        <f>IFERROR(IF(FIND("certified",Table3[[#This Row],[Car Type]])&gt;0,1,0),0)</f>
        <v>0</v>
      </c>
      <c r="S58" s="2" t="b">
        <v>1</v>
      </c>
      <c r="T58" s="1" t="str">
        <f>TRIM(SUBSTITUTE(REPLACE(Table3[[#This Row],[Car Type]],1,5,""),"(certified)","",1))</f>
        <v>Toyota Prius</v>
      </c>
      <c r="U58">
        <f>MAX(LEFT(Table3[[#This Row],[Car Type]],4),0)</f>
        <v>2007</v>
      </c>
      <c r="V58" t="s">
        <v>181</v>
      </c>
      <c r="W58">
        <f ca="1">VALUE(YEAR(NOW())-Table3[[#This Row],[Year]])</f>
        <v>7</v>
      </c>
      <c r="X58" s="1">
        <f ca="1">IFERROR(IF(FIND("Fit",Table3[[#This Row],[Model]])&gt;0,6-(YEAR(NOW())-Table3[[#This Row],[Year]]),20),7-(YEAR(NOW())-Table3[[#This Row],[Year]]))</f>
        <v>0</v>
      </c>
      <c r="Y5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59" spans="1:25" x14ac:dyDescent="0.25">
      <c r="A59" t="s">
        <v>166</v>
      </c>
      <c r="B59" t="s">
        <v>75</v>
      </c>
      <c r="C59">
        <v>219</v>
      </c>
      <c r="D59" t="s">
        <v>4</v>
      </c>
      <c r="E59" s="3">
        <f>IF(Table3[[#This Row],[Color I Want?]],Table3[[#This Row],[Price, Raw]],Table3[[#This Row],[Price, Raw]]+850)</f>
        <v>15845</v>
      </c>
      <c r="F59" s="3">
        <v>14995</v>
      </c>
      <c r="G59" s="5">
        <v>56900</v>
      </c>
      <c r="H59" s="13">
        <f>1-Table3[[#This Row],[Price, Adj]]/MAX(E:E)</f>
        <v>0.23986567522187574</v>
      </c>
      <c r="I59" s="13">
        <f>1-Table3[[#This Row],[Mile-Cost Rating Raw]]/MAX(J:J)</f>
        <v>0.39572967549924765</v>
      </c>
      <c r="J59" s="14">
        <f>IFERROR(Table3[[#This Row],[Price, Adj]]*Table3[[#This Row],[Mileage]],"")</f>
        <v>901580500</v>
      </c>
      <c r="K59" s="14">
        <f ca="1">1-Table3[[#This Row],[Age-Cost Rating Raw]]/MAX(L:L)</f>
        <v>0.15928264445269802</v>
      </c>
      <c r="L59" s="14">
        <f ca="1">Table3[[#This Row],[Price, Adj]]*(YEAR(NOW())-Table3[[#This Row],[Year]])</f>
        <v>110915</v>
      </c>
      <c r="M59" s="14">
        <f ca="1">Table3[[#This Row],[Warranty-Cost Rating Raw]]/MAX(N:N)</f>
        <v>0</v>
      </c>
      <c r="N59" s="12">
        <f>IF(Table3[[#This Row],[Certified Used?]]&gt;0,MIN(Table3[[#This Row],[Warranty Years Left]],Table3[[#This Row],[Warranty Mileage Years Left]])/Table3[[#This Row],[Price, Adj]],0)</f>
        <v>0</v>
      </c>
      <c r="O59" s="18">
        <f ca="1">Table3[[#This Row],[Mile-Cost Rating Adj]]*2+Table3[[#This Row],[Age-Cost Rating Adj]]*2+Table3[[#This Row],[Warranty-Cost Rating Adj]]*2+Table3[[#This Row],[Cost Rating, Adj]]*6</f>
        <v>2.5492186912351458</v>
      </c>
      <c r="P59" s="14" t="b">
        <f>IFERROR(OR(IFERROR(FIND("Red",Table3[[#This Row],[Color]],1),FALSE),FIND(Table3[[#This Row],[Color]],"Blue",1)),FALSE)</f>
        <v>0</v>
      </c>
      <c r="Q59" t="s">
        <v>6</v>
      </c>
      <c r="R59" s="1">
        <f>IFERROR(IF(FIND("certified",Table3[[#This Row],[Car Type]])&gt;0,1,0),0)</f>
        <v>0</v>
      </c>
      <c r="S59" s="2" t="b">
        <v>0</v>
      </c>
      <c r="T59" s="1" t="str">
        <f>TRIM(SUBSTITUTE(REPLACE(Table3[[#This Row],[Car Type]],1,5,""),"(certified)","",1))</f>
        <v>Toyota Prius</v>
      </c>
      <c r="U59">
        <f>MAX(LEFT(Table3[[#This Row],[Car Type]],4),0)</f>
        <v>2007</v>
      </c>
      <c r="V59" t="s">
        <v>165</v>
      </c>
      <c r="W59">
        <f ca="1">VALUE(YEAR(NOW())-Table3[[#This Row],[Year]])</f>
        <v>7</v>
      </c>
      <c r="X59" s="1">
        <f ca="1">IFERROR(IF(FIND("Fit",Table3[[#This Row],[Model]])&gt;0,6-(YEAR(NOW())-Table3[[#This Row],[Year]]),20),7-(YEAR(NOW())-Table3[[#This Row],[Year]]))</f>
        <v>0</v>
      </c>
      <c r="Y5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60" spans="1:25" x14ac:dyDescent="0.25">
      <c r="A60" t="s">
        <v>44</v>
      </c>
      <c r="B60" t="s">
        <v>42</v>
      </c>
      <c r="C60">
        <v>36</v>
      </c>
      <c r="D60" t="s">
        <v>41</v>
      </c>
      <c r="E60" s="3">
        <f>IF(Table3[[#This Row],[Color I Want?]],Table3[[#This Row],[Price, Raw]],Table3[[#This Row],[Price, Raw]]+850)</f>
        <v>17849</v>
      </c>
      <c r="F60" s="3">
        <v>16999</v>
      </c>
      <c r="G60" s="5">
        <v>40361</v>
      </c>
      <c r="H60" s="13">
        <f>1-Table3[[#This Row],[Price, Adj]]/MAX(E:E)</f>
        <v>0.14372751259294791</v>
      </c>
      <c r="I60" s="13">
        <f>1-Table3[[#This Row],[Mile-Cost Rating Raw]]/MAX(J:J)</f>
        <v>0.5171607526233053</v>
      </c>
      <c r="J60" s="13">
        <f>IFERROR(Table3[[#This Row],[Price, Adj]]*Table3[[#This Row],[Mileage]],"")</f>
        <v>720403489</v>
      </c>
      <c r="K60" s="13">
        <f ca="1">1-Table3[[#This Row],[Age-Cost Rating Raw]]/MAX(L:L)</f>
        <v>0.32353766040824994</v>
      </c>
      <c r="L60" s="13">
        <f ca="1">Table3[[#This Row],[Price, Adj]]*(YEAR(NOW())-Table3[[#This Row],[Year]])</f>
        <v>89245</v>
      </c>
      <c r="M60" s="13">
        <f ca="1">Table3[[#This Row],[Warranty-Cost Rating Raw]]/MAX(N:N)</f>
        <v>0</v>
      </c>
      <c r="N60" s="11">
        <f>IF(Table3[[#This Row],[Certified Used?]]&gt;0,MIN(Table3[[#This Row],[Warranty Years Left]],Table3[[#This Row],[Warranty Mileage Years Left]])/Table3[[#This Row],[Price, Adj]],0)</f>
        <v>0</v>
      </c>
      <c r="O60" s="4">
        <f ca="1">Table3[[#This Row],[Mile-Cost Rating Adj]]*2+Table3[[#This Row],[Age-Cost Rating Adj]]*2+Table3[[#This Row],[Warranty-Cost Rating Adj]]*2+Table3[[#This Row],[Cost Rating, Adj]]*6</f>
        <v>2.543761901620798</v>
      </c>
      <c r="P60" s="13" t="b">
        <f>IFERROR(OR(IFERROR(FIND("Red",Table3[[#This Row],[Color]],1),FALSE),FIND(Table3[[#This Row],[Color]],"Blue",1)),FALSE)</f>
        <v>0</v>
      </c>
      <c r="Q60" t="s">
        <v>45</v>
      </c>
      <c r="R60">
        <f>IFERROR(IF(FIND("certified",Table3[[#This Row],[Car Type]])&gt;0,1,0),0)</f>
        <v>0</v>
      </c>
      <c r="S60" s="2" t="b">
        <v>0</v>
      </c>
      <c r="T60" t="str">
        <f>TRIM(SUBSTITUTE(REPLACE(Table3[[#This Row],[Car Type]],1,5,""),"(certified)","",1))</f>
        <v>Toyota Prius</v>
      </c>
      <c r="U60">
        <f>MAX(LEFT(Table3[[#This Row],[Car Type]],4),0)</f>
        <v>2009</v>
      </c>
      <c r="V60" t="s">
        <v>43</v>
      </c>
      <c r="W60">
        <f ca="1">VALUE(YEAR(NOW())-Table3[[#This Row],[Year]])</f>
        <v>5</v>
      </c>
      <c r="X60">
        <f ca="1">IFERROR(IF(FIND("Fit",Table3[[#This Row],[Model]])&gt;0,6-(YEAR(NOW())-Table3[[#This Row],[Year]]),20),7-(YEAR(NOW())-Table3[[#This Row],[Year]]))</f>
        <v>2</v>
      </c>
      <c r="Y60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1" spans="1:25" x14ac:dyDescent="0.25">
      <c r="A61" t="s">
        <v>47</v>
      </c>
      <c r="B61" t="s">
        <v>42</v>
      </c>
      <c r="C61">
        <v>36</v>
      </c>
      <c r="D61" t="s">
        <v>41</v>
      </c>
      <c r="E61" s="3">
        <f>IF(Table3[[#This Row],[Color I Want?]],Table3[[#This Row],[Price, Raw]],Table3[[#This Row],[Price, Raw]]+850)</f>
        <v>17849</v>
      </c>
      <c r="F61" s="3">
        <v>16999</v>
      </c>
      <c r="G61" s="5">
        <v>41497</v>
      </c>
      <c r="H61" s="13">
        <f>1-Table3[[#This Row],[Price, Adj]]/MAX(E:E)</f>
        <v>0.14372751259294791</v>
      </c>
      <c r="I61" s="13">
        <f>1-Table3[[#This Row],[Mile-Cost Rating Raw]]/MAX(J:J)</f>
        <v>0.50357076761252939</v>
      </c>
      <c r="J61" s="13">
        <f>IFERROR(Table3[[#This Row],[Price, Adj]]*Table3[[#This Row],[Mileage]],"")</f>
        <v>740679953</v>
      </c>
      <c r="K61" s="13">
        <f ca="1">1-Table3[[#This Row],[Age-Cost Rating Raw]]/MAX(L:L)</f>
        <v>0.32353766040824994</v>
      </c>
      <c r="L61" s="13">
        <f ca="1">Table3[[#This Row],[Price, Adj]]*(YEAR(NOW())-Table3[[#This Row],[Year]])</f>
        <v>89245</v>
      </c>
      <c r="M61" s="13">
        <f ca="1">Table3[[#This Row],[Warranty-Cost Rating Raw]]/MAX(N:N)</f>
        <v>0</v>
      </c>
      <c r="N61" s="11">
        <f>IF(Table3[[#This Row],[Certified Used?]]&gt;0,MIN(Table3[[#This Row],[Warranty Years Left]],Table3[[#This Row],[Warranty Mileage Years Left]])/Table3[[#This Row],[Price, Adj]],0)</f>
        <v>0</v>
      </c>
      <c r="O61" s="4">
        <f ca="1">Table3[[#This Row],[Mile-Cost Rating Adj]]*2+Table3[[#This Row],[Age-Cost Rating Adj]]*2+Table3[[#This Row],[Warranty-Cost Rating Adj]]*2+Table3[[#This Row],[Cost Rating, Adj]]*6</f>
        <v>2.5165819315992461</v>
      </c>
      <c r="P61" s="13" t="b">
        <f>IFERROR(OR(IFERROR(FIND("Red",Table3[[#This Row],[Color]],1),FALSE),FIND(Table3[[#This Row],[Color]],"Blue",1)),FALSE)</f>
        <v>0</v>
      </c>
      <c r="Q61" t="s">
        <v>45</v>
      </c>
      <c r="R61">
        <f>IFERROR(IF(FIND("certified",Table3[[#This Row],[Car Type]])&gt;0,1,0),0)</f>
        <v>0</v>
      </c>
      <c r="S61" s="2" t="b">
        <v>0</v>
      </c>
      <c r="T61" t="str">
        <f>TRIM(SUBSTITUTE(REPLACE(Table3[[#This Row],[Car Type]],1,5,""),"(certified)","",1))</f>
        <v>Toyota Prius</v>
      </c>
      <c r="U61">
        <f>MAX(LEFT(Table3[[#This Row],[Car Type]],4),0)</f>
        <v>2009</v>
      </c>
      <c r="V61" t="s">
        <v>46</v>
      </c>
      <c r="W61">
        <f ca="1">VALUE(YEAR(NOW())-Table3[[#This Row],[Year]])</f>
        <v>5</v>
      </c>
      <c r="X61">
        <f ca="1">IFERROR(IF(FIND("Fit",Table3[[#This Row],[Model]])&gt;0,6-(YEAR(NOW())-Table3[[#This Row],[Year]]),20),7-(YEAR(NOW())-Table3[[#This Row],[Year]]))</f>
        <v>2</v>
      </c>
      <c r="Y6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2" spans="1:25" x14ac:dyDescent="0.25">
      <c r="A62" t="s">
        <v>198</v>
      </c>
      <c r="B62" t="s">
        <v>196</v>
      </c>
      <c r="C62">
        <v>100</v>
      </c>
      <c r="D62" t="s">
        <v>4</v>
      </c>
      <c r="E62" s="3">
        <f>IF(Table3[[#This Row],[Color I Want?]],Table3[[#This Row],[Price, Raw]],Table3[[#This Row],[Price, Raw]]+850)</f>
        <v>15845</v>
      </c>
      <c r="F62" s="3">
        <v>14995</v>
      </c>
      <c r="G62" s="5">
        <v>59622</v>
      </c>
      <c r="H62" s="13">
        <f>1-Table3[[#This Row],[Price, Adj]]/MAX(E:E)</f>
        <v>0.23986567522187574</v>
      </c>
      <c r="I62" s="13">
        <f>1-Table3[[#This Row],[Mile-Cost Rating Raw]]/MAX(J:J)</f>
        <v>0.3668224026821818</v>
      </c>
      <c r="J62" s="14">
        <f>IFERROR(Table3[[#This Row],[Price, Adj]]*Table3[[#This Row],[Mileage]],"")</f>
        <v>944710590</v>
      </c>
      <c r="K62" s="14">
        <f ca="1">1-Table3[[#This Row],[Age-Cost Rating Raw]]/MAX(L:L)</f>
        <v>0.15928264445269802</v>
      </c>
      <c r="L62" s="14">
        <f ca="1">Table3[[#This Row],[Price, Adj]]*(YEAR(NOW())-Table3[[#This Row],[Year]])</f>
        <v>110915</v>
      </c>
      <c r="M62" s="14">
        <f ca="1">Table3[[#This Row],[Warranty-Cost Rating Raw]]/MAX(N:N)</f>
        <v>0</v>
      </c>
      <c r="N62" s="12">
        <f>IF(Table3[[#This Row],[Certified Used?]]&gt;0,MIN(Table3[[#This Row],[Warranty Years Left]],Table3[[#This Row],[Warranty Mileage Years Left]])/Table3[[#This Row],[Price, Adj]],0)</f>
        <v>0</v>
      </c>
      <c r="O62" s="18">
        <f ca="1">Table3[[#This Row],[Mile-Cost Rating Adj]]*2+Table3[[#This Row],[Age-Cost Rating Adj]]*2+Table3[[#This Row],[Warranty-Cost Rating Adj]]*2+Table3[[#This Row],[Cost Rating, Adj]]*6</f>
        <v>2.4914041456010141</v>
      </c>
      <c r="P62" s="14" t="b">
        <f>IFERROR(OR(IFERROR(FIND("Red",Table3[[#This Row],[Color]],1),FALSE),FIND(Table3[[#This Row],[Color]],"Blue",1)),FALSE)</f>
        <v>0</v>
      </c>
      <c r="Q62" t="s">
        <v>8</v>
      </c>
      <c r="R62" s="1">
        <f>IFERROR(IF(FIND("certified",Table3[[#This Row],[Car Type]])&gt;0,1,0),0)</f>
        <v>0</v>
      </c>
      <c r="S62" s="2" t="b">
        <v>0</v>
      </c>
      <c r="T62" s="1" t="str">
        <f>TRIM(SUBSTITUTE(REPLACE(Table3[[#This Row],[Car Type]],1,5,""),"(certified)","",1))</f>
        <v>Toyota Prius</v>
      </c>
      <c r="U62">
        <f>MAX(LEFT(Table3[[#This Row],[Car Type]],4),0)</f>
        <v>2007</v>
      </c>
      <c r="V62" t="s">
        <v>197</v>
      </c>
      <c r="W62">
        <f ca="1">VALUE(YEAR(NOW())-Table3[[#This Row],[Year]])</f>
        <v>7</v>
      </c>
      <c r="X62" s="1">
        <f ca="1">IFERROR(IF(FIND("Fit",Table3[[#This Row],[Model]])&gt;0,6-(YEAR(NOW())-Table3[[#This Row],[Year]]),20),7-(YEAR(NOW())-Table3[[#This Row],[Year]]))</f>
        <v>0</v>
      </c>
      <c r="Y6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63" spans="1:25" x14ac:dyDescent="0.25">
      <c r="A63" t="s">
        <v>36</v>
      </c>
      <c r="B63" t="s">
        <v>33</v>
      </c>
      <c r="C63">
        <v>80</v>
      </c>
      <c r="D63" t="s">
        <v>16</v>
      </c>
      <c r="E63" s="3">
        <f>IF(Table3[[#This Row],[Color I Want?]],Table3[[#This Row],[Price, Raw]],Table3[[#This Row],[Price, Raw]]+850)</f>
        <v>17840</v>
      </c>
      <c r="F63" s="3">
        <v>16990</v>
      </c>
      <c r="G63" s="5">
        <v>34173</v>
      </c>
      <c r="H63" s="13">
        <f>1-Table3[[#This Row],[Price, Adj]]/MAX(E:E)</f>
        <v>0.14415927080834734</v>
      </c>
      <c r="I63" s="13">
        <f>1-Table3[[#This Row],[Mile-Cost Rating Raw]]/MAX(J:J)</f>
        <v>0.59139402458561441</v>
      </c>
      <c r="J63" s="13">
        <f>IFERROR(Table3[[#This Row],[Price, Adj]]*Table3[[#This Row],[Mileage]],"")</f>
        <v>609646320</v>
      </c>
      <c r="K63" s="13">
        <f ca="1">1-Table3[[#This Row],[Age-Cost Rating Raw]]/MAX(L:L)</f>
        <v>0.18865450355873237</v>
      </c>
      <c r="L63" s="13">
        <f ca="1">Table3[[#This Row],[Price, Adj]]*(YEAR(NOW())-Table3[[#This Row],[Year]])</f>
        <v>107040</v>
      </c>
      <c r="M63" s="13">
        <f ca="1">Table3[[#This Row],[Warranty-Cost Rating Raw]]/MAX(N:N)</f>
        <v>0</v>
      </c>
      <c r="N63" s="11">
        <f>IF(Table3[[#This Row],[Certified Used?]]&gt;0,MIN(Table3[[#This Row],[Warranty Years Left]],Table3[[#This Row],[Warranty Mileage Years Left]])/Table3[[#This Row],[Price, Adj]],0)</f>
        <v>0</v>
      </c>
      <c r="O63" s="4">
        <f ca="1">Table3[[#This Row],[Mile-Cost Rating Adj]]*2+Table3[[#This Row],[Age-Cost Rating Adj]]*2+Table3[[#This Row],[Warranty-Cost Rating Adj]]*2+Table3[[#This Row],[Cost Rating, Adj]]*6</f>
        <v>2.4250526811387774</v>
      </c>
      <c r="P63" s="13" t="b">
        <f>IFERROR(OR(IFERROR(FIND("Red",Table3[[#This Row],[Color]],1),FALSE),FIND(Table3[[#This Row],[Color]],"Blue",1)),FALSE)</f>
        <v>0</v>
      </c>
      <c r="Q63" t="s">
        <v>22</v>
      </c>
      <c r="R63">
        <f>IFERROR(IF(FIND("certified",Table3[[#This Row],[Car Type]])&gt;0,1,0),0)</f>
        <v>0</v>
      </c>
      <c r="S63" s="2" t="b">
        <v>0</v>
      </c>
      <c r="T63" t="str">
        <f>TRIM(SUBSTITUTE(REPLACE(Table3[[#This Row],[Car Type]],1,5,""),"(certified)","",1))</f>
        <v>Toyota Prius</v>
      </c>
      <c r="U63">
        <f>MAX(LEFT(Table3[[#This Row],[Car Type]],4),0)</f>
        <v>2008</v>
      </c>
      <c r="V63" t="s">
        <v>35</v>
      </c>
      <c r="W63">
        <f ca="1">VALUE(YEAR(NOW())-Table3[[#This Row],[Year]])</f>
        <v>6</v>
      </c>
      <c r="X63">
        <f ca="1">IFERROR(IF(FIND("Fit",Table3[[#This Row],[Model]])&gt;0,6-(YEAR(NOW())-Table3[[#This Row],[Year]]),20),7-(YEAR(NOW())-Table3[[#This Row],[Year]]))</f>
        <v>1</v>
      </c>
      <c r="Y63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4" spans="1:25" x14ac:dyDescent="0.25">
      <c r="A64" t="s">
        <v>282</v>
      </c>
      <c r="B64" t="s">
        <v>59</v>
      </c>
      <c r="C64">
        <v>10</v>
      </c>
      <c r="D64" t="s">
        <v>16</v>
      </c>
      <c r="E64" s="3">
        <f>IF(Table3[[#This Row],[Color I Want?]],Table3[[#This Row],[Price, Raw]],Table3[[#This Row],[Price, Raw]]+850)</f>
        <v>15838</v>
      </c>
      <c r="F64" s="3">
        <v>14988</v>
      </c>
      <c r="G64" s="5">
        <v>74440</v>
      </c>
      <c r="H64" s="13">
        <f>1-Table3[[#This Row],[Price, Adj]]/MAX(E:E)</f>
        <v>0.24020148716718637</v>
      </c>
      <c r="I64" s="13">
        <f>1-Table3[[#This Row],[Mile-Cost Rating Raw]]/MAX(J:J)</f>
        <v>0.20980648732472518</v>
      </c>
      <c r="J64" s="13">
        <f>IFERROR(Table3[[#This Row],[Price, Adj]]*Table3[[#This Row],[Mileage]],"")</f>
        <v>1178980720</v>
      </c>
      <c r="K64" s="13">
        <f ca="1">1-Table3[[#This Row],[Age-Cost Rating Raw]]/MAX(L:L)</f>
        <v>0.27970347687013475</v>
      </c>
      <c r="L64" s="13">
        <f ca="1">Table3[[#This Row],[Price, Adj]]*(YEAR(NOW())-Table3[[#This Row],[Year]])</f>
        <v>95028</v>
      </c>
      <c r="M64" s="13">
        <f ca="1">Table3[[#This Row],[Warranty-Cost Rating Raw]]/MAX(N:N)</f>
        <v>0</v>
      </c>
      <c r="N64" s="9">
        <f>IF(Table3[[#This Row],[Certified Used?]]&gt;0,MIN(Table3[[#This Row],[Warranty Years Left]],Table3[[#This Row],[Warranty Mileage Years Left]])/Table3[[#This Row],[Price, Adj]],0)</f>
        <v>0</v>
      </c>
      <c r="O64" s="4">
        <f ca="1">Table3[[#This Row],[Mile-Cost Rating Adj]]*2+Table3[[#This Row],[Age-Cost Rating Adj]]*2+Table3[[#This Row],[Warranty-Cost Rating Adj]]*2+Table3[[#This Row],[Cost Rating, Adj]]*6</f>
        <v>2.4202288513928378</v>
      </c>
      <c r="P64" s="13" t="b">
        <f>IFERROR(OR(IFERROR(FIND("Red",Table3[[#This Row],[Color]],1),FALSE),FIND(Table3[[#This Row],[Color]],"Blue",1)),FALSE)</f>
        <v>0</v>
      </c>
      <c r="Q64" t="s">
        <v>145</v>
      </c>
      <c r="R64" s="1">
        <f>IFERROR(IF(FIND("certified",Table3[[#This Row],[Car Type]])&gt;0,1,0),0)</f>
        <v>0</v>
      </c>
      <c r="S64" s="17" t="b">
        <v>0</v>
      </c>
      <c r="T64" s="1" t="str">
        <f>TRIM(SUBSTITUTE(REPLACE(Table3[[#This Row],[Car Type]],1,5,""),"(certified)","",1))</f>
        <v>Toyota Prius</v>
      </c>
      <c r="U64" s="1">
        <f>MAX(LEFT(Table3[[#This Row],[Car Type]],4),0)</f>
        <v>2008</v>
      </c>
      <c r="V64" s="8" t="s">
        <v>283</v>
      </c>
      <c r="W64" s="8">
        <f ca="1">VALUE(YEAR(NOW())-Table3[[#This Row],[Year]])</f>
        <v>6</v>
      </c>
      <c r="X64" s="1">
        <f ca="1">IFERROR(IF(FIND("Fit",Table3[[#This Row],[Model]])&gt;0,6-(YEAR(NOW())-Table3[[#This Row],[Year]]),20),7-(YEAR(NOW())-Table3[[#This Row],[Year]]))</f>
        <v>1</v>
      </c>
      <c r="Y6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65" spans="1:25" x14ac:dyDescent="0.25">
      <c r="A65" t="s">
        <v>241</v>
      </c>
      <c r="B65" t="s">
        <v>233</v>
      </c>
      <c r="C65">
        <v>30</v>
      </c>
      <c r="D65" t="s">
        <v>40</v>
      </c>
      <c r="E65" s="3">
        <f>IF(Table3[[#This Row],[Color I Want?]],Table3[[#This Row],[Price, Raw]],Table3[[#This Row],[Price, Raw]]+850)</f>
        <v>18674</v>
      </c>
      <c r="F65" s="3">
        <v>18674</v>
      </c>
      <c r="G65" s="5">
        <v>44592</v>
      </c>
      <c r="H65" s="13">
        <f>1-Table3[[#This Row],[Price, Adj]]/MAX(E:E)</f>
        <v>0.10414967618133841</v>
      </c>
      <c r="I65" s="14">
        <f>1-Table3[[#This Row],[Mile-Cost Rating Raw]]/MAX(J:J)</f>
        <v>0.4418883826574459</v>
      </c>
      <c r="J65" s="14">
        <f>IFERROR(Table3[[#This Row],[Price, Adj]]*Table3[[#This Row],[Mileage]],"")</f>
        <v>832711008</v>
      </c>
      <c r="K65" s="14">
        <f ca="1">1-Table3[[#This Row],[Age-Cost Rating Raw]]/MAX(L:L)</f>
        <v>0.15072501118025605</v>
      </c>
      <c r="L65" s="14">
        <f ca="1">Table3[[#This Row],[Price, Adj]]*(YEAR(NOW())-Table3[[#This Row],[Year]])</f>
        <v>112044</v>
      </c>
      <c r="M65" s="14">
        <f ca="1">Table3[[#This Row],[Warranty-Cost Rating Raw]]/MAX(N:N)</f>
        <v>0.30066759487344252</v>
      </c>
      <c r="N65" s="10">
        <f ca="1">IF(Table3[[#This Row],[Certified Used?]]&gt;0,MIN(Table3[[#This Row],[Warranty Years Left]],Table3[[#This Row],[Warranty Mileage Years Left]])/Table3[[#This Row],[Price, Adj]],0)</f>
        <v>5.3550390917853698E-5</v>
      </c>
      <c r="O65" s="18">
        <f ca="1">Table3[[#This Row],[Mile-Cost Rating Adj]]*2+Table3[[#This Row],[Age-Cost Rating Adj]]*2+Table3[[#This Row],[Warranty-Cost Rating Adj]]*2+Table3[[#This Row],[Cost Rating, Adj]]*6</f>
        <v>2.4114600345103194</v>
      </c>
      <c r="P65" s="14" t="b">
        <f>IFERROR(OR(IFERROR(FIND("Red",Table3[[#This Row],[Color]],1),FALSE),FIND(Table3[[#This Row],[Color]],"Blue",1)),FALSE)</f>
        <v>1</v>
      </c>
      <c r="Q65" t="s">
        <v>13</v>
      </c>
      <c r="R65" s="1">
        <f>IFERROR(IF(FIND("certified",Table3[[#This Row],[Car Type]])&gt;0,1,0),0)</f>
        <v>1</v>
      </c>
      <c r="S65" s="17" t="b">
        <v>1</v>
      </c>
      <c r="T65" s="1" t="str">
        <f>TRIM(SUBSTITUTE(REPLACE(Table3[[#This Row],[Car Type]],1,5,""),"(certified)","",1))</f>
        <v>Toyota Prius</v>
      </c>
      <c r="U65" s="1">
        <f>MAX(LEFT(Table3[[#This Row],[Car Type]],4),0)</f>
        <v>2008</v>
      </c>
      <c r="V65" s="8" t="s">
        <v>243</v>
      </c>
      <c r="W65" s="8">
        <f ca="1">VALUE(YEAR(NOW())-Table3[[#This Row],[Year]])</f>
        <v>6</v>
      </c>
      <c r="X65" s="1">
        <f ca="1">IFERROR(IF(FIND("Fit",Table3[[#This Row],[Model]])&gt;0,6-(YEAR(NOW())-Table3[[#This Row],[Year]]),20),7-(YEAR(NOW())-Table3[[#This Row],[Year]]))</f>
        <v>1</v>
      </c>
      <c r="Y65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6" spans="1:25" x14ac:dyDescent="0.25">
      <c r="A66" t="s">
        <v>158</v>
      </c>
      <c r="B66" t="s">
        <v>33</v>
      </c>
      <c r="C66">
        <v>80</v>
      </c>
      <c r="D66" t="s">
        <v>37</v>
      </c>
      <c r="E66" s="3">
        <f>IF(Table3[[#This Row],[Color I Want?]],Table3[[#This Row],[Price, Raw]],Table3[[#This Row],[Price, Raw]]+850)</f>
        <v>16551</v>
      </c>
      <c r="F66" s="3">
        <v>15701</v>
      </c>
      <c r="G66" s="5">
        <v>48635</v>
      </c>
      <c r="H66" s="13">
        <f>1-Table3[[#This Row],[Price, Adj]]/MAX(E:E)</f>
        <v>0.20599664188054689</v>
      </c>
      <c r="I66" s="13">
        <f>1-Table3[[#This Row],[Mile-Cost Rating Raw]]/MAX(J:J)</f>
        <v>0.46048948221663044</v>
      </c>
      <c r="J66" s="14">
        <f>IFERROR(Table3[[#This Row],[Price, Adj]]*Table3[[#This Row],[Mileage]],"")</f>
        <v>804957885</v>
      </c>
      <c r="K66" s="14">
        <f ca="1">1-Table3[[#This Row],[Age-Cost Rating Raw]]/MAX(L:L)</f>
        <v>0.12182310181991829</v>
      </c>
      <c r="L66" s="14">
        <f ca="1">Table3[[#This Row],[Price, Adj]]*(YEAR(NOW())-Table3[[#This Row],[Year]])</f>
        <v>115857</v>
      </c>
      <c r="M66" s="14">
        <f ca="1">Table3[[#This Row],[Warranty-Cost Rating Raw]]/MAX(N:N)</f>
        <v>0</v>
      </c>
      <c r="N66" s="10">
        <f ca="1">IF(Table3[[#This Row],[Certified Used?]]&gt;0,MIN(Table3[[#This Row],[Warranty Years Left]],Table3[[#This Row],[Warranty Mileage Years Left]])/Table3[[#This Row],[Price, Adj]],0)</f>
        <v>0</v>
      </c>
      <c r="O66" s="18">
        <f ca="1">Table3[[#This Row],[Mile-Cost Rating Adj]]*2+Table3[[#This Row],[Age-Cost Rating Adj]]*2+Table3[[#This Row],[Warranty-Cost Rating Adj]]*2+Table3[[#This Row],[Cost Rating, Adj]]*6</f>
        <v>2.4006050193563788</v>
      </c>
      <c r="P66" s="14" t="b">
        <f>IFERROR(OR(IFERROR(FIND("Red",Table3[[#This Row],[Color]],1),FALSE),FIND(Table3[[#This Row],[Color]],"Blue",1)),FALSE)</f>
        <v>0</v>
      </c>
      <c r="Q66" t="s">
        <v>10</v>
      </c>
      <c r="R66" s="1">
        <f>IFERROR(IF(FIND("certified",Table3[[#This Row],[Car Type]])&gt;0,1,0),0)</f>
        <v>1</v>
      </c>
      <c r="S66" s="2" t="b">
        <v>0</v>
      </c>
      <c r="T66" s="1" t="str">
        <f>TRIM(SUBSTITUTE(REPLACE(Table3[[#This Row],[Car Type]],1,5,""),"(certified)","",1))</f>
        <v>Toyota Prius</v>
      </c>
      <c r="U66">
        <f>MAX(LEFT(Table3[[#This Row],[Car Type]],4),0)</f>
        <v>2007</v>
      </c>
      <c r="V66" t="s">
        <v>157</v>
      </c>
      <c r="W66">
        <f ca="1">VALUE(YEAR(NOW())-Table3[[#This Row],[Year]])</f>
        <v>7</v>
      </c>
      <c r="X66" s="1">
        <f ca="1">IFERROR(IF(FIND("Fit",Table3[[#This Row],[Model]])&gt;0,6-(YEAR(NOW())-Table3[[#This Row],[Year]]),20),7-(YEAR(NOW())-Table3[[#This Row],[Year]]))</f>
        <v>0</v>
      </c>
      <c r="Y6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67" spans="1:25" x14ac:dyDescent="0.25">
      <c r="A67" t="s">
        <v>71</v>
      </c>
      <c r="B67" t="s">
        <v>65</v>
      </c>
      <c r="C67">
        <v>0</v>
      </c>
      <c r="D67" t="s">
        <v>40</v>
      </c>
      <c r="E67" s="3">
        <f>IF(Table3[[#This Row],[Color I Want?]],Table3[[#This Row],[Price, Raw]],Table3[[#This Row],[Price, Raw]]+850)</f>
        <v>18801</v>
      </c>
      <c r="F67" s="3">
        <v>17951</v>
      </c>
      <c r="G67" s="5">
        <v>43942</v>
      </c>
      <c r="H67" s="13">
        <f>1-Table3[[#This Row],[Price, Adj]]/MAX(E:E)</f>
        <v>9.8057088030702788E-2</v>
      </c>
      <c r="I67" s="13">
        <f>1-Table3[[#This Row],[Mile-Cost Rating Raw]]/MAX(J:J)</f>
        <v>0.44628342237683061</v>
      </c>
      <c r="J67" s="13">
        <f>IFERROR(Table3[[#This Row],[Price, Adj]]*Table3[[#This Row],[Mileage]],"")</f>
        <v>826153542</v>
      </c>
      <c r="K67" s="13">
        <f ca="1">1-Table3[[#This Row],[Age-Cost Rating Raw]]/MAX(L:L)</f>
        <v>0.14494917720895328</v>
      </c>
      <c r="L67" s="13">
        <f ca="1">Table3[[#This Row],[Price, Adj]]*(YEAR(NOW())-Table3[[#This Row],[Year]])</f>
        <v>112806</v>
      </c>
      <c r="M67" s="13">
        <f ca="1">Table3[[#This Row],[Warranty-Cost Rating Raw]]/MAX(N:N)</f>
        <v>0.29863659734411285</v>
      </c>
      <c r="N67" s="9">
        <f ca="1">IF(Table3[[#This Row],[Certified Used?]]&gt;0,MIN(Table3[[#This Row],[Warranty Years Left]],Table3[[#This Row],[Warranty Mileage Years Left]])/Table3[[#This Row],[Price, Adj]],0)</f>
        <v>5.3188660177650123E-5</v>
      </c>
      <c r="O67" s="4">
        <f ca="1">Table3[[#This Row],[Mile-Cost Rating Adj]]*2+Table3[[#This Row],[Age-Cost Rating Adj]]*2+Table3[[#This Row],[Warranty-Cost Rating Adj]]*2+Table3[[#This Row],[Cost Rating, Adj]]*6</f>
        <v>2.36808092204401</v>
      </c>
      <c r="P67" s="13" t="b">
        <f>IFERROR(OR(IFERROR(FIND("Red",Table3[[#This Row],[Color]],1),FALSE),FIND(Table3[[#This Row],[Color]],"Blue",1)),FALSE)</f>
        <v>0</v>
      </c>
      <c r="Q67" t="s">
        <v>145</v>
      </c>
      <c r="R67">
        <f>IFERROR(IF(FIND("certified",Table3[[#This Row],[Car Type]])&gt;0,1,0),0)</f>
        <v>1</v>
      </c>
      <c r="S67" s="2" t="b">
        <v>1</v>
      </c>
      <c r="T67" t="str">
        <f>TRIM(SUBSTITUTE(REPLACE(Table3[[#This Row],[Car Type]],1,5,""),"(certified)","",1))</f>
        <v>Toyota Prius</v>
      </c>
      <c r="U67">
        <f>MAX(LEFT(Table3[[#This Row],[Car Type]],4),0)</f>
        <v>2008</v>
      </c>
      <c r="V67" t="s">
        <v>70</v>
      </c>
      <c r="W67">
        <f ca="1">VALUE(YEAR(NOW())-Table3[[#This Row],[Year]])</f>
        <v>6</v>
      </c>
      <c r="X67">
        <f ca="1">IFERROR(IF(FIND("Fit",Table3[[#This Row],[Model]])&gt;0,6-(YEAR(NOW())-Table3[[#This Row],[Year]]),20),7-(YEAR(NOW())-Table3[[#This Row],[Year]]))</f>
        <v>1</v>
      </c>
      <c r="Y67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8" spans="1:25" x14ac:dyDescent="0.25">
      <c r="A68" t="s">
        <v>56</v>
      </c>
      <c r="B68" t="s">
        <v>57</v>
      </c>
      <c r="C68">
        <v>192</v>
      </c>
      <c r="D68" t="s">
        <v>55</v>
      </c>
      <c r="E68" s="3">
        <f>IF(Table3[[#This Row],[Color I Want?]],Table3[[#This Row],[Price, Raw]],Table3[[#This Row],[Price, Raw]]+850)</f>
        <v>18849</v>
      </c>
      <c r="F68" s="3">
        <v>17999</v>
      </c>
      <c r="G68" s="5">
        <v>42461</v>
      </c>
      <c r="H68" s="13">
        <f>1-Table3[[#This Row],[Price, Adj]]/MAX(E:E)</f>
        <v>9.5754377548572744E-2</v>
      </c>
      <c r="I68" s="13">
        <f>1-Table3[[#This Row],[Mile-Cost Rating Raw]]/MAX(J:J)</f>
        <v>0.46357959553876793</v>
      </c>
      <c r="J68" s="13">
        <f>IFERROR(Table3[[#This Row],[Price, Adj]]*Table3[[#This Row],[Mileage]],"")</f>
        <v>800347389</v>
      </c>
      <c r="K68" s="13">
        <f ca="1">1-Table3[[#This Row],[Age-Cost Rating Raw]]/MAX(L:L)</f>
        <v>0.42851078989456448</v>
      </c>
      <c r="L68" s="13">
        <f ca="1">Table3[[#This Row],[Price, Adj]]*(YEAR(NOW())-Table3[[#This Row],[Year]])</f>
        <v>75396</v>
      </c>
      <c r="M68" s="13">
        <f ca="1">Table3[[#This Row],[Warranty-Cost Rating Raw]]/MAX(N:N)</f>
        <v>0</v>
      </c>
      <c r="N68" s="11">
        <f>IF(Table3[[#This Row],[Certified Used?]]&gt;0,MIN(Table3[[#This Row],[Warranty Years Left]],Table3[[#This Row],[Warranty Mileage Years Left]])/Table3[[#This Row],[Price, Adj]],0)</f>
        <v>0</v>
      </c>
      <c r="O68" s="4">
        <f ca="1">Table3[[#This Row],[Mile-Cost Rating Adj]]*2+Table3[[#This Row],[Age-Cost Rating Adj]]*2+Table3[[#This Row],[Warranty-Cost Rating Adj]]*2+Table3[[#This Row],[Cost Rating, Adj]]*6</f>
        <v>2.3587070361581013</v>
      </c>
      <c r="P68" s="13" t="b">
        <f>IFERROR(OR(IFERROR(FIND("Red",Table3[[#This Row],[Color]],1),FALSE),FIND(Table3[[#This Row],[Color]],"Blue",1)),FALSE)</f>
        <v>0</v>
      </c>
      <c r="Q68" t="s">
        <v>8</v>
      </c>
      <c r="R68">
        <f>IFERROR(IF(FIND("certified",Table3[[#This Row],[Car Type]])&gt;0,1,0),0)</f>
        <v>0</v>
      </c>
      <c r="S68" s="2" t="b">
        <v>0</v>
      </c>
      <c r="T68" t="str">
        <f>TRIM(SUBSTITUTE(REPLACE(Table3[[#This Row],[Car Type]],1,5,""),"(certified)","",1))</f>
        <v>Toyota Prius</v>
      </c>
      <c r="U68">
        <f>MAX(LEFT(Table3[[#This Row],[Car Type]],4),0)</f>
        <v>2010</v>
      </c>
      <c r="V68" t="s">
        <v>58</v>
      </c>
      <c r="W68">
        <f ca="1">VALUE(YEAR(NOW())-Table3[[#This Row],[Year]])</f>
        <v>4</v>
      </c>
      <c r="X68">
        <f ca="1">IFERROR(IF(FIND("Fit",Table3[[#This Row],[Model]])&gt;0,6-(YEAR(NOW())-Table3[[#This Row],[Year]]),20),7-(YEAR(NOW())-Table3[[#This Row],[Year]]))</f>
        <v>3</v>
      </c>
      <c r="Y68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69" spans="1:25" x14ac:dyDescent="0.25">
      <c r="A69" t="s">
        <v>231</v>
      </c>
      <c r="B69" t="s">
        <v>33</v>
      </c>
      <c r="C69">
        <v>80</v>
      </c>
      <c r="D69" t="s">
        <v>40</v>
      </c>
      <c r="E69" s="3">
        <f>IF(Table3[[#This Row],[Color I Want?]],Table3[[#This Row],[Price, Raw]],Table3[[#This Row],[Price, Raw]]+850)</f>
        <v>17751</v>
      </c>
      <c r="F69" s="3">
        <v>16901</v>
      </c>
      <c r="G69" s="5">
        <v>65691</v>
      </c>
      <c r="H69" s="13">
        <f>1-Table3[[#This Row],[Price, Adj]]/MAX(E:E)</f>
        <v>0.14842887982729669</v>
      </c>
      <c r="I69" s="14">
        <f>1-Table3[[#This Row],[Mile-Cost Rating Raw]]/MAX(J:J)</f>
        <v>0.21845236380754396</v>
      </c>
      <c r="J69" s="14">
        <f>IFERROR(Table3[[#This Row],[Price, Adj]]*Table3[[#This Row],[Mileage]],"")</f>
        <v>1166080941</v>
      </c>
      <c r="K69" s="14">
        <f ca="1">1-Table3[[#This Row],[Age-Cost Rating Raw]]/MAX(L:L)</f>
        <v>0.19270213523940904</v>
      </c>
      <c r="L69" s="14">
        <f ca="1">Table3[[#This Row],[Price, Adj]]*(YEAR(NOW())-Table3[[#This Row],[Year]])</f>
        <v>106506</v>
      </c>
      <c r="M69" s="14">
        <f ca="1">Table3[[#This Row],[Warranty-Cost Rating Raw]]/MAX(N:N)</f>
        <v>0.3163014290274726</v>
      </c>
      <c r="N69" s="10">
        <f ca="1">IF(Table3[[#This Row],[Certified Used?]]&gt;0,MIN(Table3[[#This Row],[Warranty Years Left]],Table3[[#This Row],[Warranty Mileage Years Left]])/Table3[[#This Row],[Price, Adj]],0)</f>
        <v>5.633485437440144E-5</v>
      </c>
      <c r="O69" s="18">
        <f ca="1">Table3[[#This Row],[Mile-Cost Rating Adj]]*2+Table3[[#This Row],[Age-Cost Rating Adj]]*2+Table3[[#This Row],[Warranty-Cost Rating Adj]]*2+Table3[[#This Row],[Cost Rating, Adj]]*6</f>
        <v>2.3454851351126313</v>
      </c>
      <c r="P69" s="14" t="b">
        <f>IFERROR(OR(IFERROR(FIND("Red",Table3[[#This Row],[Color]],1),FALSE),FIND(Table3[[#This Row],[Color]],"Blue",1)),FALSE)</f>
        <v>0</v>
      </c>
      <c r="Q69" t="s">
        <v>6</v>
      </c>
      <c r="R69" s="1">
        <f>IFERROR(IF(FIND("certified",Table3[[#This Row],[Car Type]])&gt;0,1,0),0)</f>
        <v>1</v>
      </c>
      <c r="S69" s="17" t="b">
        <v>0</v>
      </c>
      <c r="T69" s="1" t="str">
        <f>TRIM(SUBSTITUTE(REPLACE(Table3[[#This Row],[Car Type]],1,5,""),"(certified)","",1))</f>
        <v>Toyota Prius</v>
      </c>
      <c r="U69" s="1">
        <f>MAX(LEFT(Table3[[#This Row],[Car Type]],4),0)</f>
        <v>2008</v>
      </c>
      <c r="V69" t="s">
        <v>232</v>
      </c>
      <c r="W69">
        <f ca="1">VALUE(YEAR(NOW())-Table3[[#This Row],[Year]])</f>
        <v>6</v>
      </c>
      <c r="X69" s="1">
        <f ca="1">IFERROR(IF(FIND("Fit",Table3[[#This Row],[Model]])&gt;0,6-(YEAR(NOW())-Table3[[#This Row],[Year]]),20),7-(YEAR(NOW())-Table3[[#This Row],[Year]]))</f>
        <v>1</v>
      </c>
      <c r="Y6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70" spans="1:25" x14ac:dyDescent="0.25">
      <c r="A70" t="s">
        <v>164</v>
      </c>
      <c r="B70" t="s">
        <v>75</v>
      </c>
      <c r="C70">
        <v>219</v>
      </c>
      <c r="D70" t="s">
        <v>16</v>
      </c>
      <c r="E70" s="3">
        <f>IF(Table3[[#This Row],[Color I Want?]],Table3[[#This Row],[Price, Raw]],Table3[[#This Row],[Price, Raw]]+850)</f>
        <v>16850</v>
      </c>
      <c r="F70" s="3">
        <v>16000</v>
      </c>
      <c r="G70" s="5">
        <v>56581</v>
      </c>
      <c r="H70" s="13">
        <f>1-Table3[[#This Row],[Price, Adj]]/MAX(E:E)</f>
        <v>0.19165267450227874</v>
      </c>
      <c r="I70" s="13">
        <f>1-Table3[[#This Row],[Mile-Cost Rating Raw]]/MAX(J:J)</f>
        <v>0.36100526349535778</v>
      </c>
      <c r="J70" s="14">
        <f>IFERROR(Table3[[#This Row],[Price, Adj]]*Table3[[#This Row],[Mileage]],"")</f>
        <v>953389850</v>
      </c>
      <c r="K70" s="14">
        <f ca="1">1-Table3[[#This Row],[Age-Cost Rating Raw]]/MAX(L:L)</f>
        <v>0.23367872113030497</v>
      </c>
      <c r="L70" s="14">
        <f ca="1">Table3[[#This Row],[Price, Adj]]*(YEAR(NOW())-Table3[[#This Row],[Year]])</f>
        <v>101100</v>
      </c>
      <c r="M70" s="14">
        <f ca="1">Table3[[#This Row],[Warranty-Cost Rating Raw]]/MAX(N:N)</f>
        <v>0</v>
      </c>
      <c r="N70" s="12">
        <f>IF(Table3[[#This Row],[Certified Used?]]&gt;0,MIN(Table3[[#This Row],[Warranty Years Left]],Table3[[#This Row],[Warranty Mileage Years Left]])/Table3[[#This Row],[Price, Adj]],0)</f>
        <v>0</v>
      </c>
      <c r="O70" s="18">
        <f ca="1">Table3[[#This Row],[Mile-Cost Rating Adj]]*2+Table3[[#This Row],[Age-Cost Rating Adj]]*2+Table3[[#This Row],[Warranty-Cost Rating Adj]]*2+Table3[[#This Row],[Cost Rating, Adj]]*6</f>
        <v>2.3392840162649979</v>
      </c>
      <c r="P70" s="14" t="b">
        <f>IFERROR(OR(IFERROR(FIND("Red",Table3[[#This Row],[Color]],1),FALSE),FIND(Table3[[#This Row],[Color]],"Blue",1)),FALSE)</f>
        <v>0</v>
      </c>
      <c r="Q70" t="s">
        <v>22</v>
      </c>
      <c r="R70" s="1">
        <f>IFERROR(IF(FIND("certified",Table3[[#This Row],[Car Type]])&gt;0,1,0),0)</f>
        <v>0</v>
      </c>
      <c r="S70" s="2" t="b">
        <v>1</v>
      </c>
      <c r="T70" s="1" t="str">
        <f>TRIM(SUBSTITUTE(REPLACE(Table3[[#This Row],[Car Type]],1,5,""),"(certified)","",1))</f>
        <v>Toyota Prius</v>
      </c>
      <c r="U70">
        <f>MAX(LEFT(Table3[[#This Row],[Car Type]],4),0)</f>
        <v>2008</v>
      </c>
      <c r="V70" t="s">
        <v>163</v>
      </c>
      <c r="W70">
        <f ca="1">VALUE(YEAR(NOW())-Table3[[#This Row],[Year]])</f>
        <v>6</v>
      </c>
      <c r="X70" s="1">
        <f ca="1">IFERROR(IF(FIND("Fit",Table3[[#This Row],[Model]])&gt;0,6-(YEAR(NOW())-Table3[[#This Row],[Year]]),20),7-(YEAR(NOW())-Table3[[#This Row],[Year]]))</f>
        <v>1</v>
      </c>
      <c r="Y7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71" spans="1:25" x14ac:dyDescent="0.25">
      <c r="A71" t="s">
        <v>25</v>
      </c>
      <c r="B71" t="s">
        <v>30</v>
      </c>
      <c r="C71">
        <v>31</v>
      </c>
      <c r="D71" t="s">
        <v>16</v>
      </c>
      <c r="E71" s="3">
        <f>IF(Table3[[#This Row],[Color I Want?]],Table3[[#This Row],[Price, Raw]],Table3[[#This Row],[Price, Raw]]+850)</f>
        <v>17850</v>
      </c>
      <c r="F71" s="3">
        <v>17000</v>
      </c>
      <c r="G71" s="5">
        <v>37736</v>
      </c>
      <c r="H71" s="13">
        <f>1-Table3[[#This Row],[Price, Adj]]/MAX(E:E)</f>
        <v>0.14367953945790357</v>
      </c>
      <c r="I71" s="13">
        <f>1-Table3[[#This Row],[Mile-Cost Rating Raw]]/MAX(J:J)</f>
        <v>0.54853837496298674</v>
      </c>
      <c r="J71" s="13">
        <f>IFERROR(Table3[[#This Row],[Price, Adj]]*Table3[[#This Row],[Mileage]],"")</f>
        <v>673587600</v>
      </c>
      <c r="K71" s="13">
        <f ca="1">1-Table3[[#This Row],[Age-Cost Rating Raw]]/MAX(L:L)</f>
        <v>0.18819971348225184</v>
      </c>
      <c r="L71" s="13">
        <f ca="1">Table3[[#This Row],[Price, Adj]]*(YEAR(NOW())-Table3[[#This Row],[Year]])</f>
        <v>107100</v>
      </c>
      <c r="M71" s="13">
        <f ca="1">Table3[[#This Row],[Warranty-Cost Rating Raw]]/MAX(N:N)</f>
        <v>0</v>
      </c>
      <c r="N71" s="11">
        <f>IF(Table3[[#This Row],[Certified Used?]]&gt;0,MIN(Table3[[#This Row],[Warranty Years Left]],Table3[[#This Row],[Warranty Mileage Years Left]])/Table3[[#This Row],[Price, Adj]],0)</f>
        <v>0</v>
      </c>
      <c r="O71" s="4">
        <f ca="1">Table3[[#This Row],[Mile-Cost Rating Adj]]*2+Table3[[#This Row],[Age-Cost Rating Adj]]*2+Table3[[#This Row],[Warranty-Cost Rating Adj]]*2+Table3[[#This Row],[Cost Rating, Adj]]*6</f>
        <v>2.3355534136378986</v>
      </c>
      <c r="P71" s="13" t="b">
        <f>IFERROR(OR(IFERROR(FIND("Red",Table3[[#This Row],[Color]],1),FALSE),FIND(Table3[[#This Row],[Color]],"Blue",1)),FALSE)</f>
        <v>0</v>
      </c>
      <c r="Q71" t="s">
        <v>8</v>
      </c>
      <c r="R71">
        <f>IFERROR(IF(FIND("certified",Table3[[#This Row],[Car Type]])&gt;0,1,0),0)</f>
        <v>0</v>
      </c>
      <c r="S71" s="2" t="b">
        <v>0</v>
      </c>
      <c r="T71" t="str">
        <f>TRIM(SUBSTITUTE(REPLACE(Table3[[#This Row],[Car Type]],1,5,""),"(certified)","",1))</f>
        <v>Toyota Prius</v>
      </c>
      <c r="U71">
        <f>MAX(LEFT(Table3[[#This Row],[Car Type]],4),0)</f>
        <v>2008</v>
      </c>
      <c r="V71" t="s">
        <v>26</v>
      </c>
      <c r="W71">
        <f ca="1">VALUE(YEAR(NOW())-Table3[[#This Row],[Year]])</f>
        <v>6</v>
      </c>
      <c r="X71">
        <f ca="1">IFERROR(IF(FIND("Fit",Table3[[#This Row],[Model]])&gt;0,6-(YEAR(NOW())-Table3[[#This Row],[Year]]),20),7-(YEAR(NOW())-Table3[[#This Row],[Year]]))</f>
        <v>1</v>
      </c>
      <c r="Y7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2" spans="1:25" x14ac:dyDescent="0.25">
      <c r="A72" t="s">
        <v>60</v>
      </c>
      <c r="B72" t="s">
        <v>59</v>
      </c>
      <c r="C72">
        <v>10</v>
      </c>
      <c r="D72" t="s">
        <v>41</v>
      </c>
      <c r="E72" s="3">
        <f>IF(Table3[[#This Row],[Color I Want?]],Table3[[#This Row],[Price, Raw]],Table3[[#This Row],[Price, Raw]]+850)</f>
        <v>18549</v>
      </c>
      <c r="F72" s="3">
        <v>17699</v>
      </c>
      <c r="G72" s="5">
        <v>36998</v>
      </c>
      <c r="H72" s="13">
        <f>1-Table3[[#This Row],[Price, Adj]]/MAX(E:E)</f>
        <v>0.11014631806188535</v>
      </c>
      <c r="I72" s="13">
        <f>1-Table3[[#This Row],[Mile-Cost Rating Raw]]/MAX(J:J)</f>
        <v>0.54003423765422331</v>
      </c>
      <c r="J72" s="13">
        <f>IFERROR(Table3[[#This Row],[Price, Adj]]*Table3[[#This Row],[Mileage]],"")</f>
        <v>686275902</v>
      </c>
      <c r="K72" s="13">
        <f ca="1">1-Table3[[#This Row],[Age-Cost Rating Raw]]/MAX(L:L)</f>
        <v>0.29700823928021891</v>
      </c>
      <c r="L72" s="13">
        <f ca="1">Table3[[#This Row],[Price, Adj]]*(YEAR(NOW())-Table3[[#This Row],[Year]])</f>
        <v>92745</v>
      </c>
      <c r="M72" s="13">
        <f ca="1">Table3[[#This Row],[Warranty-Cost Rating Raw]]/MAX(N:N)</f>
        <v>0</v>
      </c>
      <c r="N72" s="11">
        <f>IF(Table3[[#This Row],[Certified Used?]]&gt;0,MIN(Table3[[#This Row],[Warranty Years Left]],Table3[[#This Row],[Warranty Mileage Years Left]])/Table3[[#This Row],[Price, Adj]],0)</f>
        <v>0</v>
      </c>
      <c r="O72" s="4">
        <f ca="1">Table3[[#This Row],[Mile-Cost Rating Adj]]*2+Table3[[#This Row],[Age-Cost Rating Adj]]*2+Table3[[#This Row],[Warranty-Cost Rating Adj]]*2+Table3[[#This Row],[Cost Rating, Adj]]*6</f>
        <v>2.3349628622401966</v>
      </c>
      <c r="P72" s="13" t="b">
        <f>IFERROR(OR(IFERROR(FIND("Red",Table3[[#This Row],[Color]],1),FALSE),FIND(Table3[[#This Row],[Color]],"Blue",1)),FALSE)</f>
        <v>0</v>
      </c>
      <c r="Q72" t="s">
        <v>45</v>
      </c>
      <c r="R72">
        <f>IFERROR(IF(FIND("certified",Table3[[#This Row],[Car Type]])&gt;0,1,0),0)</f>
        <v>0</v>
      </c>
      <c r="S72" s="2" t="b">
        <v>0</v>
      </c>
      <c r="T72" t="str">
        <f>TRIM(SUBSTITUTE(REPLACE(Table3[[#This Row],[Car Type]],1,5,""),"(certified)","",1))</f>
        <v>Toyota Prius</v>
      </c>
      <c r="U72">
        <f>MAX(LEFT(Table3[[#This Row],[Car Type]],4),0)</f>
        <v>2009</v>
      </c>
      <c r="V72" t="s">
        <v>61</v>
      </c>
      <c r="W72">
        <f ca="1">VALUE(YEAR(NOW())-Table3[[#This Row],[Year]])</f>
        <v>5</v>
      </c>
      <c r="X72">
        <f ca="1">IFERROR(IF(FIND("Fit",Table3[[#This Row],[Model]])&gt;0,6-(YEAR(NOW())-Table3[[#This Row],[Year]]),20),7-(YEAR(NOW())-Table3[[#This Row],[Year]]))</f>
        <v>2</v>
      </c>
      <c r="Y72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3" spans="1:25" x14ac:dyDescent="0.25">
      <c r="A73" t="s">
        <v>48</v>
      </c>
      <c r="B73" t="s">
        <v>33</v>
      </c>
      <c r="C73">
        <v>80</v>
      </c>
      <c r="D73" t="s">
        <v>37</v>
      </c>
      <c r="E73" s="3">
        <f>IF(Table3[[#This Row],[Color I Want?]],Table3[[#This Row],[Price, Raw]],Table3[[#This Row],[Price, Raw]]+850)</f>
        <v>18451</v>
      </c>
      <c r="F73" s="3">
        <v>17601</v>
      </c>
      <c r="G73" s="5">
        <v>18688</v>
      </c>
      <c r="H73" s="13">
        <f>1-Table3[[#This Row],[Price, Adj]]/MAX(E:E)</f>
        <v>0.11484768529623413</v>
      </c>
      <c r="I73" s="13">
        <f>1-Table3[[#This Row],[Mile-Cost Rating Raw]]/MAX(J:J)</f>
        <v>0.76889492046289054</v>
      </c>
      <c r="J73" s="13">
        <f>IFERROR(Table3[[#This Row],[Price, Adj]]*Table3[[#This Row],[Mileage]],"")</f>
        <v>344812288</v>
      </c>
      <c r="K73" s="13">
        <f ca="1">1-Table3[[#This Row],[Age-Cost Rating Raw]]/MAX(L:L)</f>
        <v>2.1011301533400584E-2</v>
      </c>
      <c r="L73" s="13">
        <f ca="1">Table3[[#This Row],[Price, Adj]]*(YEAR(NOW())-Table3[[#This Row],[Year]])</f>
        <v>129157</v>
      </c>
      <c r="M73" s="13">
        <f ca="1">Table3[[#This Row],[Warranty-Cost Rating Raw]]/MAX(N:N)</f>
        <v>0</v>
      </c>
      <c r="N73" s="9">
        <f ca="1">IF(Table3[[#This Row],[Certified Used?]]&gt;0,MIN(Table3[[#This Row],[Warranty Years Left]],Table3[[#This Row],[Warranty Mileage Years Left]])/Table3[[#This Row],[Price, Adj]],0)</f>
        <v>0</v>
      </c>
      <c r="O73" s="4">
        <f ca="1">Table3[[#This Row],[Mile-Cost Rating Adj]]*2+Table3[[#This Row],[Age-Cost Rating Adj]]*2+Table3[[#This Row],[Warranty-Cost Rating Adj]]*2+Table3[[#This Row],[Cost Rating, Adj]]*6</f>
        <v>2.268898555769987</v>
      </c>
      <c r="P73" s="13" t="b">
        <f>IFERROR(OR(IFERROR(FIND("Red",Table3[[#This Row],[Color]],1),FALSE),FIND(Table3[[#This Row],[Color]],"Blue",1)),FALSE)</f>
        <v>0</v>
      </c>
      <c r="Q73" t="s">
        <v>8</v>
      </c>
      <c r="R73">
        <f>IFERROR(IF(FIND("certified",Table3[[#This Row],[Car Type]])&gt;0,1,0),0)</f>
        <v>1</v>
      </c>
      <c r="S73" s="2" t="b">
        <v>0</v>
      </c>
      <c r="T73" t="str">
        <f>TRIM(SUBSTITUTE(REPLACE(Table3[[#This Row],[Car Type]],1,5,""),"(certified)","",1))</f>
        <v>Toyota Prius</v>
      </c>
      <c r="U73">
        <f>MAX(LEFT(Table3[[#This Row],[Car Type]],4),0)</f>
        <v>2007</v>
      </c>
      <c r="V73" t="s">
        <v>49</v>
      </c>
      <c r="W73">
        <f ca="1">VALUE(YEAR(NOW())-Table3[[#This Row],[Year]])</f>
        <v>7</v>
      </c>
      <c r="X73">
        <f ca="1">IFERROR(IF(FIND("Fit",Table3[[#This Row],[Model]])&gt;0,6-(YEAR(NOW())-Table3[[#This Row],[Year]]),20),7-(YEAR(NOW())-Table3[[#This Row],[Year]]))</f>
        <v>0</v>
      </c>
      <c r="Y73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4" spans="1:25" x14ac:dyDescent="0.25">
      <c r="A74" t="s">
        <v>176</v>
      </c>
      <c r="B74" t="s">
        <v>77</v>
      </c>
      <c r="C74">
        <v>150</v>
      </c>
      <c r="D74" t="s">
        <v>16</v>
      </c>
      <c r="E74" s="3">
        <f>IF(Table3[[#This Row],[Color I Want?]],Table3[[#This Row],[Price, Raw]],Table3[[#This Row],[Price, Raw]]+850)</f>
        <v>17595</v>
      </c>
      <c r="F74" s="3">
        <v>17595</v>
      </c>
      <c r="G74" s="5">
        <v>48227</v>
      </c>
      <c r="H74" s="13">
        <f>1-Table3[[#This Row],[Price, Adj]]/MAX(E:E)</f>
        <v>0.15591268889421928</v>
      </c>
      <c r="I74" s="13">
        <f>1-Table3[[#This Row],[Mile-Cost Rating Raw]]/MAX(J:J)</f>
        <v>0.43126981981755097</v>
      </c>
      <c r="J74" s="14">
        <f>IFERROR(Table3[[#This Row],[Price, Adj]]*Table3[[#This Row],[Mileage]],"")</f>
        <v>848554065</v>
      </c>
      <c r="K74" s="14">
        <f ca="1">1-Table3[[#This Row],[Age-Cost Rating Raw]]/MAX(L:L)</f>
        <v>0.19979686043250533</v>
      </c>
      <c r="L74" s="14">
        <f ca="1">Table3[[#This Row],[Price, Adj]]*(YEAR(NOW())-Table3[[#This Row],[Year]])</f>
        <v>105570</v>
      </c>
      <c r="M74" s="14">
        <f ca="1">Table3[[#This Row],[Warranty-Cost Rating Raw]]/MAX(N:N)</f>
        <v>0</v>
      </c>
      <c r="N74" s="12">
        <f>IF(Table3[[#This Row],[Certified Used?]]&gt;0,MIN(Table3[[#This Row],[Warranty Years Left]],Table3[[#This Row],[Warranty Mileage Years Left]])/Table3[[#This Row],[Price, Adj]],0)</f>
        <v>0</v>
      </c>
      <c r="O74" s="18">
        <f ca="1">Table3[[#This Row],[Mile-Cost Rating Adj]]*2+Table3[[#This Row],[Age-Cost Rating Adj]]*2+Table3[[#This Row],[Warranty-Cost Rating Adj]]*2+Table3[[#This Row],[Cost Rating, Adj]]*6</f>
        <v>2.1976094938654285</v>
      </c>
      <c r="P74" s="14" t="b">
        <f>IFERROR(OR(IFERROR(FIND("Red",Table3[[#This Row],[Color]],1),FALSE),FIND(Table3[[#This Row],[Color]],"Blue",1)),FALSE)</f>
        <v>1</v>
      </c>
      <c r="Q74" t="s">
        <v>13</v>
      </c>
      <c r="R74" s="1">
        <f>IFERROR(IF(FIND("certified",Table3[[#This Row],[Car Type]])&gt;0,1,0),0)</f>
        <v>0</v>
      </c>
      <c r="S74" s="2" t="b">
        <v>1</v>
      </c>
      <c r="T74" s="1" t="str">
        <f>TRIM(SUBSTITUTE(REPLACE(Table3[[#This Row],[Car Type]],1,5,""),"(certified)","",1))</f>
        <v>Toyota Prius</v>
      </c>
      <c r="U74">
        <f>MAX(LEFT(Table3[[#This Row],[Car Type]],4),0)</f>
        <v>2008</v>
      </c>
      <c r="V74" t="s">
        <v>175</v>
      </c>
      <c r="W74">
        <f ca="1">VALUE(YEAR(NOW())-Table3[[#This Row],[Year]])</f>
        <v>6</v>
      </c>
      <c r="X74" s="1">
        <f ca="1">IFERROR(IF(FIND("Fit",Table3[[#This Row],[Model]])&gt;0,6-(YEAR(NOW())-Table3[[#This Row],[Year]]),20),7-(YEAR(NOW())-Table3[[#This Row],[Year]]))</f>
        <v>1</v>
      </c>
      <c r="Y7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75" spans="1:25" x14ac:dyDescent="0.25">
      <c r="A75" t="s">
        <v>63</v>
      </c>
      <c r="B75" t="s">
        <v>62</v>
      </c>
      <c r="C75">
        <v>214</v>
      </c>
      <c r="D75" t="s">
        <v>16</v>
      </c>
      <c r="E75" s="3">
        <f>IF(Table3[[#This Row],[Color I Want?]],Table3[[#This Row],[Price, Raw]],Table3[[#This Row],[Price, Raw]]+850)</f>
        <v>19848</v>
      </c>
      <c r="F75" s="3">
        <v>18998</v>
      </c>
      <c r="G75" s="5">
        <v>11501</v>
      </c>
      <c r="H75" s="13">
        <f>1-Table3[[#This Row],[Price, Adj]]/MAX(E:E)</f>
        <v>4.7829215639242029E-2</v>
      </c>
      <c r="I75" s="13">
        <f>1-Table3[[#This Row],[Mile-Cost Rating Raw]]/MAX(J:J)</f>
        <v>0.84700433997258551</v>
      </c>
      <c r="J75" s="13">
        <f>IFERROR(Table3[[#This Row],[Price, Adj]]*Table3[[#This Row],[Mileage]],"")</f>
        <v>228271848</v>
      </c>
      <c r="K75" s="13">
        <f ca="1">1-Table3[[#This Row],[Age-Cost Rating Raw]]/MAX(L:L)</f>
        <v>9.7332656201441714E-2</v>
      </c>
      <c r="L75" s="13">
        <f ca="1">Table3[[#This Row],[Price, Adj]]*(YEAR(NOW())-Table3[[#This Row],[Year]])</f>
        <v>119088</v>
      </c>
      <c r="M75" s="13">
        <f ca="1">Table3[[#This Row],[Warranty-Cost Rating Raw]]/MAX(N:N)</f>
        <v>0</v>
      </c>
      <c r="N75" s="11">
        <f>IF(Table3[[#This Row],[Certified Used?]]&gt;0,MIN(Table3[[#This Row],[Warranty Years Left]],Table3[[#This Row],[Warranty Mileage Years Left]])/Table3[[#This Row],[Price, Adj]],0)</f>
        <v>0</v>
      </c>
      <c r="O75" s="4">
        <f ca="1">Table3[[#This Row],[Mile-Cost Rating Adj]]*2+Table3[[#This Row],[Age-Cost Rating Adj]]*2+Table3[[#This Row],[Warranty-Cost Rating Adj]]*2+Table3[[#This Row],[Cost Rating, Adj]]*6</f>
        <v>2.1756492861835066</v>
      </c>
      <c r="P75" s="13" t="b">
        <f>IFERROR(OR(IFERROR(FIND("Red",Table3[[#This Row],[Color]],1),FALSE),FIND(Table3[[#This Row],[Color]],"Blue",1)),FALSE)</f>
        <v>0</v>
      </c>
      <c r="Q75" t="s">
        <v>8</v>
      </c>
      <c r="R75">
        <f>IFERROR(IF(FIND("certified",Table3[[#This Row],[Car Type]])&gt;0,1,0),0)</f>
        <v>0</v>
      </c>
      <c r="S75" s="2" t="b">
        <v>0</v>
      </c>
      <c r="T75" t="str">
        <f>TRIM(SUBSTITUTE(REPLACE(Table3[[#This Row],[Car Type]],1,5,""),"(certified)","",1))</f>
        <v>Toyota Prius</v>
      </c>
      <c r="U75">
        <f>MAX(LEFT(Table3[[#This Row],[Car Type]],4),0)</f>
        <v>2008</v>
      </c>
      <c r="V75" t="s">
        <v>64</v>
      </c>
      <c r="W75">
        <f ca="1">VALUE(YEAR(NOW())-Table3[[#This Row],[Year]])</f>
        <v>6</v>
      </c>
      <c r="X75">
        <f ca="1">IFERROR(IF(FIND("Fit",Table3[[#This Row],[Model]])&gt;0,6-(YEAR(NOW())-Table3[[#This Row],[Year]]),20),7-(YEAR(NOW())-Table3[[#This Row],[Year]]))</f>
        <v>1</v>
      </c>
      <c r="Y75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6" spans="1:25" x14ac:dyDescent="0.25">
      <c r="A76" t="s">
        <v>67</v>
      </c>
      <c r="B76" t="s">
        <v>65</v>
      </c>
      <c r="C76">
        <v>0</v>
      </c>
      <c r="D76" t="s">
        <v>37</v>
      </c>
      <c r="E76" s="3">
        <f>IF(Table3[[#This Row],[Color I Want?]],Table3[[#This Row],[Price, Raw]],Table3[[#This Row],[Price, Raw]]+850)</f>
        <v>18133</v>
      </c>
      <c r="F76" s="3">
        <v>18133</v>
      </c>
      <c r="G76" s="5">
        <v>28354</v>
      </c>
      <c r="H76" s="13">
        <f>1-Table3[[#This Row],[Price, Adj]]/MAX(E:E)</f>
        <v>0.13010314224034536</v>
      </c>
      <c r="I76" s="13">
        <f>1-Table3[[#This Row],[Mile-Cost Rating Raw]]/MAX(J:J)</f>
        <v>0.65540358625773631</v>
      </c>
      <c r="J76" s="13">
        <f>IFERROR(Table3[[#This Row],[Price, Adj]]*Table3[[#This Row],[Mileage]],"")</f>
        <v>514143082</v>
      </c>
      <c r="K76" s="13">
        <f ca="1">1-Table3[[#This Row],[Age-Cost Rating Raw]]/MAX(L:L)</f>
        <v>3.7884013370828251E-2</v>
      </c>
      <c r="L76" s="13">
        <f ca="1">Table3[[#This Row],[Price, Adj]]*(YEAR(NOW())-Table3[[#This Row],[Year]])</f>
        <v>126931</v>
      </c>
      <c r="M76" s="13">
        <f ca="1">Table3[[#This Row],[Warranty-Cost Rating Raw]]/MAX(N:N)</f>
        <v>0</v>
      </c>
      <c r="N76" s="9">
        <f ca="1">IF(Table3[[#This Row],[Certified Used?]]&gt;0,MIN(Table3[[#This Row],[Warranty Years Left]],Table3[[#This Row],[Warranty Mileage Years Left]])/Table3[[#This Row],[Price, Adj]],0)</f>
        <v>0</v>
      </c>
      <c r="O76" s="4">
        <f ca="1">Table3[[#This Row],[Mile-Cost Rating Adj]]*2+Table3[[#This Row],[Age-Cost Rating Adj]]*2+Table3[[#This Row],[Warranty-Cost Rating Adj]]*2+Table3[[#This Row],[Cost Rating, Adj]]*6</f>
        <v>2.1671940526992013</v>
      </c>
      <c r="P76" s="13" t="b">
        <v>1</v>
      </c>
      <c r="Q76" t="s">
        <v>6</v>
      </c>
      <c r="R76">
        <f>IFERROR(IF(FIND("certified",Table3[[#This Row],[Car Type]])&gt;0,1,0),0)</f>
        <v>1</v>
      </c>
      <c r="S76" s="2" t="b">
        <v>0</v>
      </c>
      <c r="T76" t="str">
        <f>TRIM(SUBSTITUTE(REPLACE(Table3[[#This Row],[Car Type]],1,5,""),"(certified)","",1))</f>
        <v>Toyota Prius</v>
      </c>
      <c r="U76">
        <f>MAX(LEFT(Table3[[#This Row],[Car Type]],4),0)</f>
        <v>2007</v>
      </c>
      <c r="V76" t="s">
        <v>66</v>
      </c>
      <c r="W76">
        <f ca="1">VALUE(YEAR(NOW())-Table3[[#This Row],[Year]])</f>
        <v>7</v>
      </c>
      <c r="X76">
        <f ca="1">IFERROR(IF(FIND("Fit",Table3[[#This Row],[Model]])&gt;0,6-(YEAR(NOW())-Table3[[#This Row],[Year]]),20),7-(YEAR(NOW())-Table3[[#This Row],[Year]]))</f>
        <v>0</v>
      </c>
      <c r="Y76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7" spans="1:25" x14ac:dyDescent="0.25">
      <c r="A77" t="s">
        <v>234</v>
      </c>
      <c r="B77" t="s">
        <v>233</v>
      </c>
      <c r="C77">
        <v>30</v>
      </c>
      <c r="D77" t="s">
        <v>40</v>
      </c>
      <c r="E77" s="3">
        <f>IF(Table3[[#This Row],[Color I Want?]],Table3[[#This Row],[Price, Raw]],Table3[[#This Row],[Price, Raw]]+850)</f>
        <v>17800</v>
      </c>
      <c r="F77" s="3">
        <v>16950</v>
      </c>
      <c r="G77" s="5">
        <v>72253</v>
      </c>
      <c r="H77" s="13">
        <f>1-Table3[[#This Row],[Price, Adj]]/MAX(E:E)</f>
        <v>0.1460781962101223</v>
      </c>
      <c r="I77" s="14">
        <f>1-Table3[[#This Row],[Mile-Cost Rating Raw]]/MAX(J:J)</f>
        <v>0.13800917515460809</v>
      </c>
      <c r="J77" s="14">
        <f>IFERROR(Table3[[#This Row],[Price, Adj]]*Table3[[#This Row],[Mileage]],"")</f>
        <v>1286103400</v>
      </c>
      <c r="K77" s="14">
        <f ca="1">1-Table3[[#This Row],[Age-Cost Rating Raw]]/MAX(L:L)</f>
        <v>0.19047366386465447</v>
      </c>
      <c r="L77" s="14">
        <f ca="1">Table3[[#This Row],[Price, Adj]]*(YEAR(NOW())-Table3[[#This Row],[Year]])</f>
        <v>106800</v>
      </c>
      <c r="M77" s="14">
        <f ca="1">Table3[[#This Row],[Warranty-Cost Rating Raw]]/MAX(N:N)</f>
        <v>0.31543071161048691</v>
      </c>
      <c r="N77" s="10">
        <f ca="1">IF(Table3[[#This Row],[Certified Used?]]&gt;0,MIN(Table3[[#This Row],[Warranty Years Left]],Table3[[#This Row],[Warranty Mileage Years Left]])/Table3[[#This Row],[Price, Adj]],0)</f>
        <v>5.6179775280898879E-5</v>
      </c>
      <c r="O77" s="18">
        <f ca="1">Table3[[#This Row],[Mile-Cost Rating Adj]]*2+Table3[[#This Row],[Age-Cost Rating Adj]]*2+Table3[[#This Row],[Warranty-Cost Rating Adj]]*2+Table3[[#This Row],[Cost Rating, Adj]]*6</f>
        <v>2.1642962785202329</v>
      </c>
      <c r="P77" s="14" t="b">
        <f>IFERROR(OR(IFERROR(FIND("Red",Table3[[#This Row],[Color]],1),FALSE),FIND(Table3[[#This Row],[Color]],"Blue",1)),FALSE)</f>
        <v>0</v>
      </c>
      <c r="Q77" t="s">
        <v>8</v>
      </c>
      <c r="R77" s="1">
        <f>IFERROR(IF(FIND("certified",Table3[[#This Row],[Car Type]])&gt;0,1,0),0)</f>
        <v>1</v>
      </c>
      <c r="S77" s="17" t="b">
        <v>0</v>
      </c>
      <c r="T77" s="1" t="str">
        <f>TRIM(SUBSTITUTE(REPLACE(Table3[[#This Row],[Car Type]],1,5,""),"(certified)","",1))</f>
        <v>Toyota Prius</v>
      </c>
      <c r="U77" s="1">
        <f>MAX(LEFT(Table3[[#This Row],[Car Type]],4),0)</f>
        <v>2008</v>
      </c>
      <c r="V77" t="s">
        <v>235</v>
      </c>
      <c r="W77">
        <f ca="1">VALUE(YEAR(NOW())-Table3[[#This Row],[Year]])</f>
        <v>6</v>
      </c>
      <c r="X77" s="1">
        <f ca="1">IFERROR(IF(FIND("Fit",Table3[[#This Row],[Model]])&gt;0,6-(YEAR(NOW())-Table3[[#This Row],[Year]]),20),7-(YEAR(NOW())-Table3[[#This Row],[Year]]))</f>
        <v>1</v>
      </c>
      <c r="Y7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78" spans="1:25" x14ac:dyDescent="0.25">
      <c r="A78" t="s">
        <v>79</v>
      </c>
      <c r="B78" t="s">
        <v>75</v>
      </c>
      <c r="C78">
        <v>219</v>
      </c>
      <c r="D78" t="s">
        <v>41</v>
      </c>
      <c r="E78" s="3">
        <f>IF(Table3[[#This Row],[Color I Want?]],Table3[[#This Row],[Price, Raw]],Table3[[#This Row],[Price, Raw]]+850)</f>
        <v>19850</v>
      </c>
      <c r="F78" s="3">
        <v>19000</v>
      </c>
      <c r="G78" s="5">
        <v>23740</v>
      </c>
      <c r="H78" s="13">
        <f>1-Table3[[#This Row],[Price, Adj]]/MAX(E:E)</f>
        <v>4.7733269369153231E-2</v>
      </c>
      <c r="I78" s="13">
        <f>1-Table3[[#This Row],[Mile-Cost Rating Raw]]/MAX(J:J)</f>
        <v>0.68415938072372895</v>
      </c>
      <c r="J78" s="14">
        <f>IFERROR(Table3[[#This Row],[Price, Adj]]*Table3[[#This Row],[Mileage]],"")</f>
        <v>471239000</v>
      </c>
      <c r="K78" s="14">
        <f ca="1">1-Table3[[#This Row],[Age-Cost Rating Raw]]/MAX(L:L)</f>
        <v>0.24770141515512134</v>
      </c>
      <c r="L78" s="14">
        <f ca="1">Table3[[#This Row],[Price, Adj]]*(YEAR(NOW())-Table3[[#This Row],[Year]])</f>
        <v>99250</v>
      </c>
      <c r="M78" s="14">
        <f ca="1">Table3[[#This Row],[Warranty-Cost Rating Raw]]/MAX(N:N)</f>
        <v>0</v>
      </c>
      <c r="N78" s="12">
        <f>IF(Table3[[#This Row],[Certified Used?]]&gt;0,MIN(Table3[[#This Row],[Warranty Years Left]],Table3[[#This Row],[Warranty Mileage Years Left]])/Table3[[#This Row],[Price, Adj]],0)</f>
        <v>0</v>
      </c>
      <c r="O78" s="18">
        <f ca="1">Table3[[#This Row],[Mile-Cost Rating Adj]]*2+Table3[[#This Row],[Age-Cost Rating Adj]]*2+Table3[[#This Row],[Warranty-Cost Rating Adj]]*2+Table3[[#This Row],[Cost Rating, Adj]]*6</f>
        <v>2.15012120797262</v>
      </c>
      <c r="P78" s="14" t="b">
        <f>IFERROR(OR(IFERROR(FIND("Red",Table3[[#This Row],[Color]],1),FALSE),FIND(Table3[[#This Row],[Color]],"Blue",1)),FALSE)</f>
        <v>0</v>
      </c>
      <c r="Q78" t="s">
        <v>22</v>
      </c>
      <c r="R78">
        <f>IFERROR(IF(FIND("certified",Table3[[#This Row],[Car Type]])&gt;0,1,0),0)</f>
        <v>0</v>
      </c>
      <c r="S78" s="2" t="b">
        <v>0</v>
      </c>
      <c r="T78" t="str">
        <f>TRIM(SUBSTITUTE(REPLACE(Table3[[#This Row],[Car Type]],1,5,""),"(certified)","",1))</f>
        <v>Toyota Prius</v>
      </c>
      <c r="U78">
        <f>MAX(LEFT(Table3[[#This Row],[Car Type]],4),0)</f>
        <v>2009</v>
      </c>
      <c r="V78" t="s">
        <v>76</v>
      </c>
      <c r="W78">
        <f ca="1">VALUE(YEAR(NOW())-Table3[[#This Row],[Year]])</f>
        <v>5</v>
      </c>
      <c r="X78">
        <f ca="1">IFERROR(IF(FIND("Fit",Table3[[#This Row],[Model]])&gt;0,6-(YEAR(NOW())-Table3[[#This Row],[Year]]),20),7-(YEAR(NOW())-Table3[[#This Row],[Year]]))</f>
        <v>2</v>
      </c>
      <c r="Y78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79" spans="1:25" x14ac:dyDescent="0.25">
      <c r="A79" t="s">
        <v>161</v>
      </c>
      <c r="B79" t="s">
        <v>119</v>
      </c>
      <c r="C79">
        <v>18</v>
      </c>
      <c r="D79" t="s">
        <v>4</v>
      </c>
      <c r="E79" s="3">
        <f>IF(Table3[[#This Row],[Color I Want?]],Table3[[#This Row],[Price, Raw]],Table3[[#This Row],[Price, Raw]]+850)</f>
        <v>16775</v>
      </c>
      <c r="F79" s="3">
        <v>15925</v>
      </c>
      <c r="G79" s="5">
        <v>55884</v>
      </c>
      <c r="H79" s="13">
        <f>1-Table3[[#This Row],[Price, Adj]]/MAX(E:E)</f>
        <v>0.19525065963060684</v>
      </c>
      <c r="I79" s="13">
        <f>1-Table3[[#This Row],[Mile-Cost Rating Raw]]/MAX(J:J)</f>
        <v>0.37168595237856106</v>
      </c>
      <c r="J79" s="14">
        <f>IFERROR(Table3[[#This Row],[Price, Adj]]*Table3[[#This Row],[Mileage]],"")</f>
        <v>937454100</v>
      </c>
      <c r="K79" s="14">
        <f ca="1">1-Table3[[#This Row],[Age-Cost Rating Raw]]/MAX(L:L)</f>
        <v>0.10993792115456036</v>
      </c>
      <c r="L79" s="14">
        <f ca="1">Table3[[#This Row],[Price, Adj]]*(YEAR(NOW())-Table3[[#This Row],[Year]])</f>
        <v>117425</v>
      </c>
      <c r="M79" s="14">
        <f ca="1">Table3[[#This Row],[Warranty-Cost Rating Raw]]/MAX(N:N)</f>
        <v>0</v>
      </c>
      <c r="N79" s="12">
        <f>IF(Table3[[#This Row],[Certified Used?]]&gt;0,MIN(Table3[[#This Row],[Warranty Years Left]],Table3[[#This Row],[Warranty Mileage Years Left]])/Table3[[#This Row],[Price, Adj]],0)</f>
        <v>0</v>
      </c>
      <c r="O79" s="18">
        <f ca="1">Table3[[#This Row],[Mile-Cost Rating Adj]]*2+Table3[[#This Row],[Age-Cost Rating Adj]]*2+Table3[[#This Row],[Warranty-Cost Rating Adj]]*2+Table3[[#This Row],[Cost Rating, Adj]]*6</f>
        <v>2.1347517048498839</v>
      </c>
      <c r="P79" s="14" t="b">
        <f>IFERROR(OR(IFERROR(FIND("Red",Table3[[#This Row],[Color]],1),FALSE),FIND(Table3[[#This Row],[Color]],"Blue",1)),FALSE)</f>
        <v>0</v>
      </c>
      <c r="Q79" t="s">
        <v>10</v>
      </c>
      <c r="R79" s="1">
        <f>IFERROR(IF(FIND("certified",Table3[[#This Row],[Car Type]])&gt;0,1,0),0)</f>
        <v>0</v>
      </c>
      <c r="S79" s="2" t="b">
        <v>0</v>
      </c>
      <c r="T79" s="1" t="str">
        <f>TRIM(SUBSTITUTE(REPLACE(Table3[[#This Row],[Car Type]],1,5,""),"(certified)","",1))</f>
        <v>Toyota Prius</v>
      </c>
      <c r="U79">
        <f>MAX(LEFT(Table3[[#This Row],[Car Type]],4),0)</f>
        <v>2007</v>
      </c>
      <c r="V79" t="s">
        <v>162</v>
      </c>
      <c r="W79">
        <f ca="1">VALUE(YEAR(NOW())-Table3[[#This Row],[Year]])</f>
        <v>7</v>
      </c>
      <c r="X79" s="1">
        <f ca="1">IFERROR(IF(FIND("Fit",Table3[[#This Row],[Model]])&gt;0,6-(YEAR(NOW())-Table3[[#This Row],[Year]]),20),7-(YEAR(NOW())-Table3[[#This Row],[Year]]))</f>
        <v>0</v>
      </c>
      <c r="Y7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80" spans="1:25" x14ac:dyDescent="0.25">
      <c r="A80" t="s">
        <v>193</v>
      </c>
      <c r="B80" t="s">
        <v>191</v>
      </c>
      <c r="C80">
        <v>197</v>
      </c>
      <c r="D80" t="s">
        <v>41</v>
      </c>
      <c r="E80" s="3">
        <f>IF(Table3[[#This Row],[Color I Want?]],Table3[[#This Row],[Price, Raw]],Table3[[#This Row],[Price, Raw]]+850)</f>
        <v>17838</v>
      </c>
      <c r="F80" s="3">
        <v>16988</v>
      </c>
      <c r="G80" s="5">
        <v>57682</v>
      </c>
      <c r="H80" s="13">
        <f>1-Table3[[#This Row],[Price, Adj]]/MAX(E:E)</f>
        <v>0.14425521707843603</v>
      </c>
      <c r="I80" s="13">
        <f>1-Table3[[#This Row],[Mile-Cost Rating Raw]]/MAX(J:J)</f>
        <v>0.31037463536270915</v>
      </c>
      <c r="J80" s="14">
        <f>IFERROR(Table3[[#This Row],[Price, Adj]]*Table3[[#This Row],[Mileage]],"")</f>
        <v>1028931516</v>
      </c>
      <c r="K80" s="14">
        <f ca="1">1-Table3[[#This Row],[Age-Cost Rating Raw]]/MAX(L:L)</f>
        <v>0.32395455131169038</v>
      </c>
      <c r="L80" s="14">
        <f ca="1">Table3[[#This Row],[Price, Adj]]*(YEAR(NOW())-Table3[[#This Row],[Year]])</f>
        <v>89190</v>
      </c>
      <c r="M80" s="14">
        <f ca="1">Table3[[#This Row],[Warranty-Cost Rating Raw]]/MAX(N:N)</f>
        <v>0</v>
      </c>
      <c r="N80" s="12">
        <f>IF(Table3[[#This Row],[Certified Used?]]&gt;0,MIN(Table3[[#This Row],[Warranty Years Left]],Table3[[#This Row],[Warranty Mileage Years Left]])/Table3[[#This Row],[Price, Adj]],0)</f>
        <v>0</v>
      </c>
      <c r="O80" s="18">
        <f ca="1">Table3[[#This Row],[Mile-Cost Rating Adj]]*2+Table3[[#This Row],[Age-Cost Rating Adj]]*2+Table3[[#This Row],[Warranty-Cost Rating Adj]]*2+Table3[[#This Row],[Cost Rating, Adj]]*6</f>
        <v>2.1341896758194152</v>
      </c>
      <c r="P80" s="14" t="b">
        <f>IFERROR(OR(IFERROR(FIND("Red",Table3[[#This Row],[Color]],1),FALSE),FIND(Table3[[#This Row],[Color]],"Blue",1)),FALSE)</f>
        <v>0</v>
      </c>
      <c r="Q80" t="s">
        <v>8</v>
      </c>
      <c r="R80" s="1">
        <f>IFERROR(IF(FIND("certified",Table3[[#This Row],[Car Type]])&gt;0,1,0),0)</f>
        <v>0</v>
      </c>
      <c r="S80" s="2" t="b">
        <v>0</v>
      </c>
      <c r="T80" s="1" t="str">
        <f>TRIM(SUBSTITUTE(REPLACE(Table3[[#This Row],[Car Type]],1,5,""),"(certified)","",1))</f>
        <v>Toyota Prius</v>
      </c>
      <c r="U80">
        <f>MAX(LEFT(Table3[[#This Row],[Car Type]],4),0)</f>
        <v>2009</v>
      </c>
      <c r="V80" t="s">
        <v>192</v>
      </c>
      <c r="W80">
        <f ca="1">VALUE(YEAR(NOW())-Table3[[#This Row],[Year]])</f>
        <v>5</v>
      </c>
      <c r="X80" s="1">
        <f ca="1">IFERROR(IF(FIND("Fit",Table3[[#This Row],[Model]])&gt;0,6-(YEAR(NOW())-Table3[[#This Row],[Year]]),20),7-(YEAR(NOW())-Table3[[#This Row],[Year]]))</f>
        <v>2</v>
      </c>
      <c r="Y8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81" spans="1:25" x14ac:dyDescent="0.25">
      <c r="A81" t="s">
        <v>156</v>
      </c>
      <c r="B81" t="s">
        <v>62</v>
      </c>
      <c r="C81">
        <v>214</v>
      </c>
      <c r="D81" t="s">
        <v>16</v>
      </c>
      <c r="E81" s="3">
        <f>IF(Table3[[#This Row],[Color I Want?]],Table3[[#This Row],[Price, Raw]],Table3[[#This Row],[Price, Raw]]+850)</f>
        <v>17848</v>
      </c>
      <c r="F81" s="3">
        <v>16998</v>
      </c>
      <c r="G81" s="5">
        <v>46238</v>
      </c>
      <c r="H81" s="13">
        <f>1-Table3[[#This Row],[Price, Adj]]/MAX(E:E)</f>
        <v>0.14377548572799237</v>
      </c>
      <c r="I81" s="13">
        <f>1-Table3[[#This Row],[Mile-Cost Rating Raw]]/MAX(J:J)</f>
        <v>0.44688510392070846</v>
      </c>
      <c r="J81" s="14">
        <f>IFERROR(Table3[[#This Row],[Price, Adj]]*Table3[[#This Row],[Mileage]],"")</f>
        <v>825255824</v>
      </c>
      <c r="K81" s="14">
        <f ca="1">1-Table3[[#This Row],[Age-Cost Rating Raw]]/MAX(L:L)</f>
        <v>0.18829067149754797</v>
      </c>
      <c r="L81" s="14">
        <f ca="1">Table3[[#This Row],[Price, Adj]]*(YEAR(NOW())-Table3[[#This Row],[Year]])</f>
        <v>107088</v>
      </c>
      <c r="M81" s="14">
        <f ca="1">Table3[[#This Row],[Warranty-Cost Rating Raw]]/MAX(N:N)</f>
        <v>0</v>
      </c>
      <c r="N81" s="12">
        <f>IF(Table3[[#This Row],[Certified Used?]]&gt;0,MIN(Table3[[#This Row],[Warranty Years Left]],Table3[[#This Row],[Warranty Mileage Years Left]])/Table3[[#This Row],[Price, Adj]],0)</f>
        <v>0</v>
      </c>
      <c r="O81" s="18">
        <f ca="1">Table3[[#This Row],[Mile-Cost Rating Adj]]*2+Table3[[#This Row],[Age-Cost Rating Adj]]*2+Table3[[#This Row],[Warranty-Cost Rating Adj]]*2+Table3[[#This Row],[Cost Rating, Adj]]*6</f>
        <v>2.1330044652044671</v>
      </c>
      <c r="P81" s="14" t="b">
        <f>IFERROR(OR(IFERROR(FIND("Red",Table3[[#This Row],[Color]],1),FALSE),FIND(Table3[[#This Row],[Color]],"Blue",1)),FALSE)</f>
        <v>0</v>
      </c>
      <c r="Q81" t="s">
        <v>22</v>
      </c>
      <c r="R81" s="1">
        <f>IFERROR(IF(FIND("certified",Table3[[#This Row],[Car Type]])&gt;0,1,0),0)</f>
        <v>0</v>
      </c>
      <c r="S81" s="2" t="b">
        <v>1</v>
      </c>
      <c r="T81" s="1" t="str">
        <f>TRIM(SUBSTITUTE(REPLACE(Table3[[#This Row],[Car Type]],1,5,""),"(certified)","",1))</f>
        <v>Toyota Prius</v>
      </c>
      <c r="U81">
        <f>MAX(LEFT(Table3[[#This Row],[Car Type]],4),0)</f>
        <v>2008</v>
      </c>
      <c r="V81" t="s">
        <v>155</v>
      </c>
      <c r="W81">
        <f ca="1">VALUE(YEAR(NOW())-Table3[[#This Row],[Year]])</f>
        <v>6</v>
      </c>
      <c r="X81" s="1">
        <f ca="1">IFERROR(IF(FIND("Fit",Table3[[#This Row],[Model]])&gt;0,6-(YEAR(NOW())-Table3[[#This Row],[Year]]),20),7-(YEAR(NOW())-Table3[[#This Row],[Year]]))</f>
        <v>1</v>
      </c>
      <c r="Y8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82" spans="1:25" x14ac:dyDescent="0.25">
      <c r="A82" t="s">
        <v>200</v>
      </c>
      <c r="B82" t="s">
        <v>144</v>
      </c>
      <c r="C82">
        <v>34</v>
      </c>
      <c r="D82" t="s">
        <v>41</v>
      </c>
      <c r="E82" s="3">
        <f>IF(Table3[[#This Row],[Color I Want?]],Table3[[#This Row],[Price, Raw]],Table3[[#This Row],[Price, Raw]]+850)</f>
        <v>17838</v>
      </c>
      <c r="F82" s="3">
        <v>16988</v>
      </c>
      <c r="G82" s="5">
        <v>59682</v>
      </c>
      <c r="H82" s="13">
        <f>1-Table3[[#This Row],[Price, Adj]]/MAX(E:E)</f>
        <v>0.14425521707843603</v>
      </c>
      <c r="I82" s="13">
        <f>1-Table3[[#This Row],[Mile-Cost Rating Raw]]/MAX(J:J)</f>
        <v>0.28646335057240047</v>
      </c>
      <c r="J82" s="14">
        <f>IFERROR(Table3[[#This Row],[Price, Adj]]*Table3[[#This Row],[Mileage]],"")</f>
        <v>1064607516</v>
      </c>
      <c r="K82" s="14">
        <f ca="1">1-Table3[[#This Row],[Age-Cost Rating Raw]]/MAX(L:L)</f>
        <v>0.32395455131169038</v>
      </c>
      <c r="L82" s="14">
        <f ca="1">Table3[[#This Row],[Price, Adj]]*(YEAR(NOW())-Table3[[#This Row],[Year]])</f>
        <v>89190</v>
      </c>
      <c r="M82" s="14">
        <f ca="1">Table3[[#This Row],[Warranty-Cost Rating Raw]]/MAX(N:N)</f>
        <v>0</v>
      </c>
      <c r="N82" s="12">
        <f>IF(Table3[[#This Row],[Certified Used?]]&gt;0,MIN(Table3[[#This Row],[Warranty Years Left]],Table3[[#This Row],[Warranty Mileage Years Left]])/Table3[[#This Row],[Price, Adj]],0)</f>
        <v>0</v>
      </c>
      <c r="O82" s="18">
        <f ca="1">Table3[[#This Row],[Mile-Cost Rating Adj]]*2+Table3[[#This Row],[Age-Cost Rating Adj]]*2+Table3[[#This Row],[Warranty-Cost Rating Adj]]*2+Table3[[#This Row],[Cost Rating, Adj]]*6</f>
        <v>2.0863671062387978</v>
      </c>
      <c r="P82" s="14" t="b">
        <f>IFERROR(OR(IFERROR(FIND("Red",Table3[[#This Row],[Color]],1),FALSE),FIND(Table3[[#This Row],[Color]],"Blue",1)),FALSE)</f>
        <v>0</v>
      </c>
      <c r="Q82" t="s">
        <v>145</v>
      </c>
      <c r="R82" s="1">
        <f>IFERROR(IF(FIND("certified",Table3[[#This Row],[Car Type]])&gt;0,1,0),0)</f>
        <v>0</v>
      </c>
      <c r="S82" s="2" t="b">
        <v>0</v>
      </c>
      <c r="T82" s="1" t="str">
        <f>TRIM(SUBSTITUTE(REPLACE(Table3[[#This Row],[Car Type]],1,5,""),"(certified)","",1))</f>
        <v>Toyota Prius</v>
      </c>
      <c r="U82">
        <f>MAX(LEFT(Table3[[#This Row],[Car Type]],4),0)</f>
        <v>2009</v>
      </c>
      <c r="V82" t="s">
        <v>199</v>
      </c>
      <c r="W82">
        <f ca="1">VALUE(YEAR(NOW())-Table3[[#This Row],[Year]])</f>
        <v>5</v>
      </c>
      <c r="X82" s="1">
        <f ca="1">IFERROR(IF(FIND("Fit",Table3[[#This Row],[Model]])&gt;0,6-(YEAR(NOW())-Table3[[#This Row],[Year]]),20),7-(YEAR(NOW())-Table3[[#This Row],[Year]]))</f>
        <v>2</v>
      </c>
      <c r="Y8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83" spans="1:25" x14ac:dyDescent="0.25">
      <c r="A83" t="s">
        <v>195</v>
      </c>
      <c r="B83" t="s">
        <v>113</v>
      </c>
      <c r="C83">
        <v>22</v>
      </c>
      <c r="D83" t="s">
        <v>4</v>
      </c>
      <c r="E83" s="3">
        <f>IF(Table3[[#This Row],[Color I Want?]],Table3[[#This Row],[Price, Raw]],Table3[[#This Row],[Price, Raw]]+850)</f>
        <v>16845</v>
      </c>
      <c r="F83" s="3">
        <v>15995</v>
      </c>
      <c r="G83" s="5">
        <v>57943</v>
      </c>
      <c r="H83" s="13">
        <f>1-Table3[[#This Row],[Price, Adj]]/MAX(E:E)</f>
        <v>0.19189254017750057</v>
      </c>
      <c r="I83" s="13">
        <f>1-Table3[[#This Row],[Mile-Cost Rating Raw]]/MAX(J:J)</f>
        <v>0.34581776056119695</v>
      </c>
      <c r="J83" s="14">
        <f>IFERROR(Table3[[#This Row],[Price, Adj]]*Table3[[#This Row],[Mileage]],"")</f>
        <v>976049835</v>
      </c>
      <c r="K83" s="14">
        <f ca="1">1-Table3[[#This Row],[Age-Cost Rating Raw]]/MAX(L:L)</f>
        <v>0.10622380219663607</v>
      </c>
      <c r="L83" s="14">
        <f ca="1">Table3[[#This Row],[Price, Adj]]*(YEAR(NOW())-Table3[[#This Row],[Year]])</f>
        <v>117915</v>
      </c>
      <c r="M83" s="14">
        <f ca="1">Table3[[#This Row],[Warranty-Cost Rating Raw]]/MAX(N:N)</f>
        <v>0</v>
      </c>
      <c r="N83" s="12">
        <f>IF(Table3[[#This Row],[Certified Used?]]&gt;0,MIN(Table3[[#This Row],[Warranty Years Left]],Table3[[#This Row],[Warranty Mileage Years Left]])/Table3[[#This Row],[Price, Adj]],0)</f>
        <v>0</v>
      </c>
      <c r="O83" s="18">
        <f ca="1">Table3[[#This Row],[Mile-Cost Rating Adj]]*2+Table3[[#This Row],[Age-Cost Rating Adj]]*2+Table3[[#This Row],[Warranty-Cost Rating Adj]]*2+Table3[[#This Row],[Cost Rating, Adj]]*6</f>
        <v>2.0554383665806695</v>
      </c>
      <c r="P83" s="14" t="b">
        <f>IFERROR(OR(IFERROR(FIND("Red",Table3[[#This Row],[Color]],1),FALSE),FIND(Table3[[#This Row],[Color]],"Blue",1)),FALSE)</f>
        <v>0</v>
      </c>
      <c r="Q83" t="s">
        <v>22</v>
      </c>
      <c r="R83" s="1">
        <f>IFERROR(IF(FIND("certified",Table3[[#This Row],[Car Type]])&gt;0,1,0),0)</f>
        <v>0</v>
      </c>
      <c r="S83" s="2" t="b">
        <v>0</v>
      </c>
      <c r="T83" s="1" t="str">
        <f>TRIM(SUBSTITUTE(REPLACE(Table3[[#This Row],[Car Type]],1,5,""),"(certified)","",1))</f>
        <v>Toyota Prius</v>
      </c>
      <c r="U83">
        <f>MAX(LEFT(Table3[[#This Row],[Car Type]],4),0)</f>
        <v>2007</v>
      </c>
      <c r="V83" t="s">
        <v>194</v>
      </c>
      <c r="W83">
        <f ca="1">VALUE(YEAR(NOW())-Table3[[#This Row],[Year]])</f>
        <v>7</v>
      </c>
      <c r="X83" s="1">
        <f ca="1">IFERROR(IF(FIND("Fit",Table3[[#This Row],[Model]])&gt;0,6-(YEAR(NOW())-Table3[[#This Row],[Year]]),20),7-(YEAR(NOW())-Table3[[#This Row],[Year]]))</f>
        <v>0</v>
      </c>
      <c r="Y8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84" spans="1:25" x14ac:dyDescent="0.25">
      <c r="A84" t="s">
        <v>168</v>
      </c>
      <c r="B84" t="s">
        <v>52</v>
      </c>
      <c r="C84">
        <v>181</v>
      </c>
      <c r="D84" t="s">
        <v>37</v>
      </c>
      <c r="E84" s="3">
        <f>IF(Table3[[#This Row],[Color I Want?]],Table3[[#This Row],[Price, Raw]],Table3[[#This Row],[Price, Raw]]+850)</f>
        <v>16844</v>
      </c>
      <c r="F84" s="3">
        <v>15994</v>
      </c>
      <c r="G84" s="5">
        <v>57994</v>
      </c>
      <c r="H84" s="13">
        <f>1-Table3[[#This Row],[Price, Adj]]/MAX(E:E)</f>
        <v>0.19194051331254502</v>
      </c>
      <c r="I84" s="13">
        <f>1-Table3[[#This Row],[Mile-Cost Rating Raw]]/MAX(J:J)</f>
        <v>0.34528083506066998</v>
      </c>
      <c r="J84" s="14">
        <f>IFERROR(Table3[[#This Row],[Price, Adj]]*Table3[[#This Row],[Mileage]],"")</f>
        <v>976850936</v>
      </c>
      <c r="K84" s="14">
        <f ca="1">1-Table3[[#This Row],[Age-Cost Rating Raw]]/MAX(L:L)</f>
        <v>0.10627686103889211</v>
      </c>
      <c r="L84" s="14">
        <f ca="1">Table3[[#This Row],[Price, Adj]]*(YEAR(NOW())-Table3[[#This Row],[Year]])</f>
        <v>117908</v>
      </c>
      <c r="M84" s="14">
        <f ca="1">Table3[[#This Row],[Warranty-Cost Rating Raw]]/MAX(N:N)</f>
        <v>0</v>
      </c>
      <c r="N84" s="10">
        <f ca="1">IF(Table3[[#This Row],[Certified Used?]]&gt;0,MIN(Table3[[#This Row],[Warranty Years Left]],Table3[[#This Row],[Warranty Mileage Years Left]])/Table3[[#This Row],[Price, Adj]],0)</f>
        <v>0</v>
      </c>
      <c r="O84" s="18">
        <f ca="1">Table3[[#This Row],[Mile-Cost Rating Adj]]*2+Table3[[#This Row],[Age-Cost Rating Adj]]*2+Table3[[#This Row],[Warranty-Cost Rating Adj]]*2+Table3[[#This Row],[Cost Rating, Adj]]*6</f>
        <v>2.0547584720743943</v>
      </c>
      <c r="P84" s="14" t="b">
        <f>IFERROR(OR(IFERROR(FIND("Red",Table3[[#This Row],[Color]],1),FALSE),FIND(Table3[[#This Row],[Color]],"Blue",1)),FALSE)</f>
        <v>0</v>
      </c>
      <c r="Q84" t="s">
        <v>145</v>
      </c>
      <c r="R84" s="1">
        <f>IFERROR(IF(FIND("certified",Table3[[#This Row],[Car Type]])&gt;0,1,0),0)</f>
        <v>1</v>
      </c>
      <c r="S84" s="2" t="b">
        <v>0</v>
      </c>
      <c r="T84" s="1" t="str">
        <f>TRIM(SUBSTITUTE(REPLACE(Table3[[#This Row],[Car Type]],1,5,""),"(certified)","",1))</f>
        <v>Toyota Prius</v>
      </c>
      <c r="U84">
        <f>MAX(LEFT(Table3[[#This Row],[Car Type]],4),0)</f>
        <v>2007</v>
      </c>
      <c r="V84" t="s">
        <v>167</v>
      </c>
      <c r="W84">
        <f ca="1">VALUE(YEAR(NOW())-Table3[[#This Row],[Year]])</f>
        <v>7</v>
      </c>
      <c r="X84" s="1">
        <f ca="1">IFERROR(IF(FIND("Fit",Table3[[#This Row],[Model]])&gt;0,6-(YEAR(NOW())-Table3[[#This Row],[Year]]),20),7-(YEAR(NOW())-Table3[[#This Row],[Year]]))</f>
        <v>0</v>
      </c>
      <c r="Y8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6</v>
      </c>
    </row>
    <row r="85" spans="1:25" x14ac:dyDescent="0.25">
      <c r="A85" t="s">
        <v>184</v>
      </c>
      <c r="B85" t="s">
        <v>182</v>
      </c>
      <c r="C85">
        <v>185</v>
      </c>
      <c r="D85" t="s">
        <v>16</v>
      </c>
      <c r="E85" s="3">
        <f>IF(Table3[[#This Row],[Color I Want?]],Table3[[#This Row],[Price, Raw]],Table3[[#This Row],[Price, Raw]]+850)</f>
        <v>17988</v>
      </c>
      <c r="F85" s="3">
        <v>17988</v>
      </c>
      <c r="G85" s="5">
        <v>49997</v>
      </c>
      <c r="H85" s="13">
        <f>1-Table3[[#This Row],[Price, Adj]]/MAX(E:E)</f>
        <v>0.13705924682177983</v>
      </c>
      <c r="I85" s="13">
        <f>1-Table3[[#This Row],[Mile-Cost Rating Raw]]/MAX(J:J)</f>
        <v>0.39722729028391224</v>
      </c>
      <c r="J85" s="14">
        <f>IFERROR(Table3[[#This Row],[Price, Adj]]*Table3[[#This Row],[Mileage]],"")</f>
        <v>899346036</v>
      </c>
      <c r="K85" s="14">
        <f ca="1">1-Table3[[#This Row],[Age-Cost Rating Raw]]/MAX(L:L)</f>
        <v>0.18192361042682048</v>
      </c>
      <c r="L85" s="14">
        <f ca="1">Table3[[#This Row],[Price, Adj]]*(YEAR(NOW())-Table3[[#This Row],[Year]])</f>
        <v>107928</v>
      </c>
      <c r="M85" s="14">
        <f ca="1">Table3[[#This Row],[Warranty-Cost Rating Raw]]/MAX(N:N)</f>
        <v>0</v>
      </c>
      <c r="N85" s="12">
        <f>IF(Table3[[#This Row],[Certified Used?]]&gt;0,MIN(Table3[[#This Row],[Warranty Years Left]],Table3[[#This Row],[Warranty Mileage Years Left]])/Table3[[#This Row],[Price, Adj]],0)</f>
        <v>0</v>
      </c>
      <c r="O85" s="18">
        <f ca="1">Table3[[#This Row],[Mile-Cost Rating Adj]]*2+Table3[[#This Row],[Age-Cost Rating Adj]]*2+Table3[[#This Row],[Warranty-Cost Rating Adj]]*2+Table3[[#This Row],[Cost Rating, Adj]]*6</f>
        <v>1.9806572823521444</v>
      </c>
      <c r="P85" s="14" t="b">
        <f>IFERROR(OR(IFERROR(FIND("Red",Table3[[#This Row],[Color]],1),FALSE),FIND(Table3[[#This Row],[Color]],"Blue",1)),FALSE)</f>
        <v>1</v>
      </c>
      <c r="Q85" t="s">
        <v>13</v>
      </c>
      <c r="R85" s="1">
        <f>IFERROR(IF(FIND("certified",Table3[[#This Row],[Car Type]])&gt;0,1,0),0)</f>
        <v>0</v>
      </c>
      <c r="S85" s="2" t="b">
        <v>0</v>
      </c>
      <c r="T85" s="1" t="str">
        <f>TRIM(SUBSTITUTE(REPLACE(Table3[[#This Row],[Car Type]],1,5,""),"(certified)","",1))</f>
        <v>Toyota Prius</v>
      </c>
      <c r="U85">
        <f>MAX(LEFT(Table3[[#This Row],[Car Type]],4),0)</f>
        <v>2008</v>
      </c>
      <c r="V85" t="s">
        <v>183</v>
      </c>
      <c r="W85">
        <f ca="1">VALUE(YEAR(NOW())-Table3[[#This Row],[Year]])</f>
        <v>6</v>
      </c>
      <c r="X85" s="1">
        <f ca="1">IFERROR(IF(FIND("Fit",Table3[[#This Row],[Model]])&gt;0,6-(YEAR(NOW())-Table3[[#This Row],[Year]]),20),7-(YEAR(NOW())-Table3[[#This Row],[Year]]))</f>
        <v>1</v>
      </c>
      <c r="Y85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86" spans="1:25" x14ac:dyDescent="0.25">
      <c r="A86" t="s">
        <v>152</v>
      </c>
      <c r="B86" t="s">
        <v>30</v>
      </c>
      <c r="C86">
        <v>31</v>
      </c>
      <c r="D86" t="s">
        <v>40</v>
      </c>
      <c r="E86" s="3">
        <f>IF(Table3[[#This Row],[Color I Want?]],Table3[[#This Row],[Price, Raw]],Table3[[#This Row],[Price, Raw]]+850)</f>
        <v>19848</v>
      </c>
      <c r="F86" s="3">
        <v>18998</v>
      </c>
      <c r="G86" s="5">
        <v>42997</v>
      </c>
      <c r="H86" s="13">
        <f>1-Table3[[#This Row],[Price, Adj]]/MAX(E:E)</f>
        <v>4.7829215639242029E-2</v>
      </c>
      <c r="I86" s="13">
        <f>1-Table3[[#This Row],[Mile-Cost Rating Raw]]/MAX(J:J)</f>
        <v>0.42801892059831814</v>
      </c>
      <c r="J86" s="13">
        <f>IFERROR(Table3[[#This Row],[Price, Adj]]*Table3[[#This Row],[Mileage]],"")</f>
        <v>853404456</v>
      </c>
      <c r="K86" s="13">
        <f ca="1">1-Table3[[#This Row],[Age-Cost Rating Raw]]/MAX(L:L)</f>
        <v>9.7332656201441714E-2</v>
      </c>
      <c r="L86" s="13">
        <f ca="1">Table3[[#This Row],[Price, Adj]]*(YEAR(NOW())-Table3[[#This Row],[Year]])</f>
        <v>119088</v>
      </c>
      <c r="M86" s="13">
        <f ca="1">Table3[[#This Row],[Warranty-Cost Rating Raw]]/MAX(N:N)</f>
        <v>0.28288324600295578</v>
      </c>
      <c r="N86" s="9">
        <f ca="1">IF(Table3[[#This Row],[Certified Used?]]&gt;0,MIN(Table3[[#This Row],[Warranty Years Left]],Table3[[#This Row],[Warranty Mileage Years Left]])/Table3[[#This Row],[Price, Adj]],0)</f>
        <v>5.0382910116888354E-5</v>
      </c>
      <c r="O86" s="4">
        <f ca="1">Table3[[#This Row],[Mile-Cost Rating Adj]]*2+Table3[[#This Row],[Age-Cost Rating Adj]]*2+Table3[[#This Row],[Warranty-Cost Rating Adj]]*2+Table3[[#This Row],[Cost Rating, Adj]]*6</f>
        <v>1.9034449394408834</v>
      </c>
      <c r="P86" s="13" t="b">
        <f>IFERROR(OR(IFERROR(FIND("Red",Table3[[#This Row],[Color]],1),FALSE),FIND(Table3[[#This Row],[Color]],"Blue",1)),FALSE)</f>
        <v>0</v>
      </c>
      <c r="Q86" t="s">
        <v>145</v>
      </c>
      <c r="R86" s="1">
        <f>IFERROR(IF(FIND("certified",Table3[[#This Row],[Car Type]])&gt;0,1,0),0)</f>
        <v>1</v>
      </c>
      <c r="S86" t="b">
        <v>0</v>
      </c>
      <c r="T86" s="1" t="str">
        <f>TRIM(SUBSTITUTE(REPLACE(Table3[[#This Row],[Car Type]],1,5,""),"(certified)","",1))</f>
        <v>Toyota Prius</v>
      </c>
      <c r="U86">
        <f>MAX(LEFT(Table3[[#This Row],[Car Type]],4),0)</f>
        <v>2008</v>
      </c>
      <c r="V86" s="8" t="s">
        <v>153</v>
      </c>
      <c r="W86" s="8">
        <f ca="1">VALUE(YEAR(NOW())-Table3[[#This Row],[Year]])</f>
        <v>6</v>
      </c>
      <c r="X86" s="1">
        <f ca="1">IFERROR(IF(FIND("Fit",Table3[[#This Row],[Model]])&gt;0,6-(YEAR(NOW())-Table3[[#This Row],[Year]]),20),7-(YEAR(NOW())-Table3[[#This Row],[Year]]))</f>
        <v>1</v>
      </c>
      <c r="Y8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87" spans="1:25" x14ac:dyDescent="0.25">
      <c r="A87" t="s">
        <v>237</v>
      </c>
      <c r="B87" t="s">
        <v>33</v>
      </c>
      <c r="C87">
        <v>80</v>
      </c>
      <c r="D87" t="s">
        <v>40</v>
      </c>
      <c r="E87" s="3">
        <f>IF(Table3[[#This Row],[Color I Want?]],Table3[[#This Row],[Price, Raw]],Table3[[#This Row],[Price, Raw]]+850)</f>
        <v>19451</v>
      </c>
      <c r="F87" s="3">
        <v>18601</v>
      </c>
      <c r="G87" s="5">
        <v>52444</v>
      </c>
      <c r="H87" s="13">
        <f>1-Table3[[#This Row],[Price, Adj]]/MAX(E:E)</f>
        <v>6.6874550251858955E-2</v>
      </c>
      <c r="I87" s="14">
        <f>1-Table3[[#This Row],[Mile-Cost Rating Raw]]/MAX(J:J)</f>
        <v>0.31630170104468469</v>
      </c>
      <c r="J87" s="14">
        <f>IFERROR(Table3[[#This Row],[Price, Adj]]*Table3[[#This Row],[Mileage]],"")</f>
        <v>1020088244</v>
      </c>
      <c r="K87" s="14">
        <f ca="1">1-Table3[[#This Row],[Age-Cost Rating Raw]]/MAX(L:L)</f>
        <v>0.11538782223771882</v>
      </c>
      <c r="L87" s="14">
        <f ca="1">Table3[[#This Row],[Price, Adj]]*(YEAR(NOW())-Table3[[#This Row],[Year]])</f>
        <v>116706</v>
      </c>
      <c r="M87" s="14">
        <f ca="1">Table3[[#This Row],[Warranty-Cost Rating Raw]]/MAX(N:N)</f>
        <v>0.28865696707967026</v>
      </c>
      <c r="N87" s="10">
        <f ca="1">IF(Table3[[#This Row],[Certified Used?]]&gt;0,MIN(Table3[[#This Row],[Warranty Years Left]],Table3[[#This Row],[Warranty Mileage Years Left]])/Table3[[#This Row],[Price, Adj]],0)</f>
        <v>5.1411238496735388E-5</v>
      </c>
      <c r="O87" s="18">
        <f ca="1">Table3[[#This Row],[Mile-Cost Rating Adj]]*2+Table3[[#This Row],[Age-Cost Rating Adj]]*2+Table3[[#This Row],[Warranty-Cost Rating Adj]]*2+Table3[[#This Row],[Cost Rating, Adj]]*6</f>
        <v>1.8419402822353013</v>
      </c>
      <c r="P87" s="14" t="b">
        <f>IFERROR(OR(IFERROR(FIND("Red",Table3[[#This Row],[Color]],1),FALSE),FIND(Table3[[#This Row],[Color]],"Blue",1)),FALSE)</f>
        <v>0</v>
      </c>
      <c r="Q87" t="s">
        <v>10</v>
      </c>
      <c r="R87" s="1">
        <f>IFERROR(IF(FIND("certified",Table3[[#This Row],[Car Type]])&gt;0,1,0),0)</f>
        <v>1</v>
      </c>
      <c r="S87" s="17" t="b">
        <v>0</v>
      </c>
      <c r="T87" s="1" t="str">
        <f>TRIM(SUBSTITUTE(REPLACE(Table3[[#This Row],[Car Type]],1,5,""),"(certified)","",1))</f>
        <v>Toyota Prius</v>
      </c>
      <c r="U87" s="1">
        <f>MAX(LEFT(Table3[[#This Row],[Car Type]],4),0)</f>
        <v>2008</v>
      </c>
      <c r="V87" t="s">
        <v>238</v>
      </c>
      <c r="W87">
        <f ca="1">VALUE(YEAR(NOW())-Table3[[#This Row],[Year]])</f>
        <v>6</v>
      </c>
      <c r="X87" s="1">
        <f ca="1">IFERROR(IF(FIND("Fit",Table3[[#This Row],[Model]])&gt;0,6-(YEAR(NOW())-Table3[[#This Row],[Year]]),20),7-(YEAR(NOW())-Table3[[#This Row],[Year]]))</f>
        <v>1</v>
      </c>
      <c r="Y87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88" spans="1:25" x14ac:dyDescent="0.25">
      <c r="A88" t="s">
        <v>186</v>
      </c>
      <c r="B88" t="s">
        <v>75</v>
      </c>
      <c r="C88">
        <v>219</v>
      </c>
      <c r="D88" t="s">
        <v>41</v>
      </c>
      <c r="E88" s="3">
        <f>IF(Table3[[#This Row],[Color I Want?]],Table3[[#This Row],[Price, Raw]],Table3[[#This Row],[Price, Raw]]+850)</f>
        <v>18845</v>
      </c>
      <c r="F88" s="3">
        <v>17995</v>
      </c>
      <c r="G88" s="5">
        <v>53000</v>
      </c>
      <c r="H88" s="13">
        <f>1-Table3[[#This Row],[Price, Adj]]/MAX(E:E)</f>
        <v>9.5946270088750341E-2</v>
      </c>
      <c r="I88" s="13">
        <f>1-Table3[[#This Row],[Mile-Cost Rating Raw]]/MAX(J:J)</f>
        <v>0.33057986939992168</v>
      </c>
      <c r="J88" s="14">
        <f>IFERROR(Table3[[#This Row],[Price, Adj]]*Table3[[#This Row],[Mileage]],"")</f>
        <v>998785000</v>
      </c>
      <c r="K88" s="14">
        <f ca="1">1-Table3[[#This Row],[Age-Cost Rating Raw]]/MAX(L:L)</f>
        <v>0.28579008406036577</v>
      </c>
      <c r="L88" s="14">
        <f ca="1">Table3[[#This Row],[Price, Adj]]*(YEAR(NOW())-Table3[[#This Row],[Year]])</f>
        <v>94225</v>
      </c>
      <c r="M88" s="14">
        <f ca="1">Table3[[#This Row],[Warranty-Cost Rating Raw]]/MAX(N:N)</f>
        <v>0</v>
      </c>
      <c r="N88" s="12">
        <f>IF(Table3[[#This Row],[Certified Used?]]&gt;0,MIN(Table3[[#This Row],[Warranty Years Left]],Table3[[#This Row],[Warranty Mileage Years Left]])/Table3[[#This Row],[Price, Adj]],0)</f>
        <v>0</v>
      </c>
      <c r="O88" s="18">
        <f ca="1">Table3[[#This Row],[Mile-Cost Rating Adj]]*2+Table3[[#This Row],[Age-Cost Rating Adj]]*2+Table3[[#This Row],[Warranty-Cost Rating Adj]]*2+Table3[[#This Row],[Cost Rating, Adj]]*6</f>
        <v>1.8084175274530769</v>
      </c>
      <c r="P88" s="14" t="b">
        <f>IFERROR(OR(IFERROR(FIND("Red",Table3[[#This Row],[Color]],1),FALSE),FIND(Table3[[#This Row],[Color]],"Blue",1)),FALSE)</f>
        <v>0</v>
      </c>
      <c r="Q88" t="s">
        <v>7</v>
      </c>
      <c r="R88" s="1">
        <f>IFERROR(IF(FIND("certified",Table3[[#This Row],[Car Type]])&gt;0,1,0),0)</f>
        <v>0</v>
      </c>
      <c r="S88" s="2" t="b">
        <v>0</v>
      </c>
      <c r="T88" s="1" t="str">
        <f>TRIM(SUBSTITUTE(REPLACE(Table3[[#This Row],[Car Type]],1,5,""),"(certified)","",1))</f>
        <v>Toyota Prius</v>
      </c>
      <c r="U88">
        <f>MAX(LEFT(Table3[[#This Row],[Car Type]],4),0)</f>
        <v>2009</v>
      </c>
      <c r="V88" t="s">
        <v>185</v>
      </c>
      <c r="W88">
        <f ca="1">VALUE(YEAR(NOW())-Table3[[#This Row],[Year]])</f>
        <v>5</v>
      </c>
      <c r="X88" s="1">
        <f ca="1">IFERROR(IF(FIND("Fit",Table3[[#This Row],[Model]])&gt;0,6-(YEAR(NOW())-Table3[[#This Row],[Year]]),20),7-(YEAR(NOW())-Table3[[#This Row],[Year]]))</f>
        <v>2</v>
      </c>
      <c r="Y8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89" spans="1:25" x14ac:dyDescent="0.25">
      <c r="A89" t="s">
        <v>150</v>
      </c>
      <c r="B89" t="s">
        <v>59</v>
      </c>
      <c r="C89">
        <v>10</v>
      </c>
      <c r="D89" t="s">
        <v>37</v>
      </c>
      <c r="E89" s="3">
        <f>IF(Table3[[#This Row],[Color I Want?]],Table3[[#This Row],[Price, Raw]],Table3[[#This Row],[Price, Raw]]+850)</f>
        <v>18845</v>
      </c>
      <c r="F89" s="3">
        <v>17995</v>
      </c>
      <c r="G89" s="5">
        <v>31279</v>
      </c>
      <c r="H89" s="13">
        <f>1-Table3[[#This Row],[Price, Adj]]/MAX(E:E)</f>
        <v>9.5946270088750341E-2</v>
      </c>
      <c r="I89" s="13">
        <f>1-Table3[[#This Row],[Mile-Cost Rating Raw]]/MAX(J:J)</f>
        <v>0.60492844782943678</v>
      </c>
      <c r="J89" s="13">
        <f>IFERROR(Table3[[#This Row],[Price, Adj]]*Table3[[#This Row],[Mileage]],"")</f>
        <v>589452755</v>
      </c>
      <c r="K89" s="13">
        <f ca="1">1-Table3[[#This Row],[Age-Cost Rating Raw]]/MAX(L:L)</f>
        <v>1.0611768451207482E-4</v>
      </c>
      <c r="L89" s="13">
        <f ca="1">Table3[[#This Row],[Price, Adj]]*(YEAR(NOW())-Table3[[#This Row],[Year]])</f>
        <v>131915</v>
      </c>
      <c r="M89" s="13">
        <f ca="1">Table3[[#This Row],[Warranty-Cost Rating Raw]]/MAX(N:N)</f>
        <v>0</v>
      </c>
      <c r="N89" s="9">
        <f ca="1">IF(Table3[[#This Row],[Certified Used?]]&gt;0,MIN(Table3[[#This Row],[Warranty Years Left]],Table3[[#This Row],[Warranty Mileage Years Left]])/Table3[[#This Row],[Price, Adj]],0)</f>
        <v>0</v>
      </c>
      <c r="O89" s="4">
        <f ca="1">Table3[[#This Row],[Mile-Cost Rating Adj]]*2+Table3[[#This Row],[Age-Cost Rating Adj]]*2+Table3[[#This Row],[Warranty-Cost Rating Adj]]*2+Table3[[#This Row],[Cost Rating, Adj]]*6</f>
        <v>1.7857467515603997</v>
      </c>
      <c r="P89" s="13" t="b">
        <f>IFERROR(OR(IFERROR(FIND("Red",Table3[[#This Row],[Color]],1),FALSE),FIND(Table3[[#This Row],[Color]],"Blue",1)),FALSE)</f>
        <v>0</v>
      </c>
      <c r="Q89" t="s">
        <v>8</v>
      </c>
      <c r="R89" s="1">
        <f>IFERROR(IF(FIND("certified",Table3[[#This Row],[Car Type]])&gt;0,1,0),0)</f>
        <v>1</v>
      </c>
      <c r="S89" t="b">
        <v>0</v>
      </c>
      <c r="T89" s="1" t="str">
        <f>TRIM(SUBSTITUTE(REPLACE(Table3[[#This Row],[Car Type]],1,5,""),"(certified)","",1))</f>
        <v>Toyota Prius</v>
      </c>
      <c r="U89">
        <f>MAX(LEFT(Table3[[#This Row],[Car Type]],4),0)</f>
        <v>2007</v>
      </c>
      <c r="V89" s="8" t="s">
        <v>151</v>
      </c>
      <c r="W89" s="8">
        <f ca="1">VALUE(YEAR(NOW())-Table3[[#This Row],[Year]])</f>
        <v>7</v>
      </c>
      <c r="X89" s="1">
        <f ca="1">IFERROR(IF(FIND("Fit",Table3[[#This Row],[Model]])&gt;0,6-(YEAR(NOW())-Table3[[#This Row],[Year]]),20),7-(YEAR(NOW())-Table3[[#This Row],[Year]]))</f>
        <v>0</v>
      </c>
      <c r="Y8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0" spans="1:25" x14ac:dyDescent="0.25">
      <c r="A90" t="s">
        <v>236</v>
      </c>
      <c r="B90" t="s">
        <v>51</v>
      </c>
      <c r="C90">
        <v>60</v>
      </c>
      <c r="D90" t="s">
        <v>37</v>
      </c>
      <c r="E90" s="3">
        <f>IF(Table3[[#This Row],[Color I Want?]],Table3[[#This Row],[Price, Raw]],Table3[[#This Row],[Price, Raw]]+850)</f>
        <v>18338</v>
      </c>
      <c r="F90" s="3">
        <v>17488</v>
      </c>
      <c r="G90" s="5">
        <v>42049</v>
      </c>
      <c r="H90" s="13">
        <f>1-Table3[[#This Row],[Price, Adj]]/MAX(E:E)</f>
        <v>0.1202686495562485</v>
      </c>
      <c r="I90" s="14">
        <f>1-Table3[[#This Row],[Mile-Cost Rating Raw]]/MAX(J:J)</f>
        <v>0.48318584840676404</v>
      </c>
      <c r="J90" s="14">
        <f>IFERROR(Table3[[#This Row],[Price, Adj]]*Table3[[#This Row],[Mileage]],"")</f>
        <v>771094562</v>
      </c>
      <c r="K90" s="14">
        <f ca="1">1-Table3[[#This Row],[Age-Cost Rating Raw]]/MAX(L:L)</f>
        <v>2.7006950708335586E-2</v>
      </c>
      <c r="L90" s="14">
        <f ca="1">Table3[[#This Row],[Price, Adj]]*(YEAR(NOW())-Table3[[#This Row],[Year]])</f>
        <v>128366</v>
      </c>
      <c r="M90" s="14">
        <f ca="1">Table3[[#This Row],[Warranty-Cost Rating Raw]]/MAX(N:N)</f>
        <v>0</v>
      </c>
      <c r="N90" s="10">
        <f ca="1">IF(Table3[[#This Row],[Certified Used?]]&gt;0,MIN(Table3[[#This Row],[Warranty Years Left]],Table3[[#This Row],[Warranty Mileage Years Left]])/Table3[[#This Row],[Price, Adj]],0)</f>
        <v>0</v>
      </c>
      <c r="O90" s="18">
        <f ca="1">Table3[[#This Row],[Mile-Cost Rating Adj]]*2+Table3[[#This Row],[Age-Cost Rating Adj]]*2+Table3[[#This Row],[Warranty-Cost Rating Adj]]*2+Table3[[#This Row],[Cost Rating, Adj]]*6</f>
        <v>1.7419974955676902</v>
      </c>
      <c r="P90" s="14" t="b">
        <f>IFERROR(OR(IFERROR(FIND("Red",Table3[[#This Row],[Color]],1),FALSE),FIND(Table3[[#This Row],[Color]],"Blue",1)),FALSE)</f>
        <v>0</v>
      </c>
      <c r="Q90" t="s">
        <v>10</v>
      </c>
      <c r="R90" s="1">
        <f>IFERROR(IF(FIND("certified",Table3[[#This Row],[Car Type]])&gt;0,1,0),0)</f>
        <v>1</v>
      </c>
      <c r="S90" s="17" t="b">
        <v>0</v>
      </c>
      <c r="T90" s="1" t="str">
        <f>TRIM(SUBSTITUTE(REPLACE(Table3[[#This Row],[Car Type]],1,5,""),"(certified)","",1))</f>
        <v>Toyota Prius</v>
      </c>
      <c r="U90" s="1">
        <f>MAX(LEFT(Table3[[#This Row],[Car Type]],4),0)</f>
        <v>2007</v>
      </c>
      <c r="V90" t="s">
        <v>238</v>
      </c>
      <c r="W90">
        <f ca="1">VALUE(YEAR(NOW())-Table3[[#This Row],[Year]])</f>
        <v>7</v>
      </c>
      <c r="X90" s="1">
        <f ca="1">IFERROR(IF(FIND("Fit",Table3[[#This Row],[Model]])&gt;0,6-(YEAR(NOW())-Table3[[#This Row],[Year]]),20),7-(YEAR(NOW())-Table3[[#This Row],[Year]]))</f>
        <v>0</v>
      </c>
      <c r="Y9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1" spans="1:25" x14ac:dyDescent="0.25">
      <c r="A91" t="s">
        <v>159</v>
      </c>
      <c r="B91" t="s">
        <v>134</v>
      </c>
      <c r="C91">
        <v>142</v>
      </c>
      <c r="D91" t="s">
        <v>16</v>
      </c>
      <c r="E91" s="3">
        <f>IF(Table3[[#This Row],[Color I Want?]],Table3[[#This Row],[Price, Raw]],Table3[[#This Row],[Price, Raw]]+850)</f>
        <v>18349</v>
      </c>
      <c r="F91" s="3">
        <v>17499</v>
      </c>
      <c r="G91" s="5">
        <v>53532</v>
      </c>
      <c r="H91" s="13">
        <f>1-Table3[[#This Row],[Price, Adj]]/MAX(E:E)</f>
        <v>0.11974094507076039</v>
      </c>
      <c r="I91" s="13">
        <f>1-Table3[[#This Row],[Mile-Cost Rating Raw]]/MAX(J:J)</f>
        <v>0.3416563866942145</v>
      </c>
      <c r="J91" s="14">
        <f>IFERROR(Table3[[#This Row],[Price, Adj]]*Table3[[#This Row],[Mileage]],"")</f>
        <v>982258668</v>
      </c>
      <c r="K91" s="14">
        <f ca="1">1-Table3[[#This Row],[Age-Cost Rating Raw]]/MAX(L:L)</f>
        <v>0.16550568866587334</v>
      </c>
      <c r="L91" s="14">
        <f ca="1">Table3[[#This Row],[Price, Adj]]*(YEAR(NOW())-Table3[[#This Row],[Year]])</f>
        <v>110094</v>
      </c>
      <c r="M91" s="14">
        <f ca="1">Table3[[#This Row],[Warranty-Cost Rating Raw]]/MAX(N:N)</f>
        <v>0</v>
      </c>
      <c r="N91" s="12">
        <f>IF(Table3[[#This Row],[Certified Used?]]&gt;0,MIN(Table3[[#This Row],[Warranty Years Left]],Table3[[#This Row],[Warranty Mileage Years Left]])/Table3[[#This Row],[Price, Adj]],0)</f>
        <v>0</v>
      </c>
      <c r="O91" s="18">
        <f ca="1">Table3[[#This Row],[Mile-Cost Rating Adj]]*2+Table3[[#This Row],[Age-Cost Rating Adj]]*2+Table3[[#This Row],[Warranty-Cost Rating Adj]]*2+Table3[[#This Row],[Cost Rating, Adj]]*6</f>
        <v>1.732769821144738</v>
      </c>
      <c r="P91" s="14" t="b">
        <f>IFERROR(OR(IFERROR(FIND("Red",Table3[[#This Row],[Color]],1),FALSE),FIND(Table3[[#This Row],[Color]],"Blue",1)),FALSE)</f>
        <v>0</v>
      </c>
      <c r="Q91" t="s">
        <v>45</v>
      </c>
      <c r="R91" s="1">
        <f>IFERROR(IF(FIND("certified",Table3[[#This Row],[Car Type]])&gt;0,1,0),0)</f>
        <v>0</v>
      </c>
      <c r="S91" t="b">
        <v>0</v>
      </c>
      <c r="T91" s="1" t="str">
        <f>TRIM(SUBSTITUTE(REPLACE(Table3[[#This Row],[Car Type]],1,5,""),"(certified)","",1))</f>
        <v>Toyota Prius</v>
      </c>
      <c r="U91">
        <f>MAX(LEFT(Table3[[#This Row],[Car Type]],4),0)</f>
        <v>2008</v>
      </c>
      <c r="V91" t="s">
        <v>160</v>
      </c>
      <c r="W91">
        <f ca="1">VALUE(YEAR(NOW())-Table3[[#This Row],[Year]])</f>
        <v>6</v>
      </c>
      <c r="X91" s="1">
        <f ca="1">IFERROR(IF(FIND("Fit",Table3[[#This Row],[Model]])&gt;0,6-(YEAR(NOW())-Table3[[#This Row],[Year]]),20),7-(YEAR(NOW())-Table3[[#This Row],[Year]]))</f>
        <v>1</v>
      </c>
      <c r="Y9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92" spans="1:25" x14ac:dyDescent="0.25">
      <c r="A92" t="s">
        <v>284</v>
      </c>
      <c r="B92" t="s">
        <v>285</v>
      </c>
      <c r="C92">
        <v>78</v>
      </c>
      <c r="D92" t="s">
        <v>55</v>
      </c>
      <c r="E92" s="3">
        <f>IF(Table3[[#This Row],[Color I Want?]],Table3[[#This Row],[Price, Raw]],Table3[[#This Row],[Price, Raw]]+850)</f>
        <v>20725</v>
      </c>
      <c r="F92" s="3">
        <v>19875</v>
      </c>
      <c r="G92" s="5">
        <v>38368</v>
      </c>
      <c r="H92" s="13">
        <f>1-Table3[[#This Row],[Price, Adj]]/MAX(E:E)</f>
        <v>5.7567762053249982E-3</v>
      </c>
      <c r="I92" s="13">
        <f>1-Table3[[#This Row],[Mile-Cost Rating Raw]]/MAX(J:J)</f>
        <v>0.46704510249337705</v>
      </c>
      <c r="J92" s="13">
        <f>IFERROR(Table3[[#This Row],[Price, Adj]]*Table3[[#This Row],[Mileage]],"")</f>
        <v>795176800</v>
      </c>
      <c r="K92" s="13">
        <f ca="1">1-Table3[[#This Row],[Age-Cost Rating Raw]]/MAX(L:L)</f>
        <v>0.37163171099606607</v>
      </c>
      <c r="L92" s="13">
        <f ca="1">Table3[[#This Row],[Price, Adj]]*(YEAR(NOW())-Table3[[#This Row],[Year]])</f>
        <v>82900</v>
      </c>
      <c r="M92" s="13">
        <f ca="1">Table3[[#This Row],[Warranty-Cost Rating Raw]]/MAX(N:N)</f>
        <v>0</v>
      </c>
      <c r="N92" s="9">
        <f>IF(Table3[[#This Row],[Certified Used?]]&gt;0,MIN(Table3[[#This Row],[Warranty Years Left]],Table3[[#This Row],[Warranty Mileage Years Left]])/Table3[[#This Row],[Price, Adj]],0)</f>
        <v>0</v>
      </c>
      <c r="O92" s="4">
        <f ca="1">Table3[[#This Row],[Mile-Cost Rating Adj]]*2+Table3[[#This Row],[Age-Cost Rating Adj]]*2+Table3[[#This Row],[Warranty-Cost Rating Adj]]*2+Table3[[#This Row],[Cost Rating, Adj]]*6</f>
        <v>1.7118942842108362</v>
      </c>
      <c r="P92" s="13" t="b">
        <f>IFERROR(OR(IFERROR(FIND("Red",Table3[[#This Row],[Color]],1),FALSE),FIND(Table3[[#This Row],[Color]],"Blue",1)),FALSE)</f>
        <v>0</v>
      </c>
      <c r="Q92" t="s">
        <v>8</v>
      </c>
      <c r="R92" s="1">
        <f>IFERROR(IF(FIND("certified",Table3[[#This Row],[Car Type]])&gt;0,1,0),0)</f>
        <v>0</v>
      </c>
      <c r="S92" s="17" t="b">
        <v>0</v>
      </c>
      <c r="T92" s="1" t="str">
        <f>TRIM(SUBSTITUTE(REPLACE(Table3[[#This Row],[Car Type]],1,5,""),"(certified)","",1))</f>
        <v>Toyota Prius</v>
      </c>
      <c r="U92" s="1">
        <f>MAX(LEFT(Table3[[#This Row],[Car Type]],4),0)</f>
        <v>2010</v>
      </c>
      <c r="V92" s="8" t="s">
        <v>286</v>
      </c>
      <c r="W92" s="8">
        <f ca="1">VALUE(YEAR(NOW())-Table3[[#This Row],[Year]])</f>
        <v>4</v>
      </c>
      <c r="X92" s="1">
        <f ca="1">IFERROR(IF(FIND("Fit",Table3[[#This Row],[Model]])&gt;0,6-(YEAR(NOW())-Table3[[#This Row],[Year]]),20),7-(YEAR(NOW())-Table3[[#This Row],[Year]]))</f>
        <v>3</v>
      </c>
      <c r="Y9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3" spans="1:25" x14ac:dyDescent="0.25">
      <c r="A93" t="s">
        <v>172</v>
      </c>
      <c r="B93" t="s">
        <v>52</v>
      </c>
      <c r="C93">
        <v>181</v>
      </c>
      <c r="D93" t="s">
        <v>16</v>
      </c>
      <c r="E93" s="3">
        <f>IF(Table3[[#This Row],[Color I Want?]],Table3[[#This Row],[Price, Raw]],Table3[[#This Row],[Price, Raw]]+850)</f>
        <v>18845</v>
      </c>
      <c r="F93" s="3">
        <v>17995</v>
      </c>
      <c r="G93" s="5">
        <v>46746</v>
      </c>
      <c r="H93" s="13">
        <f>1-Table3[[#This Row],[Price, Adj]]/MAX(E:E)</f>
        <v>9.5946270088750341E-2</v>
      </c>
      <c r="I93" s="13">
        <f>1-Table3[[#This Row],[Mile-Cost Rating Raw]]/MAX(J:J)</f>
        <v>0.40957144481073093</v>
      </c>
      <c r="J93" s="14">
        <f>IFERROR(Table3[[#This Row],[Price, Adj]]*Table3[[#This Row],[Mileage]],"")</f>
        <v>880928370</v>
      </c>
      <c r="K93" s="14">
        <f ca="1">1-Table3[[#This Row],[Age-Cost Rating Raw]]/MAX(L:L)</f>
        <v>0.14294810087243892</v>
      </c>
      <c r="L93" s="14">
        <f ca="1">Table3[[#This Row],[Price, Adj]]*(YEAR(NOW())-Table3[[#This Row],[Year]])</f>
        <v>113070</v>
      </c>
      <c r="M93" s="14">
        <f ca="1">Table3[[#This Row],[Warranty-Cost Rating Raw]]/MAX(N:N)</f>
        <v>0</v>
      </c>
      <c r="N93" s="12">
        <f>IF(Table3[[#This Row],[Certified Used?]]&gt;0,MIN(Table3[[#This Row],[Warranty Years Left]],Table3[[#This Row],[Warranty Mileage Years Left]])/Table3[[#This Row],[Price, Adj]],0)</f>
        <v>0</v>
      </c>
      <c r="O93" s="18">
        <f ca="1">Table3[[#This Row],[Mile-Cost Rating Adj]]*2+Table3[[#This Row],[Age-Cost Rating Adj]]*2+Table3[[#This Row],[Warranty-Cost Rating Adj]]*2+Table3[[#This Row],[Cost Rating, Adj]]*6</f>
        <v>1.6807167118988418</v>
      </c>
      <c r="P93" s="14" t="b">
        <f>IFERROR(OR(IFERROR(FIND("Red",Table3[[#This Row],[Color]],1),FALSE),FIND(Table3[[#This Row],[Color]],"Blue",1)),FALSE)</f>
        <v>0</v>
      </c>
      <c r="Q93" t="s">
        <v>22</v>
      </c>
      <c r="R93" s="1">
        <f>IFERROR(IF(FIND("certified",Table3[[#This Row],[Car Type]])&gt;0,1,0),0)</f>
        <v>0</v>
      </c>
      <c r="S93" s="2" t="b">
        <v>0</v>
      </c>
      <c r="T93" s="1" t="str">
        <f>TRIM(SUBSTITUTE(REPLACE(Table3[[#This Row],[Car Type]],1,5,""),"(certified)","",1))</f>
        <v>Toyota Prius</v>
      </c>
      <c r="U93">
        <f>MAX(LEFT(Table3[[#This Row],[Car Type]],4),0)</f>
        <v>2008</v>
      </c>
      <c r="V93" t="s">
        <v>171</v>
      </c>
      <c r="W93">
        <f ca="1">VALUE(YEAR(NOW())-Table3[[#This Row],[Year]])</f>
        <v>6</v>
      </c>
      <c r="X93" s="1">
        <f ca="1">IFERROR(IF(FIND("Fit",Table3[[#This Row],[Model]])&gt;0,6-(YEAR(NOW())-Table3[[#This Row],[Year]]),20),7-(YEAR(NOW())-Table3[[#This Row],[Year]]))</f>
        <v>1</v>
      </c>
      <c r="Y9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4" spans="1:25" x14ac:dyDescent="0.25">
      <c r="A94" t="s">
        <v>88</v>
      </c>
      <c r="B94" t="s">
        <v>86</v>
      </c>
      <c r="C94">
        <v>173</v>
      </c>
      <c r="D94" t="s">
        <v>16</v>
      </c>
      <c r="E94" s="3">
        <f>IF(Table3[[#This Row],[Color I Want?]],Table3[[#This Row],[Price, Raw]],Table3[[#This Row],[Price, Raw]]+850)</f>
        <v>19350</v>
      </c>
      <c r="F94" s="3">
        <v>18500</v>
      </c>
      <c r="G94" s="5">
        <v>39000</v>
      </c>
      <c r="H94" s="13">
        <f>1-Table3[[#This Row],[Price, Adj]]/MAX(E:E)</f>
        <v>7.1719836891340871E-2</v>
      </c>
      <c r="I94" s="13">
        <f>1-Table3[[#This Row],[Mile-Cost Rating Raw]]/MAX(J:J)</f>
        <v>0.49420756062881488</v>
      </c>
      <c r="J94" s="14">
        <f>IFERROR(Table3[[#This Row],[Price, Adj]]*Table3[[#This Row],[Mileage]],"")</f>
        <v>754650000</v>
      </c>
      <c r="K94" s="14">
        <f ca="1">1-Table3[[#This Row],[Age-Cost Rating Raw]]/MAX(L:L)</f>
        <v>0.11998120201017215</v>
      </c>
      <c r="L94" s="14">
        <f ca="1">Table3[[#This Row],[Price, Adj]]*(YEAR(NOW())-Table3[[#This Row],[Year]])</f>
        <v>116100</v>
      </c>
      <c r="M94" s="14">
        <f ca="1">Table3[[#This Row],[Warranty-Cost Rating Raw]]/MAX(N:N)</f>
        <v>0</v>
      </c>
      <c r="N94" s="12">
        <f>IF(Table3[[#This Row],[Certified Used?]]&gt;0,MIN(Table3[[#This Row],[Warranty Years Left]],Table3[[#This Row],[Warranty Mileage Years Left]])/Table3[[#This Row],[Price, Adj]],0)</f>
        <v>0</v>
      </c>
      <c r="O94" s="18">
        <f ca="1">Table3[[#This Row],[Mile-Cost Rating Adj]]*2+Table3[[#This Row],[Age-Cost Rating Adj]]*2+Table3[[#This Row],[Warranty-Cost Rating Adj]]*2+Table3[[#This Row],[Cost Rating, Adj]]*6</f>
        <v>1.6586965466260193</v>
      </c>
      <c r="P94" s="14" t="b">
        <f>IFERROR(OR(IFERROR(FIND("Red",Table3[[#This Row],[Color]],1),FALSE),FIND(Table3[[#This Row],[Color]],"Blue",1)),FALSE)</f>
        <v>0</v>
      </c>
      <c r="Q94" t="s">
        <v>22</v>
      </c>
      <c r="R94">
        <f>IFERROR(IF(FIND("certified",Table3[[#This Row],[Car Type]])&gt;0,1,0),0)</f>
        <v>0</v>
      </c>
      <c r="S94" s="2" t="b">
        <v>1</v>
      </c>
      <c r="T94" t="str">
        <f>TRIM(SUBSTITUTE(REPLACE(Table3[[#This Row],[Car Type]],1,5,""),"(certified)","",1))</f>
        <v>Toyota Prius</v>
      </c>
      <c r="U94">
        <f>MAX(LEFT(Table3[[#This Row],[Car Type]],4),0)</f>
        <v>2008</v>
      </c>
      <c r="V94" t="s">
        <v>87</v>
      </c>
      <c r="W94">
        <f ca="1">VALUE(YEAR(NOW())-Table3[[#This Row],[Year]])</f>
        <v>6</v>
      </c>
      <c r="X94">
        <f ca="1">IFERROR(IF(FIND("Fit",Table3[[#This Row],[Model]])&gt;0,6-(YEAR(NOW())-Table3[[#This Row],[Year]]),20),7-(YEAR(NOW())-Table3[[#This Row],[Year]]))</f>
        <v>1</v>
      </c>
      <c r="Y94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5" spans="1:25" x14ac:dyDescent="0.25">
      <c r="A95" t="s">
        <v>90</v>
      </c>
      <c r="B95" t="s">
        <v>59</v>
      </c>
      <c r="C95">
        <v>10</v>
      </c>
      <c r="D95" t="s">
        <v>16</v>
      </c>
      <c r="E95" s="3">
        <f>IF(Table3[[#This Row],[Color I Want?]],Table3[[#This Row],[Price, Raw]],Table3[[#This Row],[Price, Raw]]+850)</f>
        <v>19338</v>
      </c>
      <c r="F95" s="3">
        <v>18488</v>
      </c>
      <c r="G95" s="5">
        <v>41028</v>
      </c>
      <c r="H95" s="13">
        <f>1-Table3[[#This Row],[Price, Adj]]/MAX(E:E)</f>
        <v>7.2295514511873327E-2</v>
      </c>
      <c r="I95" s="13">
        <f>1-Table3[[#This Row],[Mile-Cost Rating Raw]]/MAX(J:J)</f>
        <v>0.46823633433730771</v>
      </c>
      <c r="J95" s="14">
        <f>IFERROR(Table3[[#This Row],[Price, Adj]]*Table3[[#This Row],[Mileage]],"")</f>
        <v>793399464</v>
      </c>
      <c r="K95" s="14">
        <f ca="1">1-Table3[[#This Row],[Age-Cost Rating Raw]]/MAX(L:L)</f>
        <v>0.1205269501019488</v>
      </c>
      <c r="L95" s="14">
        <f ca="1">Table3[[#This Row],[Price, Adj]]*(YEAR(NOW())-Table3[[#This Row],[Year]])</f>
        <v>116028</v>
      </c>
      <c r="M95" s="14">
        <f ca="1">Table3[[#This Row],[Warranty-Cost Rating Raw]]/MAX(N:N)</f>
        <v>0</v>
      </c>
      <c r="N95" s="12">
        <f>IF(Table3[[#This Row],[Certified Used?]]&gt;0,MIN(Table3[[#This Row],[Warranty Years Left]],Table3[[#This Row],[Warranty Mileage Years Left]])/Table3[[#This Row],[Price, Adj]],0)</f>
        <v>0</v>
      </c>
      <c r="O95" s="18">
        <f ca="1">Table3[[#This Row],[Mile-Cost Rating Adj]]*2+Table3[[#This Row],[Age-Cost Rating Adj]]*2+Table3[[#This Row],[Warranty-Cost Rating Adj]]*2+Table3[[#This Row],[Cost Rating, Adj]]*6</f>
        <v>1.611299655949753</v>
      </c>
      <c r="P95" s="14" t="b">
        <f>IFERROR(OR(IFERROR(FIND("Red",Table3[[#This Row],[Color]],1),FALSE),FIND(Table3[[#This Row],[Color]],"Blue",1)),FALSE)</f>
        <v>0</v>
      </c>
      <c r="Q95" t="s">
        <v>22</v>
      </c>
      <c r="R95">
        <f>IFERROR(IF(FIND("certified",Table3[[#This Row],[Car Type]])&gt;0,1,0),0)</f>
        <v>0</v>
      </c>
      <c r="S95" s="2" t="b">
        <v>1</v>
      </c>
      <c r="T95" t="str">
        <f>TRIM(SUBSTITUTE(REPLACE(Table3[[#This Row],[Car Type]],1,5,""),"(certified)","",1))</f>
        <v>Toyota Prius</v>
      </c>
      <c r="U95">
        <f>MAX(LEFT(Table3[[#This Row],[Car Type]],4),0)</f>
        <v>2008</v>
      </c>
      <c r="V95" t="s">
        <v>89</v>
      </c>
      <c r="W95">
        <f ca="1">VALUE(YEAR(NOW())-Table3[[#This Row],[Year]])</f>
        <v>6</v>
      </c>
      <c r="X95">
        <f ca="1">IFERROR(IF(FIND("Fit",Table3[[#This Row],[Model]])&gt;0,6-(YEAR(NOW())-Table3[[#This Row],[Year]]),20),7-(YEAR(NOW())-Table3[[#This Row],[Year]]))</f>
        <v>1</v>
      </c>
      <c r="Y95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6" spans="1:25" x14ac:dyDescent="0.25">
      <c r="A96" t="s">
        <v>222</v>
      </c>
      <c r="B96" t="s">
        <v>33</v>
      </c>
      <c r="C96">
        <v>80</v>
      </c>
      <c r="D96" t="s">
        <v>37</v>
      </c>
      <c r="E96" s="3">
        <f>IF(Table3[[#This Row],[Color I Want?]],Table3[[#This Row],[Price, Raw]],Table3[[#This Row],[Price, Raw]]+850)</f>
        <v>16751</v>
      </c>
      <c r="F96" s="3">
        <v>15901</v>
      </c>
      <c r="G96" s="5">
        <v>84373</v>
      </c>
      <c r="H96" s="13">
        <f>1-Table3[[#This Row],[Price, Adj]]/MAX(E:E)</f>
        <v>0.19640201487167186</v>
      </c>
      <c r="I96" s="14">
        <f>1-Table3[[#This Row],[Mile-Cost Rating Raw]]/MAX(J:J)</f>
        <v>5.273610000155593E-2</v>
      </c>
      <c r="J96" s="14">
        <f>IFERROR(Table3[[#This Row],[Price, Adj]]*Table3[[#This Row],[Mileage]],"")</f>
        <v>1413332123</v>
      </c>
      <c r="K96" s="14">
        <f ca="1">1-Table3[[#This Row],[Age-Cost Rating Raw]]/MAX(L:L)</f>
        <v>0.11121133336870592</v>
      </c>
      <c r="L96" s="14">
        <f ca="1">Table3[[#This Row],[Price, Adj]]*(YEAR(NOW())-Table3[[#This Row],[Year]])</f>
        <v>117257</v>
      </c>
      <c r="M96" s="14">
        <f ca="1">Table3[[#This Row],[Warranty-Cost Rating Raw]]/MAX(N:N)</f>
        <v>0</v>
      </c>
      <c r="N96" s="10">
        <f ca="1">IF(Table3[[#This Row],[Certified Used?]]&gt;0,MIN(Table3[[#This Row],[Warranty Years Left]],Table3[[#This Row],[Warranty Mileage Years Left]])/Table3[[#This Row],[Price, Adj]],0)</f>
        <v>0</v>
      </c>
      <c r="O96" s="18">
        <f ca="1">Table3[[#This Row],[Mile-Cost Rating Adj]]*2+Table3[[#This Row],[Age-Cost Rating Adj]]*2+Table3[[#This Row],[Warranty-Cost Rating Adj]]*2+Table3[[#This Row],[Cost Rating, Adj]]*6</f>
        <v>1.5063069559705549</v>
      </c>
      <c r="P96" s="14" t="b">
        <f>IFERROR(OR(IFERROR(FIND("Red",Table3[[#This Row],[Color]],1),FALSE),FIND(Table3[[#This Row],[Color]],"Blue",1)),FALSE)</f>
        <v>0</v>
      </c>
      <c r="Q96" t="s">
        <v>10</v>
      </c>
      <c r="R96" s="1">
        <f>IFERROR(IF(FIND("certified",Table3[[#This Row],[Car Type]])&gt;0,1,0),0)</f>
        <v>1</v>
      </c>
      <c r="S96" s="17" t="b">
        <v>0</v>
      </c>
      <c r="T96" s="1" t="str">
        <f>TRIM(SUBSTITUTE(REPLACE(Table3[[#This Row],[Car Type]],1,5,""),"(certified)","",1))</f>
        <v>Toyota Prius</v>
      </c>
      <c r="U96" s="1">
        <f>MAX(LEFT(Table3[[#This Row],[Car Type]],4),0)</f>
        <v>2007</v>
      </c>
      <c r="V96" t="s">
        <v>223</v>
      </c>
      <c r="W96">
        <f ca="1">VALUE(YEAR(NOW())-Table3[[#This Row],[Year]])</f>
        <v>7</v>
      </c>
      <c r="X96" s="1">
        <f ca="1">IFERROR(IF(FIND("Fit",Table3[[#This Row],[Model]])&gt;0,6-(YEAR(NOW())-Table3[[#This Row],[Year]]),20),7-(YEAR(NOW())-Table3[[#This Row],[Year]]))</f>
        <v>0</v>
      </c>
      <c r="Y9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2</v>
      </c>
    </row>
    <row r="97" spans="1:25" x14ac:dyDescent="0.25">
      <c r="A97" t="s">
        <v>84</v>
      </c>
      <c r="B97" t="s">
        <v>83</v>
      </c>
      <c r="C97">
        <v>199</v>
      </c>
      <c r="D97" t="s">
        <v>16</v>
      </c>
      <c r="E97" s="3">
        <f>IF(Table3[[#This Row],[Color I Want?]],Table3[[#This Row],[Price, Raw]],Table3[[#This Row],[Price, Raw]]+850)</f>
        <v>19849</v>
      </c>
      <c r="F97" s="3">
        <v>18999</v>
      </c>
      <c r="G97" s="5">
        <v>36790</v>
      </c>
      <c r="H97" s="13">
        <f>1-Table3[[#This Row],[Price, Adj]]/MAX(E:E)</f>
        <v>4.7781242504197685E-2</v>
      </c>
      <c r="I97" s="13">
        <f>1-Table3[[#This Row],[Mile-Cost Rating Raw]]/MAX(J:J)</f>
        <v>0.51056482712674267</v>
      </c>
      <c r="J97" s="14">
        <f>IFERROR(Table3[[#This Row],[Price, Adj]]*Table3[[#This Row],[Mileage]],"")</f>
        <v>730244710</v>
      </c>
      <c r="K97" s="14">
        <f ca="1">1-Table3[[#This Row],[Age-Cost Rating Raw]]/MAX(L:L)</f>
        <v>9.728717719379365E-2</v>
      </c>
      <c r="L97" s="14">
        <f ca="1">Table3[[#This Row],[Price, Adj]]*(YEAR(NOW())-Table3[[#This Row],[Year]])</f>
        <v>119094</v>
      </c>
      <c r="M97" s="14">
        <f ca="1">Table3[[#This Row],[Warranty-Cost Rating Raw]]/MAX(N:N)</f>
        <v>0</v>
      </c>
      <c r="N97" s="12">
        <f>IF(Table3[[#This Row],[Certified Used?]]&gt;0,MIN(Table3[[#This Row],[Warranty Years Left]],Table3[[#This Row],[Warranty Mileage Years Left]])/Table3[[#This Row],[Price, Adj]],0)</f>
        <v>0</v>
      </c>
      <c r="O97" s="18">
        <f ca="1">Table3[[#This Row],[Mile-Cost Rating Adj]]*2+Table3[[#This Row],[Age-Cost Rating Adj]]*2+Table3[[#This Row],[Warranty-Cost Rating Adj]]*2+Table3[[#This Row],[Cost Rating, Adj]]*6</f>
        <v>1.5023914636662588</v>
      </c>
      <c r="P97" s="14" t="b">
        <f>IFERROR(OR(IFERROR(FIND("Red",Table3[[#This Row],[Color]],1),FALSE),FIND(Table3[[#This Row],[Color]],"Blue",1)),FALSE)</f>
        <v>0</v>
      </c>
      <c r="Q97" t="s">
        <v>22</v>
      </c>
      <c r="R97">
        <f>IFERROR(IF(FIND("certified",Table3[[#This Row],[Car Type]])&gt;0,1,0),0)</f>
        <v>0</v>
      </c>
      <c r="S97" s="2" t="b">
        <v>0</v>
      </c>
      <c r="T97" t="str">
        <f>TRIM(SUBSTITUTE(REPLACE(Table3[[#This Row],[Car Type]],1,5,""),"(certified)","",1))</f>
        <v>Toyota Prius</v>
      </c>
      <c r="U97">
        <f>MAX(LEFT(Table3[[#This Row],[Car Type]],4),0)</f>
        <v>2008</v>
      </c>
      <c r="V97" t="s">
        <v>85</v>
      </c>
      <c r="W97">
        <f ca="1">VALUE(YEAR(NOW())-Table3[[#This Row],[Year]])</f>
        <v>6</v>
      </c>
      <c r="X97">
        <f ca="1">IFERROR(IF(FIND("Fit",Table3[[#This Row],[Model]])&gt;0,6-(YEAR(NOW())-Table3[[#This Row],[Year]]),20),7-(YEAR(NOW())-Table3[[#This Row],[Year]]))</f>
        <v>1</v>
      </c>
      <c r="Y97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98" spans="1:25" x14ac:dyDescent="0.25">
      <c r="A98" t="s">
        <v>244</v>
      </c>
      <c r="B98" t="s">
        <v>50</v>
      </c>
      <c r="C98">
        <v>15</v>
      </c>
      <c r="D98" t="s">
        <v>55</v>
      </c>
      <c r="E98" s="3">
        <f>IF(Table3[[#This Row],[Color I Want?]],Table3[[#This Row],[Price, Raw]],Table3[[#This Row],[Price, Raw]]+850)</f>
        <v>20845</v>
      </c>
      <c r="F98" s="3">
        <v>19995</v>
      </c>
      <c r="G98" s="5">
        <v>47319</v>
      </c>
      <c r="H98" s="13">
        <f>1-Table3[[#This Row],[Price, Adj]]/MAX(E:E)</f>
        <v>0</v>
      </c>
      <c r="I98" s="13">
        <f>1-Table3[[#This Row],[Mile-Cost Rating Raw]]/MAX(J:J)</f>
        <v>0.33890447971546611</v>
      </c>
      <c r="J98" s="13">
        <f>IFERROR(Table3[[#This Row],[Price, Adj]]*Table3[[#This Row],[Mileage]],"")</f>
        <v>986364555</v>
      </c>
      <c r="K98" s="13">
        <f ca="1">1-Table3[[#This Row],[Age-Cost Rating Raw]]/MAX(L:L)</f>
        <v>0.36799339038422185</v>
      </c>
      <c r="L98" s="13">
        <f ca="1">Table3[[#This Row],[Price, Adj]]*(YEAR(NOW())-Table3[[#This Row],[Year]])</f>
        <v>83380</v>
      </c>
      <c r="M98" s="13">
        <f ca="1">Table3[[#This Row],[Warranty-Cost Rating Raw]]/MAX(N:N)</f>
        <v>0</v>
      </c>
      <c r="N98" s="9">
        <f>IF(Table3[[#This Row],[Certified Used?]]&gt;0,MIN(Table3[[#This Row],[Warranty Years Left]],Table3[[#This Row],[Warranty Mileage Years Left]])/Table3[[#This Row],[Price, Adj]],0)</f>
        <v>0</v>
      </c>
      <c r="O98" s="4">
        <f ca="1">Table3[[#This Row],[Mile-Cost Rating Adj]]*2+Table3[[#This Row],[Age-Cost Rating Adj]]*2+Table3[[#This Row],[Warranty-Cost Rating Adj]]*2+Table3[[#This Row],[Cost Rating, Adj]]*6</f>
        <v>1.4137957401993759</v>
      </c>
      <c r="P98" s="13" t="b">
        <f>IFERROR(OR(IFERROR(FIND("Red",Table3[[#This Row],[Color]],1),FALSE),FIND(Table3[[#This Row],[Color]],"Blue",1)),FALSE)</f>
        <v>0</v>
      </c>
      <c r="Q98" t="s">
        <v>45</v>
      </c>
      <c r="R98" s="1">
        <f>IFERROR(IF(FIND("certified",Table3[[#This Row],[Car Type]])&gt;0,1,0),0)</f>
        <v>0</v>
      </c>
      <c r="S98" s="17" t="b">
        <v>1</v>
      </c>
      <c r="T98" s="1" t="str">
        <f>TRIM(SUBSTITUTE(REPLACE(Table3[[#This Row],[Car Type]],1,5,""),"(certified)","",1))</f>
        <v>Toyota Prius</v>
      </c>
      <c r="U98" s="1">
        <f>MAX(LEFT(Table3[[#This Row],[Car Type]],4),0)</f>
        <v>2010</v>
      </c>
      <c r="V98" s="8" t="s">
        <v>245</v>
      </c>
      <c r="W98" s="8">
        <f ca="1">VALUE(YEAR(NOW())-Table3[[#This Row],[Year]])</f>
        <v>4</v>
      </c>
      <c r="X98" s="1">
        <f ca="1">IFERROR(IF(FIND("Fit",Table3[[#This Row],[Model]])&gt;0,6-(YEAR(NOW())-Table3[[#This Row],[Year]]),20),7-(YEAR(NOW())-Table3[[#This Row],[Year]]))</f>
        <v>3</v>
      </c>
      <c r="Y98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99" spans="1:25" x14ac:dyDescent="0.25">
      <c r="A99" t="s">
        <v>169</v>
      </c>
      <c r="B99" t="s">
        <v>30</v>
      </c>
      <c r="C99">
        <v>31</v>
      </c>
      <c r="D99" t="s">
        <v>4</v>
      </c>
      <c r="E99" s="3">
        <f>IF(Table3[[#This Row],[Color I Want?]],Table3[[#This Row],[Price, Raw]],Table3[[#This Row],[Price, Raw]]+850)</f>
        <v>18847</v>
      </c>
      <c r="F99" s="3">
        <v>17997</v>
      </c>
      <c r="G99" s="5">
        <v>46367</v>
      </c>
      <c r="H99" s="13">
        <f>1-Table3[[#This Row],[Price, Adj]]/MAX(E:E)</f>
        <v>9.5850323818661542E-2</v>
      </c>
      <c r="I99" s="13">
        <f>1-Table3[[#This Row],[Mile-Cost Rating Raw]]/MAX(J:J)</f>
        <v>0.41429627675002512</v>
      </c>
      <c r="J99" s="14">
        <f>IFERROR(Table3[[#This Row],[Price, Adj]]*Table3[[#This Row],[Mileage]],"")</f>
        <v>873878849</v>
      </c>
      <c r="K99" s="14">
        <f ca="1">1-Table3[[#This Row],[Age-Cost Rating Raw]]/MAX(L:L)</f>
        <v>0</v>
      </c>
      <c r="L99" s="14">
        <f ca="1">Table3[[#This Row],[Price, Adj]]*(YEAR(NOW())-Table3[[#This Row],[Year]])</f>
        <v>131929</v>
      </c>
      <c r="M99" s="14">
        <f ca="1">Table3[[#This Row],[Warranty-Cost Rating Raw]]/MAX(N:N)</f>
        <v>0</v>
      </c>
      <c r="N99" s="12">
        <f>IF(Table3[[#This Row],[Certified Used?]]&gt;0,MIN(Table3[[#This Row],[Warranty Years Left]],Table3[[#This Row],[Warranty Mileage Years Left]])/Table3[[#This Row],[Price, Adj]],0)</f>
        <v>0</v>
      </c>
      <c r="O99" s="18">
        <f ca="1">Table3[[#This Row],[Mile-Cost Rating Adj]]*2+Table3[[#This Row],[Age-Cost Rating Adj]]*2+Table3[[#This Row],[Warranty-Cost Rating Adj]]*2+Table3[[#This Row],[Cost Rating, Adj]]*6</f>
        <v>1.4036944964120195</v>
      </c>
      <c r="P99" s="14" t="b">
        <f>IFERROR(OR(IFERROR(FIND("Red",Table3[[#This Row],[Color]],1),FALSE),FIND(Table3[[#This Row],[Color]],"Blue",1)),FALSE)</f>
        <v>0</v>
      </c>
      <c r="Q99" t="s">
        <v>8</v>
      </c>
      <c r="R99" s="1">
        <f>IFERROR(IF(FIND("certified",Table3[[#This Row],[Car Type]])&gt;0,1,0),0)</f>
        <v>0</v>
      </c>
      <c r="S99" s="2" t="b">
        <v>0</v>
      </c>
      <c r="T99" s="1" t="str">
        <f>TRIM(SUBSTITUTE(REPLACE(Table3[[#This Row],[Car Type]],1,5,""),"(certified)","",1))</f>
        <v>Toyota Prius</v>
      </c>
      <c r="U99">
        <f>MAX(LEFT(Table3[[#This Row],[Car Type]],4),0)</f>
        <v>2007</v>
      </c>
      <c r="V99" t="s">
        <v>170</v>
      </c>
      <c r="W99">
        <f ca="1">VALUE(YEAR(NOW())-Table3[[#This Row],[Year]])</f>
        <v>7</v>
      </c>
      <c r="X99" s="1">
        <f ca="1">IFERROR(IF(FIND("Fit",Table3[[#This Row],[Model]])&gt;0,6-(YEAR(NOW())-Table3[[#This Row],[Year]]),20),7-(YEAR(NOW())-Table3[[#This Row],[Year]]))</f>
        <v>0</v>
      </c>
      <c r="Y99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00" spans="1:25" x14ac:dyDescent="0.25">
      <c r="A100" t="s">
        <v>214</v>
      </c>
      <c r="B100" t="s">
        <v>50</v>
      </c>
      <c r="C100">
        <v>15</v>
      </c>
      <c r="D100" t="s">
        <v>40</v>
      </c>
      <c r="E100" s="3">
        <f>IF(Table3[[#This Row],[Color I Want?]],Table3[[#This Row],[Price, Raw]],Table3[[#This Row],[Price, Raw]]+850)</f>
        <v>19845</v>
      </c>
      <c r="F100" s="3">
        <v>18995</v>
      </c>
      <c r="G100" s="5">
        <v>63855</v>
      </c>
      <c r="H100" s="13">
        <f>1-Table3[[#This Row],[Price, Adj]]/MAX(E:E)</f>
        <v>4.797313504437517E-2</v>
      </c>
      <c r="I100" s="14">
        <f>1-Table3[[#This Row],[Mile-Cost Rating Raw]]/MAX(J:J)</f>
        <v>0.15067722651897808</v>
      </c>
      <c r="J100" s="14">
        <f>IFERROR(Table3[[#This Row],[Price, Adj]]*Table3[[#This Row],[Mileage]],"")</f>
        <v>1267202475</v>
      </c>
      <c r="K100" s="14">
        <f ca="1">1-Table3[[#This Row],[Age-Cost Rating Raw]]/MAX(L:L)</f>
        <v>9.7469093224385794E-2</v>
      </c>
      <c r="L100" s="14">
        <f ca="1">Table3[[#This Row],[Price, Adj]]*(YEAR(NOW())-Table3[[#This Row],[Year]])</f>
        <v>119070</v>
      </c>
      <c r="M100" s="14">
        <f ca="1">Table3[[#This Row],[Warranty-Cost Rating Raw]]/MAX(N:N)</f>
        <v>0.28292600991013689</v>
      </c>
      <c r="N100" s="10">
        <f ca="1">IF(Table3[[#This Row],[Certified Used?]]&gt;0,MIN(Table3[[#This Row],[Warranty Years Left]],Table3[[#This Row],[Warranty Mileage Years Left]])/Table3[[#This Row],[Price, Adj]],0)</f>
        <v>5.0390526581002771E-5</v>
      </c>
      <c r="O100" s="18">
        <f ca="1">Table3[[#This Row],[Mile-Cost Rating Adj]]*2+Table3[[#This Row],[Age-Cost Rating Adj]]*2+Table3[[#This Row],[Warranty-Cost Rating Adj]]*2+Table3[[#This Row],[Cost Rating, Adj]]*6</f>
        <v>1.3499834695732524</v>
      </c>
      <c r="P100" s="14" t="b">
        <f>IFERROR(OR(IFERROR(FIND("Red",Table3[[#This Row],[Color]],1),FALSE),FIND(Table3[[#This Row],[Color]],"Blue",1)),FALSE)</f>
        <v>0</v>
      </c>
      <c r="Q100" t="s">
        <v>22</v>
      </c>
      <c r="R100" s="1">
        <f>IFERROR(IF(FIND("certified",Table3[[#This Row],[Car Type]])&gt;0,1,0),0)</f>
        <v>1</v>
      </c>
      <c r="S100" s="1" t="b">
        <v>1</v>
      </c>
      <c r="T100" s="1" t="str">
        <f>TRIM(SUBSTITUTE(REPLACE(Table3[[#This Row],[Car Type]],1,5,""),"(certified)","",1))</f>
        <v>Toyota Prius</v>
      </c>
      <c r="U100" s="1">
        <f>MAX(LEFT(Table3[[#This Row],[Car Type]],4),0)</f>
        <v>2008</v>
      </c>
      <c r="V100" t="s">
        <v>215</v>
      </c>
      <c r="W100">
        <f ca="1">VALUE(YEAR(NOW())-Table3[[#This Row],[Year]])</f>
        <v>6</v>
      </c>
      <c r="X100" s="1">
        <f ca="1">IFERROR(IF(FIND("Fit",Table3[[#This Row],[Model]])&gt;0,6-(YEAR(NOW())-Table3[[#This Row],[Year]]),20),7-(YEAR(NOW())-Table3[[#This Row],[Year]]))</f>
        <v>1</v>
      </c>
      <c r="Y100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101" spans="1:25" x14ac:dyDescent="0.25">
      <c r="A101" t="s">
        <v>287</v>
      </c>
      <c r="B101" t="s">
        <v>229</v>
      </c>
      <c r="C101">
        <v>30</v>
      </c>
      <c r="D101" t="s">
        <v>41</v>
      </c>
      <c r="E101" s="3">
        <f>IF(Table3[[#This Row],[Color I Want?]],Table3[[#This Row],[Price, Raw]],Table3[[#This Row],[Price, Raw]]+850)</f>
        <v>20845</v>
      </c>
      <c r="F101" s="3">
        <v>19995</v>
      </c>
      <c r="G101" s="5">
        <v>39585</v>
      </c>
      <c r="H101" s="13">
        <f>1-Table3[[#This Row],[Price, Adj]]/MAX(E:E)</f>
        <v>0</v>
      </c>
      <c r="I101" s="13">
        <f>1-Table3[[#This Row],[Mile-Cost Rating Raw]]/MAX(J:J)</f>
        <v>0.44695648322104709</v>
      </c>
      <c r="J101" s="13">
        <f>IFERROR(Table3[[#This Row],[Price, Adj]]*Table3[[#This Row],[Mileage]],"")</f>
        <v>825149325</v>
      </c>
      <c r="K101" s="13">
        <f ca="1">1-Table3[[#This Row],[Age-Cost Rating Raw]]/MAX(L:L)</f>
        <v>0.20999173798027726</v>
      </c>
      <c r="L101" s="13">
        <f ca="1">Table3[[#This Row],[Price, Adj]]*(YEAR(NOW())-Table3[[#This Row],[Year]])</f>
        <v>104225</v>
      </c>
      <c r="M101" s="13">
        <f ca="1">Table3[[#This Row],[Warranty-Cost Rating Raw]]/MAX(N:N)</f>
        <v>0</v>
      </c>
      <c r="N101" s="9">
        <f>IF(Table3[[#This Row],[Certified Used?]]&gt;0,MIN(Table3[[#This Row],[Warranty Years Left]],Table3[[#This Row],[Warranty Mileage Years Left]])/Table3[[#This Row],[Price, Adj]],0)</f>
        <v>0</v>
      </c>
      <c r="O101" s="4">
        <f ca="1">Table3[[#This Row],[Mile-Cost Rating Adj]]*2+Table3[[#This Row],[Age-Cost Rating Adj]]*2+Table3[[#This Row],[Warranty-Cost Rating Adj]]*2+Table3[[#This Row],[Cost Rating, Adj]]*6</f>
        <v>1.3138964424026487</v>
      </c>
      <c r="P101" s="13" t="b">
        <f>IFERROR(OR(IFERROR(FIND("Red",Table3[[#This Row],[Color]],1),FALSE),FIND(Table3[[#This Row],[Color]],"Blue",1)),FALSE)</f>
        <v>0</v>
      </c>
      <c r="Q101" t="s">
        <v>45</v>
      </c>
      <c r="R101" s="1">
        <f>IFERROR(IF(FIND("certified",Table3[[#This Row],[Car Type]])&gt;0,1,0),0)</f>
        <v>0</v>
      </c>
      <c r="S101" s="17" t="b">
        <v>0</v>
      </c>
      <c r="T101" s="1" t="str">
        <f>TRIM(SUBSTITUTE(REPLACE(Table3[[#This Row],[Car Type]],1,5,""),"(certified)","",1))</f>
        <v>Toyota Prius</v>
      </c>
      <c r="U101" s="1">
        <f>MAX(LEFT(Table3[[#This Row],[Car Type]],4),0)</f>
        <v>2009</v>
      </c>
      <c r="V101" s="8" t="s">
        <v>288</v>
      </c>
      <c r="W101" s="8">
        <f ca="1">VALUE(YEAR(NOW())-Table3[[#This Row],[Year]])</f>
        <v>5</v>
      </c>
      <c r="X101" s="1">
        <f ca="1">IFERROR(IF(FIND("Fit",Table3[[#This Row],[Model]])&gt;0,6-(YEAR(NOW())-Table3[[#This Row],[Year]]),20),7-(YEAR(NOW())-Table3[[#This Row],[Year]]))</f>
        <v>2</v>
      </c>
      <c r="Y101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8</v>
      </c>
    </row>
    <row r="102" spans="1:25" x14ac:dyDescent="0.25">
      <c r="A102" t="s">
        <v>252</v>
      </c>
      <c r="B102" t="s">
        <v>59</v>
      </c>
      <c r="C102">
        <v>10</v>
      </c>
      <c r="D102" t="s">
        <v>4</v>
      </c>
      <c r="E102" s="3">
        <f>IF(Table3[[#This Row],[Color I Want?]],Table3[[#This Row],[Price, Raw]],Table3[[#This Row],[Price, Raw]]+850)</f>
        <v>17845</v>
      </c>
      <c r="F102" s="3">
        <v>16995</v>
      </c>
      <c r="G102" s="5">
        <v>70024</v>
      </c>
      <c r="H102" s="13">
        <f>1-Table3[[#This Row],[Price, Adj]]/MAX(E:E)</f>
        <v>0.1439194051331254</v>
      </c>
      <c r="I102" s="13">
        <f>1-Table3[[#This Row],[Mile-Cost Rating Raw]]/MAX(J:J)</f>
        <v>0.16248956943424142</v>
      </c>
      <c r="J102" s="13">
        <f>IFERROR(Table3[[#This Row],[Price, Adj]]*Table3[[#This Row],[Mileage]],"")</f>
        <v>1249578280</v>
      </c>
      <c r="K102" s="13">
        <f ca="1">1-Table3[[#This Row],[Age-Cost Rating Raw]]/MAX(L:L)</f>
        <v>5.316495994057413E-2</v>
      </c>
      <c r="L102" s="13">
        <f ca="1">Table3[[#This Row],[Price, Adj]]*(YEAR(NOW())-Table3[[#This Row],[Year]])</f>
        <v>124915</v>
      </c>
      <c r="M102" s="13">
        <f ca="1">Table3[[#This Row],[Warranty-Cost Rating Raw]]/MAX(N:N)</f>
        <v>0</v>
      </c>
      <c r="N102" s="9">
        <f>IF(Table3[[#This Row],[Certified Used?]]&gt;0,MIN(Table3[[#This Row],[Warranty Years Left]],Table3[[#This Row],[Warranty Mileage Years Left]])/Table3[[#This Row],[Price, Adj]],0)</f>
        <v>0</v>
      </c>
      <c r="O102" s="4">
        <f ca="1">Table3[[#This Row],[Mile-Cost Rating Adj]]*2+Table3[[#This Row],[Age-Cost Rating Adj]]*2+Table3[[#This Row],[Warranty-Cost Rating Adj]]*2+Table3[[#This Row],[Cost Rating, Adj]]*6</f>
        <v>1.2948254895483835</v>
      </c>
      <c r="P102" s="13" t="b">
        <f>IFERROR(OR(IFERROR(FIND("Red",Table3[[#This Row],[Color]],1),FALSE),FIND(Table3[[#This Row],[Color]],"Blue",1)),FALSE)</f>
        <v>0</v>
      </c>
      <c r="Q102" t="s">
        <v>7</v>
      </c>
      <c r="R102" s="1">
        <f>IFERROR(IF(FIND("certified",Table3[[#This Row],[Car Type]])&gt;0,1,0),0)</f>
        <v>0</v>
      </c>
      <c r="S102" s="17" t="b">
        <v>0</v>
      </c>
      <c r="T102" s="1" t="str">
        <f>TRIM(SUBSTITUTE(REPLACE(Table3[[#This Row],[Car Type]],1,5,""),"(certified)","",1))</f>
        <v>Toyota Prius</v>
      </c>
      <c r="U102" s="1">
        <f>MAX(LEFT(Table3[[#This Row],[Car Type]],4),0)</f>
        <v>2007</v>
      </c>
      <c r="V102" s="8" t="s">
        <v>253</v>
      </c>
      <c r="W102" s="8">
        <f ca="1">VALUE(YEAR(NOW())-Table3[[#This Row],[Year]])</f>
        <v>7</v>
      </c>
      <c r="X102" s="1">
        <f ca="1">IFERROR(IF(FIND("Fit",Table3[[#This Row],[Model]])&gt;0,6-(YEAR(NOW())-Table3[[#This Row],[Year]]),20),7-(YEAR(NOW())-Table3[[#This Row],[Year]]))</f>
        <v>0</v>
      </c>
      <c r="Y102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4</v>
      </c>
    </row>
    <row r="103" spans="1:25" x14ac:dyDescent="0.25">
      <c r="A103" t="s">
        <v>246</v>
      </c>
      <c r="B103" t="s">
        <v>59</v>
      </c>
      <c r="C103">
        <v>10</v>
      </c>
      <c r="D103" t="s">
        <v>55</v>
      </c>
      <c r="E103" s="3">
        <f>IF(Table3[[#This Row],[Color I Want?]],Table3[[#This Row],[Price, Raw]],Table3[[#This Row],[Price, Raw]]+850)</f>
        <v>20845</v>
      </c>
      <c r="F103" s="3">
        <v>19995</v>
      </c>
      <c r="G103" s="5">
        <v>52179</v>
      </c>
      <c r="H103" s="13">
        <f>1-Table3[[#This Row],[Price, Adj]]/MAX(E:E)</f>
        <v>0</v>
      </c>
      <c r="I103" s="13">
        <f>1-Table3[[#This Row],[Mile-Cost Rating Raw]]/MAX(J:J)</f>
        <v>0.27100523779186603</v>
      </c>
      <c r="J103" s="13">
        <f>IFERROR(Table3[[#This Row],[Price, Adj]]*Table3[[#This Row],[Mileage]],"")</f>
        <v>1087671255</v>
      </c>
      <c r="K103" s="13">
        <f ca="1">1-Table3[[#This Row],[Age-Cost Rating Raw]]/MAX(L:L)</f>
        <v>0.36799339038422185</v>
      </c>
      <c r="L103" s="13">
        <f ca="1">Table3[[#This Row],[Price, Adj]]*(YEAR(NOW())-Table3[[#This Row],[Year]])</f>
        <v>83380</v>
      </c>
      <c r="M103" s="13">
        <f ca="1">Table3[[#This Row],[Warranty-Cost Rating Raw]]/MAX(N:N)</f>
        <v>0</v>
      </c>
      <c r="N103" s="9">
        <f>IF(Table3[[#This Row],[Certified Used?]]&gt;0,MIN(Table3[[#This Row],[Warranty Years Left]],Table3[[#This Row],[Warranty Mileage Years Left]])/Table3[[#This Row],[Price, Adj]],0)</f>
        <v>0</v>
      </c>
      <c r="O103" s="4">
        <f ca="1">Table3[[#This Row],[Mile-Cost Rating Adj]]*2+Table3[[#This Row],[Age-Cost Rating Adj]]*2+Table3[[#This Row],[Warranty-Cost Rating Adj]]*2+Table3[[#This Row],[Cost Rating, Adj]]*6</f>
        <v>1.2779972563521758</v>
      </c>
      <c r="P103" s="13" t="b">
        <f>IFERROR(OR(IFERROR(FIND("Red",Table3[[#This Row],[Color]],1),FALSE),FIND(Table3[[#This Row],[Color]],"Blue",1)),FALSE)</f>
        <v>0</v>
      </c>
      <c r="Q103" t="s">
        <v>10</v>
      </c>
      <c r="R103" s="1">
        <f>IFERROR(IF(FIND("certified",Table3[[#This Row],[Car Type]])&gt;0,1,0),0)</f>
        <v>0</v>
      </c>
      <c r="S103" s="17" t="b">
        <v>1</v>
      </c>
      <c r="T103" s="1" t="str">
        <f>TRIM(SUBSTITUTE(REPLACE(Table3[[#This Row],[Car Type]],1,5,""),"(certified)","",1))</f>
        <v>Toyota Prius</v>
      </c>
      <c r="U103" s="1">
        <f>MAX(LEFT(Table3[[#This Row],[Car Type]],4),0)</f>
        <v>2010</v>
      </c>
      <c r="V103" s="8" t="s">
        <v>247</v>
      </c>
      <c r="W103" s="8">
        <f ca="1">VALUE(YEAR(NOW())-Table3[[#This Row],[Year]])</f>
        <v>4</v>
      </c>
      <c r="X103" s="1">
        <f ca="1">IFERROR(IF(FIND("Fit",Table3[[#This Row],[Model]])&gt;0,6-(YEAR(NOW())-Table3[[#This Row],[Year]]),20),7-(YEAR(NOW())-Table3[[#This Row],[Year]]))</f>
        <v>3</v>
      </c>
      <c r="Y103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7</v>
      </c>
    </row>
    <row r="104" spans="1:25" x14ac:dyDescent="0.25">
      <c r="A104" t="s">
        <v>250</v>
      </c>
      <c r="B104" t="s">
        <v>138</v>
      </c>
      <c r="C104">
        <v>10</v>
      </c>
      <c r="D104" t="s">
        <v>55</v>
      </c>
      <c r="E104" s="3">
        <f>IF(Table3[[#This Row],[Color I Want?]],Table3[[#This Row],[Price, Raw]],Table3[[#This Row],[Price, Raw]]+850)</f>
        <v>20831</v>
      </c>
      <c r="F104" s="3">
        <v>19981</v>
      </c>
      <c r="G104" s="5">
        <v>65010</v>
      </c>
      <c r="H104" s="13">
        <f>1-Table3[[#This Row],[Price, Adj]]/MAX(E:E)</f>
        <v>6.7162389062125349E-4</v>
      </c>
      <c r="I104" s="13">
        <f>1-Table3[[#This Row],[Mile-Cost Rating Raw]]/MAX(J:J)</f>
        <v>9.2352863687509945E-2</v>
      </c>
      <c r="J104" s="13">
        <f>IFERROR(Table3[[#This Row],[Price, Adj]]*Table3[[#This Row],[Mileage]],"")</f>
        <v>1354223310</v>
      </c>
      <c r="K104" s="13">
        <f ca="1">1-Table3[[#This Row],[Age-Cost Rating Raw]]/MAX(L:L)</f>
        <v>0.36841786112227026</v>
      </c>
      <c r="L104" s="13">
        <f ca="1">Table3[[#This Row],[Price, Adj]]*(YEAR(NOW())-Table3[[#This Row],[Year]])</f>
        <v>83324</v>
      </c>
      <c r="M104" s="13">
        <f ca="1">Table3[[#This Row],[Warranty-Cost Rating Raw]]/MAX(N:N)</f>
        <v>0</v>
      </c>
      <c r="N104" s="9">
        <f>IF(Table3[[#This Row],[Certified Used?]]&gt;0,MIN(Table3[[#This Row],[Warranty Years Left]],Table3[[#This Row],[Warranty Mileage Years Left]])/Table3[[#This Row],[Price, Adj]],0)</f>
        <v>0</v>
      </c>
      <c r="O104" s="4">
        <f ca="1">Table3[[#This Row],[Mile-Cost Rating Adj]]*2+Table3[[#This Row],[Age-Cost Rating Adj]]*2+Table3[[#This Row],[Warranty-Cost Rating Adj]]*2+Table3[[#This Row],[Cost Rating, Adj]]*6</f>
        <v>0.92557119296328794</v>
      </c>
      <c r="P104" s="13" t="b">
        <f>IFERROR(OR(IFERROR(FIND("Red",Table3[[#This Row],[Color]],1),FALSE),FIND(Table3[[#This Row],[Color]],"Blue",1)),FALSE)</f>
        <v>0</v>
      </c>
      <c r="Q104" t="s">
        <v>8</v>
      </c>
      <c r="R104" s="1">
        <f>IFERROR(IF(FIND("certified",Table3[[#This Row],[Car Type]])&gt;0,1,0),0)</f>
        <v>0</v>
      </c>
      <c r="S104" s="17" t="b">
        <v>1</v>
      </c>
      <c r="T104" s="1" t="str">
        <f>TRIM(SUBSTITUTE(REPLACE(Table3[[#This Row],[Car Type]],1,5,""),"(certified)","",1))</f>
        <v>Toyota Prius</v>
      </c>
      <c r="U104" s="1">
        <f>MAX(LEFT(Table3[[#This Row],[Car Type]],4),0)</f>
        <v>2010</v>
      </c>
      <c r="V104" s="8" t="s">
        <v>251</v>
      </c>
      <c r="W104" s="8">
        <f ca="1">VALUE(YEAR(NOW())-Table3[[#This Row],[Year]])</f>
        <v>4</v>
      </c>
      <c r="X104" s="1">
        <f ca="1">IFERROR(IF(FIND("Fit",Table3[[#This Row],[Model]])&gt;0,6-(YEAR(NOW())-Table3[[#This Row],[Year]]),20),7-(YEAR(NOW())-Table3[[#This Row],[Year]]))</f>
        <v>3</v>
      </c>
      <c r="Y104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105" spans="1:25" x14ac:dyDescent="0.25">
      <c r="A105" t="s">
        <v>248</v>
      </c>
      <c r="B105" t="s">
        <v>233</v>
      </c>
      <c r="C105">
        <v>30</v>
      </c>
      <c r="D105" t="s">
        <v>16</v>
      </c>
      <c r="E105" s="3">
        <f>IF(Table3[[#This Row],[Color I Want?]],Table3[[#This Row],[Price, Raw]],Table3[[#This Row],[Price, Raw]]+850)</f>
        <v>19790</v>
      </c>
      <c r="F105" s="3">
        <v>18940</v>
      </c>
      <c r="G105" s="5">
        <v>62837</v>
      </c>
      <c r="H105" s="13">
        <f>1-Table3[[#This Row],[Price, Adj]]/MAX(E:E)</f>
        <v>5.061165747181573E-2</v>
      </c>
      <c r="I105" s="13">
        <f>1-Table3[[#This Row],[Mile-Cost Rating Raw]]/MAX(J:J)</f>
        <v>0.16653379771064458</v>
      </c>
      <c r="J105" s="13">
        <f>IFERROR(Table3[[#This Row],[Price, Adj]]*Table3[[#This Row],[Mileage]],"")</f>
        <v>1243544230</v>
      </c>
      <c r="K105" s="13">
        <f ca="1">1-Table3[[#This Row],[Age-Cost Rating Raw]]/MAX(L:L)</f>
        <v>9.9970438645028747E-2</v>
      </c>
      <c r="L105" s="13">
        <f ca="1">Table3[[#This Row],[Price, Adj]]*(YEAR(NOW())-Table3[[#This Row],[Year]])</f>
        <v>118740</v>
      </c>
      <c r="M105" s="13">
        <f ca="1">Table3[[#This Row],[Warranty-Cost Rating Raw]]/MAX(N:N)</f>
        <v>0</v>
      </c>
      <c r="N105" s="9">
        <f>IF(Table3[[#This Row],[Certified Used?]]&gt;0,MIN(Table3[[#This Row],[Warranty Years Left]],Table3[[#This Row],[Warranty Mileage Years Left]])/Table3[[#This Row],[Price, Adj]],0)</f>
        <v>0</v>
      </c>
      <c r="O105" s="4">
        <f ca="1">Table3[[#This Row],[Mile-Cost Rating Adj]]*2+Table3[[#This Row],[Age-Cost Rating Adj]]*2+Table3[[#This Row],[Warranty-Cost Rating Adj]]*2+Table3[[#This Row],[Cost Rating, Adj]]*6</f>
        <v>0.83667841754224104</v>
      </c>
      <c r="P105" s="13" t="b">
        <f>IFERROR(OR(IFERROR(FIND("Red",Table3[[#This Row],[Color]],1),FALSE),FIND(Table3[[#This Row],[Color]],"Blue",1)),FALSE)</f>
        <v>0</v>
      </c>
      <c r="Q105" t="s">
        <v>22</v>
      </c>
      <c r="R105" s="1">
        <f>IFERROR(IF(FIND("certified",Table3[[#This Row],[Car Type]])&gt;0,1,0),0)</f>
        <v>0</v>
      </c>
      <c r="S105" s="17" t="b">
        <v>1</v>
      </c>
      <c r="T105" s="1" t="str">
        <f>TRIM(SUBSTITUTE(REPLACE(Table3[[#This Row],[Car Type]],1,5,""),"(certified)","",1))</f>
        <v>Toyota Prius</v>
      </c>
      <c r="U105" s="1">
        <f>MAX(LEFT(Table3[[#This Row],[Car Type]],4),0)</f>
        <v>2008</v>
      </c>
      <c r="V105" s="8" t="s">
        <v>249</v>
      </c>
      <c r="W105" s="8">
        <f ca="1">VALUE(YEAR(NOW())-Table3[[#This Row],[Year]])</f>
        <v>6</v>
      </c>
      <c r="X105" s="1">
        <f ca="1">IFERROR(IF(FIND("Fit",Table3[[#This Row],[Model]])&gt;0,6-(YEAR(NOW())-Table3[[#This Row],[Year]]),20),7-(YEAR(NOW())-Table3[[#This Row],[Year]]))</f>
        <v>1</v>
      </c>
      <c r="Y105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5</v>
      </c>
    </row>
    <row r="106" spans="1:25" x14ac:dyDescent="0.25">
      <c r="A106" t="s">
        <v>212</v>
      </c>
      <c r="B106" t="s">
        <v>65</v>
      </c>
      <c r="C106">
        <v>0</v>
      </c>
      <c r="D106" t="s">
        <v>37</v>
      </c>
      <c r="E106" s="3">
        <f>IF(Table3[[#This Row],[Color I Want?]],Table3[[#This Row],[Price, Raw]],Table3[[#This Row],[Price, Raw]]+850)</f>
        <v>18845</v>
      </c>
      <c r="F106" s="3">
        <v>17995</v>
      </c>
      <c r="G106" s="5">
        <v>79173</v>
      </c>
      <c r="H106" s="13">
        <f>1-Table3[[#This Row],[Price, Adj]]/MAX(E:E)</f>
        <v>9.5946270088750341E-2</v>
      </c>
      <c r="I106" s="14">
        <f>1-Table3[[#This Row],[Mile-Cost Rating Raw]]/MAX(J:J)</f>
        <v>0</v>
      </c>
      <c r="J106" s="14">
        <f>IFERROR(Table3[[#This Row],[Price, Adj]]*Table3[[#This Row],[Mileage]],"")</f>
        <v>1492015185</v>
      </c>
      <c r="K106" s="14">
        <f ca="1">1-Table3[[#This Row],[Age-Cost Rating Raw]]/MAX(L:L)</f>
        <v>1.0611768451207482E-4</v>
      </c>
      <c r="L106" s="14">
        <f ca="1">Table3[[#This Row],[Price, Adj]]*(YEAR(NOW())-Table3[[#This Row],[Year]])</f>
        <v>131915</v>
      </c>
      <c r="M106" s="14">
        <f ca="1">Table3[[#This Row],[Warranty-Cost Rating Raw]]/MAX(N:N)</f>
        <v>0</v>
      </c>
      <c r="N106" s="10">
        <f ca="1">IF(Table3[[#This Row],[Certified Used?]]&gt;0,MIN(Table3[[#This Row],[Warranty Years Left]],Table3[[#This Row],[Warranty Mileage Years Left]])/Table3[[#This Row],[Price, Adj]],0)</f>
        <v>0</v>
      </c>
      <c r="O106" s="18">
        <f ca="1">Table3[[#This Row],[Mile-Cost Rating Adj]]*2+Table3[[#This Row],[Age-Cost Rating Adj]]*2+Table3[[#This Row],[Warranty-Cost Rating Adj]]*2+Table3[[#This Row],[Cost Rating, Adj]]*6</f>
        <v>0.57588985590152619</v>
      </c>
      <c r="P106" s="14" t="b">
        <f>IFERROR(OR(IFERROR(FIND("Red",Table3[[#This Row],[Color]],1),FALSE),FIND(Table3[[#This Row],[Color]],"Blue",1)),FALSE)</f>
        <v>0</v>
      </c>
      <c r="Q106" t="s">
        <v>145</v>
      </c>
      <c r="R106" s="1">
        <f>IFERROR(IF(FIND("certified",Table3[[#This Row],[Car Type]])&gt;0,1,0),0)</f>
        <v>1</v>
      </c>
      <c r="S106" s="17" t="b">
        <v>1</v>
      </c>
      <c r="T106" s="1" t="str">
        <f>TRIM(SUBSTITUTE(REPLACE(Table3[[#This Row],[Car Type]],1,5,""),"(certified)","",1))</f>
        <v>Toyota Prius</v>
      </c>
      <c r="U106" s="1">
        <f>MAX(LEFT(Table3[[#This Row],[Car Type]],4),0)</f>
        <v>2007</v>
      </c>
      <c r="V106" t="s">
        <v>213</v>
      </c>
      <c r="W106">
        <f ca="1">VALUE(YEAR(NOW())-Table3[[#This Row],[Year]])</f>
        <v>7</v>
      </c>
      <c r="X106" s="1">
        <f ca="1">IFERROR(IF(FIND("Fit",Table3[[#This Row],[Model]])&gt;0,6-(YEAR(NOW())-Table3[[#This Row],[Year]]),20),7-(YEAR(NOW())-Table3[[#This Row],[Year]]))</f>
        <v>0</v>
      </c>
      <c r="Y106" s="1">
        <f>IF(Table3[[#This Row],[Mileage]]&gt;91000,1,IF(Table3[[#This Row],[Mileage]]&gt;82000,2,IF(Table3[[#This Row],[Mileage]]&gt;75000,3,IF(Table3[[#This Row],[Mileage]]&gt;68000,4,IF(Table3[[#This Row],[Mileage]]&gt;61000,5,IF(Table3[[#This Row],[Mileage]]&gt;54000,6,IF(Table3[[#This Row],[Mileage]]&gt;47000,7,8)))))))</f>
        <v>3</v>
      </c>
    </row>
  </sheetData>
  <conditionalFormatting sqref="J1: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P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{F13F546E-1033-42C5-8382-1BEAC10F0BB4}</x14:id>
        </ext>
      </extLst>
    </cfRule>
  </conditionalFormatting>
  <conditionalFormatting sqref="N1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1048576 F1:F6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G1048576 G1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{48D0C7A7-C20C-4D25-8497-9DD927F8C77B}</x14:id>
        </ext>
      </extLst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6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6">
    <cfRule type="dataBar" priority="415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{F53C8493-1679-40D5-923B-7BF6D348ECE7}</x14:id>
        </ext>
      </extLst>
    </cfRule>
  </conditionalFormatting>
  <hyperlinks>
    <hyperlink ref="V43" r:id="rId1" location="page4" display="http://www.toyotacertified.com/inventory/?SearchRadius=100&amp;SearchZipCode=98133&amp;SearchModel=Prius&amp;VehicleCategory=&amp;action=quicksearch - page4"/>
    <hyperlink ref="V46" r:id="rId2" location="page5" display="http://www.toyotacertified.com/inventory/?SearchRadius=100&amp;SearchZipCode=98133&amp;SearchModel=Prius&amp;VehicleCategory=&amp;action=quicksearch - page5"/>
    <hyperlink ref="V89" r:id="rId3" location="page8" display="http://www.toyotacertified.com/inventory/?SearchRadius=100&amp;SearchZipCode=98133&amp;SearchModel=Prius&amp;VehicleCategory=&amp;action=quicksearch - page8"/>
    <hyperlink ref="V86" r:id="rId4" location="page17" display="http://www.toyotacertified.com/inventory/?SearchRadius=100&amp;SearchZipCode=98133&amp;SearchModel=Prius&amp;VehicleCategory=&amp;action=quicksearch - page17"/>
    <hyperlink ref="V65" r:id="rId5"/>
    <hyperlink ref="V98" r:id="rId6"/>
    <hyperlink ref="V103" r:id="rId7"/>
    <hyperlink ref="V105" r:id="rId8"/>
    <hyperlink ref="V104" r:id="rId9"/>
    <hyperlink ref="V102" r:id="rId10"/>
    <hyperlink ref="V50" r:id="rId11"/>
    <hyperlink ref="V41" r:id="rId12"/>
    <hyperlink ref="V2" r:id="rId13" display="http://www.autotrader.com/fyc/vdp.jsp?ct=c&amp;car_id=311985998&amp;dealer_id=64961691&amp;car_year=2011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35&amp;standard=false"/>
    <hyperlink ref="V11" r:id="rId14" display="http://www.autotrader.com/fyc/vdp.jsp?ct=c&amp;car_id=302980833&amp;dealer_id=575701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50&amp;standard=false"/>
    <hyperlink ref="V16" r:id="rId15" display="http://www.autotrader.com/fyc/vdp.jsp?ct=u&amp;car_id=313603078&amp;dealer_id=84285&amp;car_year=2009&amp;systime=&amp;doors=&amp;model=FIT&amp;search_lang=en&amp;start_year=2009&amp;keywordsfyc=__Y3J1aXNl__&amp;keywordsrep=099114117105115101&amp;scarid=302980833&amp;highlightFirstMakeModel=&amp;search_type=both&amp;distance=200&amp;min_price=&amp;rdm=1326246216398&amp;drive=&amp;marketZipError=false&amp;advanced=y&amp;fuel=&amp;keywords_display=cruise&amp;lastBeginningStartYear=1981&amp;end_year=2013&amp;showZipError=y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1&amp;standard=false"/>
    <hyperlink ref="V53" r:id="rId16" display="http://www.autotrader.com/fyc/vdp.jsp?ct=u&amp;car_id=313840031&amp;dealer_id=91617&amp;car_year=2009&amp;model=FIT&amp;pager.offset=25&amp;search_lang=en&amp;start_year=2009&amp;keywordsrep=099114117105115101&amp;keywordsfyc=__Y3J1aXNl__&amp;scarid=302980833&amp;search_type=both&amp;distance=200&amp;rdm=1326246216398&amp;marketZipError=false&amp;advanced=y&amp;keywords_display=cruise&amp;lastBeginningStartYear=1981&amp;end_year=2013&amp;showZipError=y&amp;dma=SEATTLE-TACOMA_NO&amp;page_location=findacar%3A%3Aispsearchform&amp;body_code=0&amp;first_record=26&amp;transmission=Automatic&amp;isFlashPlugin=true&amp;default_sort=priceASC&amp;max_mileage=75000&amp;address=98133&amp;sort_type=priceASC&amp;max_price=18000&amp;make=HONDA&amp;num_records=25&amp;seller_type=b&amp;cardist=13&amp;standard=false"/>
    <hyperlink ref="V29" r:id="rId17"/>
    <hyperlink ref="V56" r:id="rId18"/>
    <hyperlink ref="V32" r:id="rId19" display="http://www.autotrader.com/fyc/vdp.jsp?ct=u&amp;car_id=312100827&amp;dealer_id=66066249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217&amp;standard=false"/>
    <hyperlink ref="V26" r:id="rId20" display="http://www.autotrader.com/fyc/vdp.jsp?ct=u&amp;car_id=305396046&amp;dealer_id=65152575&amp;car_year=2010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79&amp;standard=false"/>
    <hyperlink ref="V4" r:id="rId21" display="http://www.autotrader.com/fyc/vdp.jsp?ct=c&amp;car_id=311359584&amp;dealer_id=1149141&amp;car_year=2011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57&amp;standard=false"/>
    <hyperlink ref="V13" r:id="rId22" display="http://www.autotrader.com/fyc/vdp.jsp?ct=u&amp;car_id=304564548&amp;dealer_id=619216&amp;car_year=2009&amp;systime=&amp;doors=&amp;model=FIT&amp;search_lang=en&amp;start_year=2009&amp;keywordsfyc=__c3BvcnQ%2C__&amp;keywordsrep=115112111114116&amp;scarid=302980833&amp;highlightFirstMakeModel=&amp;search_type=both&amp;distance=200&amp;min_price=&amp;rdm=1326248070558&amp;drive=&amp;marketZipError=false&amp;advanced=y&amp;fuel=&amp;keywords_display=sport&amp;lastBeginningStartYear=1981&amp;end_year=2013&amp;showZipError=n&amp;make2=&amp;certified=&amp;engine=&amp;dma=SEATTLE-TACOMA_NO&amp;page_location=findacar%3A%3Aispsearchform&amp;body_code=0&amp;isFlashPlugin=true&amp;transmission=Automatic&amp;default_sort=priceASC&amp;max_mileage=75000&amp;color=&amp;address=98133&amp;sort_type=priceASC&amp;max_price=18000&amp;make=HONDA&amp;seller_type=b&amp;num_records=25&amp;cardist=197&amp;standard=false"/>
    <hyperlink ref="V64" r:id="rId23"/>
    <hyperlink ref="V92" r:id="rId24"/>
    <hyperlink ref="V101" r:id="rId25"/>
  </hyperlinks>
  <pageMargins left="0.7" right="0.7" top="0.75" bottom="0.75" header="0.3" footer="0.3"/>
  <pageSetup orientation="portrait" horizontalDpi="200" verticalDpi="200" r:id="rId26"/>
  <legacyDrawing r:id="rId27"/>
  <tableParts count="1">
    <tablePart r:id="rId2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F546E-1033-42C5-8382-1BEAC10F0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O1:P1048576</xm:sqref>
        </x14:conditionalFormatting>
        <x14:conditionalFormatting xmlns:xm="http://schemas.microsoft.com/office/excel/2006/main">
          <x14:cfRule type="dataBar" id="{48D0C7A7-C20C-4D25-8497-9DD927F8C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G86:G1048576 G1</xm:sqref>
        </x14:conditionalFormatting>
        <x14:conditionalFormatting xmlns:xm="http://schemas.microsoft.com/office/excel/2006/main">
          <x14:cfRule type="dataBar" id="{F53C8493-1679-40D5-923B-7BF6D348E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G2:G106</xm:sqref>
        </x14:conditionalFormatting>
        <x14:conditionalFormatting xmlns:xm="http://schemas.microsoft.com/office/excel/2006/main">
          <x14:cfRule type="iconSet" priority="416" id="{9B831B06-D113-4FA5-9FB8-869336B187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S107:T1048576 R1:S106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workbookViewId="0">
      <selection activeCell="C25" sqref="C25"/>
    </sheetView>
  </sheetViews>
  <sheetFormatPr defaultRowHeight="15" x14ac:dyDescent="0.25"/>
  <cols>
    <col min="1" max="1" width="13.140625" customWidth="1"/>
    <col min="2" max="2" width="22.5703125" style="6" customWidth="1"/>
    <col min="3" max="3" width="15.85546875" bestFit="1" customWidth="1"/>
    <col min="4" max="8" width="12" customWidth="1"/>
    <col min="9" max="9" width="10" customWidth="1"/>
    <col min="10" max="17" width="12" customWidth="1"/>
    <col min="18" max="18" width="11" customWidth="1"/>
    <col min="19" max="32" width="12" customWidth="1"/>
    <col min="33" max="33" width="11" customWidth="1"/>
    <col min="34" max="78" width="12" customWidth="1"/>
    <col min="79" max="79" width="11" customWidth="1"/>
    <col min="80" max="85" width="12" customWidth="1"/>
    <col min="86" max="86" width="12.7109375" bestFit="1" customWidth="1"/>
  </cols>
  <sheetData>
    <row r="3" spans="1:2" x14ac:dyDescent="0.25">
      <c r="A3" s="19" t="s">
        <v>294</v>
      </c>
      <c r="B3" s="6" t="s">
        <v>296</v>
      </c>
    </row>
    <row r="4" spans="1:2" x14ac:dyDescent="0.25">
      <c r="A4" s="20">
        <v>0</v>
      </c>
      <c r="B4" s="6">
        <v>3.3144382085237769</v>
      </c>
    </row>
    <row r="5" spans="1:2" x14ac:dyDescent="0.25">
      <c r="A5" s="20">
        <v>10</v>
      </c>
      <c r="B5" s="6">
        <v>3.9933263679976641</v>
      </c>
    </row>
    <row r="6" spans="1:2" x14ac:dyDescent="0.25">
      <c r="A6" s="20">
        <v>15</v>
      </c>
      <c r="B6" s="6">
        <v>3.4648466968760996</v>
      </c>
    </row>
    <row r="7" spans="1:2" x14ac:dyDescent="0.25">
      <c r="A7" s="20">
        <v>18</v>
      </c>
      <c r="B7" s="6">
        <v>3.6123139389835037</v>
      </c>
    </row>
    <row r="8" spans="1:2" x14ac:dyDescent="0.25">
      <c r="A8" s="20">
        <v>30</v>
      </c>
      <c r="B8" s="6">
        <v>3.7873257849390982</v>
      </c>
    </row>
    <row r="9" spans="1:2" x14ac:dyDescent="0.25">
      <c r="A9" s="20">
        <v>60</v>
      </c>
      <c r="B9" s="6">
        <v>3.9111228194553433</v>
      </c>
    </row>
    <row r="10" spans="1:2" x14ac:dyDescent="0.25">
      <c r="A10" s="20">
        <v>80</v>
      </c>
      <c r="B10" s="6">
        <v>4.0837893717542189</v>
      </c>
    </row>
    <row r="11" spans="1:2" x14ac:dyDescent="0.25">
      <c r="A11" s="20">
        <v>90</v>
      </c>
      <c r="B11" s="6">
        <v>2.8279473023050778</v>
      </c>
    </row>
    <row r="12" spans="1:2" x14ac:dyDescent="0.25">
      <c r="A12" s="20">
        <v>100</v>
      </c>
      <c r="B12" s="6">
        <v>2.4914041456010141</v>
      </c>
    </row>
    <row r="13" spans="1:2" x14ac:dyDescent="0.25">
      <c r="A13" s="20">
        <v>150</v>
      </c>
      <c r="B13" s="6">
        <v>5.1122399987887741</v>
      </c>
    </row>
    <row r="14" spans="1:2" x14ac:dyDescent="0.25">
      <c r="A14" s="20">
        <v>242</v>
      </c>
      <c r="B14" s="6">
        <v>3.1592415502176467</v>
      </c>
    </row>
    <row r="15" spans="1:2" x14ac:dyDescent="0.25">
      <c r="A15" s="20">
        <v>78</v>
      </c>
      <c r="B15" s="6">
        <v>1.7118942842108362</v>
      </c>
    </row>
    <row r="16" spans="1:2" x14ac:dyDescent="0.25">
      <c r="A16" s="20">
        <v>31</v>
      </c>
      <c r="B16" s="6">
        <v>2.3355534136378986</v>
      </c>
    </row>
    <row r="17" spans="1:2" x14ac:dyDescent="0.25">
      <c r="A17" s="20">
        <v>185</v>
      </c>
      <c r="B17" s="6">
        <v>1.9806572823521444</v>
      </c>
    </row>
    <row r="18" spans="1:2" x14ac:dyDescent="0.25">
      <c r="A18" s="20">
        <v>192</v>
      </c>
      <c r="B18" s="6">
        <v>4.3910165793211551</v>
      </c>
    </row>
    <row r="19" spans="1:2" x14ac:dyDescent="0.25">
      <c r="A19" s="20">
        <v>214</v>
      </c>
      <c r="B19" s="6">
        <v>2.1756492861835066</v>
      </c>
    </row>
    <row r="20" spans="1:2" x14ac:dyDescent="0.25">
      <c r="A20" s="20">
        <v>16</v>
      </c>
      <c r="B20" s="6">
        <v>3.2550161820529029</v>
      </c>
    </row>
    <row r="21" spans="1:2" x14ac:dyDescent="0.25">
      <c r="A21" s="20">
        <v>212</v>
      </c>
      <c r="B21" s="6">
        <v>3.3153418143156088</v>
      </c>
    </row>
    <row r="22" spans="1:2" x14ac:dyDescent="0.25">
      <c r="A22" s="20">
        <v>173</v>
      </c>
      <c r="B22" s="6">
        <v>1.6586965466260193</v>
      </c>
    </row>
    <row r="23" spans="1:2" x14ac:dyDescent="0.25">
      <c r="A23" s="20">
        <v>22</v>
      </c>
      <c r="B23" s="6">
        <v>3.5442544590973282</v>
      </c>
    </row>
    <row r="24" spans="1:2" x14ac:dyDescent="0.25">
      <c r="A24" s="20">
        <v>36</v>
      </c>
      <c r="B24" s="6">
        <v>3.4568484332110025</v>
      </c>
    </row>
    <row r="25" spans="1:2" x14ac:dyDescent="0.25">
      <c r="A25" s="20">
        <v>219</v>
      </c>
      <c r="B25" s="6">
        <v>4.4057018619305737</v>
      </c>
    </row>
    <row r="26" spans="1:2" x14ac:dyDescent="0.25">
      <c r="A26" s="20">
        <v>280</v>
      </c>
      <c r="B26" s="6">
        <v>6.4675963612193046</v>
      </c>
    </row>
    <row r="27" spans="1:2" x14ac:dyDescent="0.25">
      <c r="A27" s="20">
        <v>33</v>
      </c>
      <c r="B27" s="6">
        <v>3.4751160753568557</v>
      </c>
    </row>
    <row r="28" spans="1:2" x14ac:dyDescent="0.25">
      <c r="A28" s="20">
        <v>34</v>
      </c>
      <c r="B28" s="6">
        <v>2.6999940434238066</v>
      </c>
    </row>
    <row r="29" spans="1:2" x14ac:dyDescent="0.25">
      <c r="A29" s="20">
        <v>261</v>
      </c>
      <c r="B29" s="6">
        <v>3.141909522705495</v>
      </c>
    </row>
    <row r="30" spans="1:2" x14ac:dyDescent="0.25">
      <c r="A30" s="20">
        <v>191</v>
      </c>
      <c r="B30" s="6">
        <v>4.67870335515354</v>
      </c>
    </row>
    <row r="31" spans="1:2" x14ac:dyDescent="0.25">
      <c r="A31" s="20">
        <v>142</v>
      </c>
      <c r="B31" s="6">
        <v>4.2193180789950091</v>
      </c>
    </row>
    <row r="32" spans="1:2" x14ac:dyDescent="0.25">
      <c r="A32" s="20">
        <v>181</v>
      </c>
      <c r="B32" s="6">
        <v>5.107427560684842</v>
      </c>
    </row>
    <row r="33" spans="1:2" x14ac:dyDescent="0.25">
      <c r="A33" s="20">
        <v>197</v>
      </c>
      <c r="B33" s="6">
        <v>2.1341896758194152</v>
      </c>
    </row>
    <row r="34" spans="1:2" x14ac:dyDescent="0.25">
      <c r="A34" s="20">
        <v>199</v>
      </c>
      <c r="B34" s="6">
        <v>1.5023914636662588</v>
      </c>
    </row>
    <row r="35" spans="1:2" x14ac:dyDescent="0.25">
      <c r="A35" s="20" t="s">
        <v>295</v>
      </c>
      <c r="B35" s="6">
        <v>6.4675963612193046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Specific Cars</vt:lpstr>
      <vt:lpstr>Value vs 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2011-02-15T16:04:36Z</dcterms:created>
  <dcterms:modified xsi:type="dcterms:W3CDTF">2014-05-09T02:07:31Z</dcterms:modified>
</cp:coreProperties>
</file>