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drawings/drawing5.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ml.chartshapes+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24226"/>
  <mc:AlternateContent xmlns:mc="http://schemas.openxmlformats.org/markup-compatibility/2006">
    <mc:Choice Requires="x15">
      <x15ac:absPath xmlns:x15ac="http://schemas.microsoft.com/office/spreadsheetml/2010/11/ac" url="/Users/tanzil/Documents/Research/DevOps/"/>
    </mc:Choice>
  </mc:AlternateContent>
  <xr:revisionPtr revIDLastSave="0" documentId="13_ncr:1_{EFAB3F7A-27EB-BD4D-B391-74F84E43A88C}" xr6:coauthVersionLast="47" xr6:coauthVersionMax="47" xr10:uidLastSave="{00000000-0000-0000-0000-000000000000}"/>
  <bookViews>
    <workbookView xWindow="-17660" yWindow="-1320" windowWidth="19880" windowHeight="14500" firstSheet="4" activeTab="9" xr2:uid="{00000000-000D-0000-FFFF-FFFF00000000}"/>
  </bookViews>
  <sheets>
    <sheet name="Popularity Difficulty 3 yrs" sheetId="7" state="hidden" r:id="rId1"/>
    <sheet name="Survey Questions" sheetId="13" r:id="rId2"/>
    <sheet name="Survey Invitations" sheetId="14" state="hidden" r:id="rId3"/>
    <sheet name="Survey Questions &amp; Findings MAP" sheetId="18" r:id="rId4"/>
    <sheet name="Survey Questions &amp; Findings WIP" sheetId="16" state="hidden" r:id="rId5"/>
    <sheet name="Implications from Findings" sheetId="11" r:id="rId6"/>
    <sheet name="Survey Questions-WIP" sheetId="12" state="hidden" r:id="rId7"/>
    <sheet name="Findings Summary" sheetId="8" r:id="rId8"/>
    <sheet name="Phase Tools Difficulty" sheetId="17" r:id="rId9"/>
    <sheet name="Popularity Difficulty Tradeoff" sheetId="6" r:id="rId10"/>
    <sheet name="LifeCycle Phase wise Topics" sheetId="9" r:id="rId11"/>
    <sheet name="Evoluation_Relative_Impact" sheetId="15" r:id="rId12"/>
    <sheet name="Temporal_evoluation" sheetId="10" r:id="rId13"/>
    <sheet name="Topic Post Count" sheetId="1" r:id="rId14"/>
    <sheet name="Popularity Difficulty" sheetId="2" state="hidden" r:id="rId15"/>
    <sheet name="Difficulty" sheetId="3" state="hidden" r:id="rId16"/>
  </sheets>
  <definedNames>
    <definedName name="_xlnm._FilterDatabase" localSheetId="13" hidden="1">'Topic Post Count'!$A$1:$H$31</definedName>
  </definedNames>
  <calcPr calcId="191029"/>
  <pivotCaches>
    <pivotCache cacheId="31" r:id="rId1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3" i="6" l="1"/>
  <c r="K32" i="6"/>
  <c r="J30" i="6"/>
  <c r="I29" i="6"/>
  <c r="Z7" i="15" l="1"/>
  <c r="Y7" i="15"/>
  <c r="X7" i="15"/>
  <c r="W7" i="15"/>
  <c r="V7" i="15"/>
  <c r="U7" i="15"/>
  <c r="T7" i="15"/>
  <c r="S7" i="15"/>
  <c r="R7" i="15"/>
  <c r="Q7" i="15"/>
  <c r="P7" i="15"/>
  <c r="O7" i="15"/>
  <c r="N7" i="15"/>
  <c r="M7" i="15"/>
  <c r="L7" i="15"/>
  <c r="K7" i="15"/>
  <c r="J7" i="15"/>
  <c r="I7" i="15"/>
  <c r="H7" i="15"/>
  <c r="G7" i="15"/>
  <c r="F7" i="15"/>
  <c r="E7" i="15"/>
  <c r="D7" i="15"/>
  <c r="Z6" i="15"/>
  <c r="Y6" i="15"/>
  <c r="X6" i="15"/>
  <c r="W6" i="15"/>
  <c r="V6" i="15"/>
  <c r="U6" i="15"/>
  <c r="T6" i="15"/>
  <c r="S6" i="15"/>
  <c r="R6" i="15"/>
  <c r="Q6" i="15"/>
  <c r="P6" i="15"/>
  <c r="O6" i="15"/>
  <c r="N6" i="15"/>
  <c r="M6" i="15"/>
  <c r="L6" i="15"/>
  <c r="K6" i="15"/>
  <c r="J6" i="15"/>
  <c r="I6" i="15"/>
  <c r="H6" i="15"/>
  <c r="G6" i="15"/>
  <c r="F6" i="15"/>
  <c r="E6" i="15"/>
  <c r="D6" i="15"/>
  <c r="Z5" i="15"/>
  <c r="Y5" i="15"/>
  <c r="X5" i="15"/>
  <c r="W5" i="15"/>
  <c r="V5" i="15"/>
  <c r="U5" i="15"/>
  <c r="T5" i="15"/>
  <c r="S5" i="15"/>
  <c r="R5" i="15"/>
  <c r="Q5" i="15"/>
  <c r="P5" i="15"/>
  <c r="O5" i="15"/>
  <c r="N5" i="15"/>
  <c r="M5" i="15"/>
  <c r="L5" i="15"/>
  <c r="K5" i="15"/>
  <c r="J5" i="15"/>
  <c r="I5" i="15"/>
  <c r="H5" i="15"/>
  <c r="G5" i="15"/>
  <c r="F5" i="15"/>
  <c r="E5" i="15"/>
  <c r="D5" i="15"/>
  <c r="Z4" i="15"/>
  <c r="Y4" i="15"/>
  <c r="X4" i="15"/>
  <c r="W4" i="15"/>
  <c r="V4" i="15"/>
  <c r="U4" i="15"/>
  <c r="T4" i="15"/>
  <c r="S4" i="15"/>
  <c r="R4" i="15"/>
  <c r="Q4" i="15"/>
  <c r="P4" i="15"/>
  <c r="O4" i="15"/>
  <c r="N4" i="15"/>
  <c r="M4" i="15"/>
  <c r="L4" i="15"/>
  <c r="K4" i="15"/>
  <c r="J4" i="15"/>
  <c r="I4" i="15"/>
  <c r="H4" i="15"/>
  <c r="G4" i="15"/>
  <c r="F4" i="15"/>
  <c r="E4" i="15"/>
  <c r="D4" i="15"/>
  <c r="Z3" i="15"/>
  <c r="Y3" i="15"/>
  <c r="X3" i="15"/>
  <c r="W3" i="15"/>
  <c r="V3" i="15"/>
  <c r="U3" i="15"/>
  <c r="T3" i="15"/>
  <c r="S3" i="15"/>
  <c r="R3" i="15"/>
  <c r="Q3" i="15"/>
  <c r="P3" i="15"/>
  <c r="O3" i="15"/>
  <c r="N3" i="15"/>
  <c r="M3" i="15"/>
  <c r="L3" i="15"/>
  <c r="K3" i="15"/>
  <c r="J3" i="15"/>
  <c r="I3" i="15"/>
  <c r="H3" i="15"/>
  <c r="G3" i="15"/>
  <c r="F3" i="15"/>
  <c r="E3" i="15"/>
  <c r="D3" i="15"/>
  <c r="Z2" i="15"/>
  <c r="Y2" i="15"/>
  <c r="X2" i="15"/>
  <c r="W2" i="15"/>
  <c r="V2" i="15"/>
  <c r="U2" i="15"/>
  <c r="T2" i="15"/>
  <c r="S2" i="15"/>
  <c r="R2" i="15"/>
  <c r="Q2" i="15"/>
  <c r="P2" i="15"/>
  <c r="O2" i="15"/>
  <c r="N2" i="15"/>
  <c r="M2" i="15"/>
  <c r="L2" i="15"/>
  <c r="K2" i="15"/>
  <c r="J2" i="15"/>
  <c r="I2" i="15"/>
  <c r="H2" i="15"/>
  <c r="G2" i="15"/>
  <c r="F2" i="15"/>
  <c r="E2" i="15"/>
  <c r="D2" i="15"/>
  <c r="C7" i="15"/>
  <c r="C6" i="15"/>
  <c r="C5" i="15"/>
  <c r="C4" i="15"/>
  <c r="C3" i="15"/>
  <c r="C2" i="15"/>
  <c r="Z7" i="10"/>
  <c r="Y7" i="10"/>
  <c r="X7" i="10"/>
  <c r="W7" i="10"/>
  <c r="V7" i="10"/>
  <c r="U7" i="10"/>
  <c r="T7" i="10"/>
  <c r="S7" i="10"/>
  <c r="R7" i="10"/>
  <c r="Q7" i="10"/>
  <c r="P7" i="10"/>
  <c r="O7" i="10"/>
  <c r="N7" i="10"/>
  <c r="M7" i="10"/>
  <c r="L7" i="10"/>
  <c r="K7" i="10"/>
  <c r="J7" i="10"/>
  <c r="I7" i="10"/>
  <c r="H7" i="10"/>
  <c r="G7" i="10"/>
  <c r="F7" i="10"/>
  <c r="E7" i="10"/>
  <c r="D7" i="10"/>
  <c r="C7" i="10"/>
  <c r="C26" i="6"/>
  <c r="B6" i="10"/>
  <c r="B5" i="10"/>
  <c r="B4" i="10"/>
  <c r="B3" i="10"/>
  <c r="B2" i="10"/>
  <c r="J6" i="7"/>
  <c r="J9" i="7"/>
  <c r="J16" i="7"/>
  <c r="J17" i="7"/>
  <c r="J21" i="7"/>
  <c r="J22" i="7"/>
  <c r="J25" i="7"/>
  <c r="H25" i="7"/>
  <c r="B25" i="7" s="1"/>
  <c r="G25" i="7"/>
  <c r="H24" i="7"/>
  <c r="B24" i="7" s="1"/>
  <c r="G24" i="7"/>
  <c r="J24" i="7"/>
  <c r="H23" i="7"/>
  <c r="G23" i="7"/>
  <c r="J23" i="7"/>
  <c r="B23" i="7"/>
  <c r="H22" i="7"/>
  <c r="B22" i="7" s="1"/>
  <c r="G22" i="7"/>
  <c r="H21" i="7"/>
  <c r="B21" i="7" s="1"/>
  <c r="G21" i="7"/>
  <c r="H20" i="7"/>
  <c r="B20" i="7" s="1"/>
  <c r="G20" i="7"/>
  <c r="J20" i="7"/>
  <c r="H19" i="7"/>
  <c r="B19" i="7" s="1"/>
  <c r="G19" i="7"/>
  <c r="J19" i="7"/>
  <c r="J18" i="7"/>
  <c r="H18" i="7"/>
  <c r="B18" i="7" s="1"/>
  <c r="G18" i="7"/>
  <c r="H17" i="7"/>
  <c r="B17" i="7" s="1"/>
  <c r="G17" i="7"/>
  <c r="H16" i="7"/>
  <c r="B16" i="7" s="1"/>
  <c r="G16" i="7"/>
  <c r="H15" i="7"/>
  <c r="B15" i="7" s="1"/>
  <c r="G15" i="7"/>
  <c r="J15" i="7"/>
  <c r="J14" i="7"/>
  <c r="H14" i="7"/>
  <c r="B14" i="7" s="1"/>
  <c r="G14" i="7"/>
  <c r="J13" i="7"/>
  <c r="H13" i="7"/>
  <c r="B13" i="7" s="1"/>
  <c r="G13" i="7"/>
  <c r="H12" i="7"/>
  <c r="B12" i="7" s="1"/>
  <c r="G12" i="7"/>
  <c r="J12" i="7"/>
  <c r="H11" i="7"/>
  <c r="G11" i="7"/>
  <c r="J11" i="7"/>
  <c r="B11" i="7"/>
  <c r="J10" i="7"/>
  <c r="H10" i="7"/>
  <c r="B10" i="7" s="1"/>
  <c r="G10" i="7"/>
  <c r="H9" i="7"/>
  <c r="B9" i="7" s="1"/>
  <c r="G9" i="7"/>
  <c r="H8" i="7"/>
  <c r="B8" i="7" s="1"/>
  <c r="G8" i="7"/>
  <c r="J8" i="7"/>
  <c r="H7" i="7"/>
  <c r="B7" i="7" s="1"/>
  <c r="G7" i="7"/>
  <c r="J7" i="7"/>
  <c r="H6" i="7"/>
  <c r="B6" i="7" s="1"/>
  <c r="G6" i="7"/>
  <c r="J5" i="7"/>
  <c r="H5" i="7"/>
  <c r="B5" i="7" s="1"/>
  <c r="G5" i="7"/>
  <c r="H4" i="7"/>
  <c r="G4" i="7"/>
  <c r="J4" i="7"/>
  <c r="H3" i="7"/>
  <c r="B3" i="7" s="1"/>
  <c r="G3" i="7"/>
  <c r="J3" i="7"/>
  <c r="J2" i="7"/>
  <c r="H2" i="7"/>
  <c r="G2" i="7"/>
  <c r="B2" i="7"/>
  <c r="B5" i="15" l="1"/>
  <c r="B6" i="15"/>
  <c r="B2" i="15"/>
  <c r="B3" i="15"/>
  <c r="B4" i="15"/>
  <c r="J26" i="7"/>
  <c r="B4" i="7"/>
  <c r="H21" i="6"/>
  <c r="B21" i="6" s="1"/>
  <c r="G21" i="6"/>
  <c r="D21" i="6"/>
  <c r="H17" i="6"/>
  <c r="B17" i="6" s="1"/>
  <c r="G17" i="6"/>
  <c r="D17" i="6"/>
  <c r="H22" i="6"/>
  <c r="B22" i="6" s="1"/>
  <c r="G22" i="6"/>
  <c r="D22" i="6"/>
  <c r="H2" i="6"/>
  <c r="B2" i="6" s="1"/>
  <c r="G2" i="6"/>
  <c r="D2" i="6"/>
  <c r="H24" i="6"/>
  <c r="B24" i="6" s="1"/>
  <c r="G24" i="6"/>
  <c r="D24" i="6"/>
  <c r="H16" i="6"/>
  <c r="B16" i="6" s="1"/>
  <c r="G16" i="6"/>
  <c r="D16" i="6"/>
  <c r="H13" i="6"/>
  <c r="B13" i="6" s="1"/>
  <c r="G13" i="6"/>
  <c r="D13" i="6"/>
  <c r="H15" i="6"/>
  <c r="B15" i="6" s="1"/>
  <c r="G15" i="6"/>
  <c r="D15" i="6"/>
  <c r="H5" i="6"/>
  <c r="B5" i="6" s="1"/>
  <c r="G5" i="6"/>
  <c r="D5" i="6"/>
  <c r="H8" i="6"/>
  <c r="B8" i="6" s="1"/>
  <c r="G8" i="6"/>
  <c r="D8" i="6"/>
  <c r="H7" i="6"/>
  <c r="B7" i="6" s="1"/>
  <c r="G7" i="6"/>
  <c r="D7" i="6"/>
  <c r="H4" i="6"/>
  <c r="B4" i="6" s="1"/>
  <c r="G4" i="6"/>
  <c r="D4" i="6"/>
  <c r="H6" i="6"/>
  <c r="B6" i="6" s="1"/>
  <c r="G6" i="6"/>
  <c r="D6" i="6"/>
  <c r="H12" i="6"/>
  <c r="B12" i="6" s="1"/>
  <c r="G12" i="6"/>
  <c r="D12" i="6"/>
  <c r="H3" i="6"/>
  <c r="B3" i="6" s="1"/>
  <c r="G3" i="6"/>
  <c r="D3" i="6"/>
  <c r="H25" i="6"/>
  <c r="B25" i="6" s="1"/>
  <c r="G25" i="6"/>
  <c r="D25" i="6"/>
  <c r="H20" i="6"/>
  <c r="B20" i="6" s="1"/>
  <c r="G20" i="6"/>
  <c r="D20" i="6"/>
  <c r="H23" i="6"/>
  <c r="B23" i="6" s="1"/>
  <c r="G23" i="6"/>
  <c r="D23" i="6"/>
  <c r="H14" i="6"/>
  <c r="B14" i="6" s="1"/>
  <c r="G14" i="6"/>
  <c r="D14" i="6"/>
  <c r="H18" i="6"/>
  <c r="B18" i="6" s="1"/>
  <c r="G18" i="6"/>
  <c r="D18" i="6"/>
  <c r="H19" i="6"/>
  <c r="B19" i="6" s="1"/>
  <c r="G19" i="6"/>
  <c r="D19" i="6"/>
  <c r="H9" i="6"/>
  <c r="B9" i="6" s="1"/>
  <c r="G9" i="6"/>
  <c r="D9" i="6"/>
  <c r="H11" i="6"/>
  <c r="B11" i="6" s="1"/>
  <c r="G11" i="6"/>
  <c r="D11" i="6"/>
  <c r="H10" i="6"/>
  <c r="B10" i="6" s="1"/>
  <c r="G10" i="6"/>
  <c r="D10" i="6"/>
  <c r="J28" i="6" l="1"/>
  <c r="J29" i="6"/>
  <c r="O2" i="6"/>
  <c r="M17" i="6" s="1"/>
  <c r="M5" i="6"/>
  <c r="G26" i="6"/>
  <c r="D26" i="6"/>
  <c r="B26" i="6"/>
  <c r="J13" i="6"/>
  <c r="K13" i="6"/>
  <c r="L13" i="6" s="1"/>
  <c r="J9" i="6"/>
  <c r="K9" i="6"/>
  <c r="L9" i="6" s="1"/>
  <c r="J19" i="6"/>
  <c r="K19" i="6"/>
  <c r="L19" i="6" s="1"/>
  <c r="J15" i="6"/>
  <c r="K15" i="6"/>
  <c r="L15" i="6" s="1"/>
  <c r="J11" i="6"/>
  <c r="K11" i="6"/>
  <c r="L11" i="6" s="1"/>
  <c r="J24" i="6"/>
  <c r="K24" i="6"/>
  <c r="L24" i="6" s="1"/>
  <c r="J17" i="6"/>
  <c r="K17" i="6"/>
  <c r="L17" i="6" s="1"/>
  <c r="J6" i="6"/>
  <c r="K6" i="6"/>
  <c r="L6" i="6" s="1"/>
  <c r="J18" i="6"/>
  <c r="K18" i="6"/>
  <c r="L18" i="6" s="1"/>
  <c r="J4" i="6"/>
  <c r="K4" i="6"/>
  <c r="L4" i="6" s="1"/>
  <c r="J5" i="6"/>
  <c r="K5" i="6"/>
  <c r="L5" i="6" s="1"/>
  <c r="J21" i="6"/>
  <c r="K21" i="6"/>
  <c r="L21" i="6" s="1"/>
  <c r="J8" i="6"/>
  <c r="K8" i="6"/>
  <c r="L8" i="6" s="1"/>
  <c r="J3" i="6"/>
  <c r="K3" i="6"/>
  <c r="L3" i="6" s="1"/>
  <c r="J20" i="6"/>
  <c r="K20" i="6"/>
  <c r="L20" i="6" s="1"/>
  <c r="J2" i="6"/>
  <c r="K2" i="6"/>
  <c r="L2" i="6" s="1"/>
  <c r="J14" i="6"/>
  <c r="K14" i="6"/>
  <c r="L14" i="6" s="1"/>
  <c r="J12" i="6"/>
  <c r="K12" i="6"/>
  <c r="L12" i="6" s="1"/>
  <c r="J16" i="6"/>
  <c r="K16" i="6"/>
  <c r="L16" i="6" s="1"/>
  <c r="J23" i="6"/>
  <c r="K23" i="6"/>
  <c r="L23" i="6" s="1"/>
  <c r="J10" i="6"/>
  <c r="K10" i="6"/>
  <c r="L10" i="6" s="1"/>
  <c r="J25" i="6"/>
  <c r="K25" i="6"/>
  <c r="L25" i="6" s="1"/>
  <c r="J7" i="6"/>
  <c r="K7" i="6"/>
  <c r="L7" i="6" s="1"/>
  <c r="J22" i="6"/>
  <c r="K22" i="6"/>
  <c r="L22" i="6" s="1"/>
  <c r="D2" i="2"/>
  <c r="J2" i="2" s="1"/>
  <c r="D3" i="2"/>
  <c r="J3" i="2" s="1"/>
  <c r="D4" i="2"/>
  <c r="J4" i="2" s="1"/>
  <c r="D5" i="2"/>
  <c r="J5" i="2" s="1"/>
  <c r="D6" i="2"/>
  <c r="J6" i="2" s="1"/>
  <c r="D7" i="2"/>
  <c r="J7" i="2" s="1"/>
  <c r="D8" i="2"/>
  <c r="J8" i="2" s="1"/>
  <c r="D9" i="2"/>
  <c r="J9" i="2" s="1"/>
  <c r="D10" i="2"/>
  <c r="J10" i="2" s="1"/>
  <c r="D11" i="2"/>
  <c r="J11" i="2" s="1"/>
  <c r="D12" i="2"/>
  <c r="J12" i="2" s="1"/>
  <c r="D13" i="2"/>
  <c r="J13" i="2" s="1"/>
  <c r="D14" i="2"/>
  <c r="J14" i="2" s="1"/>
  <c r="D15" i="2"/>
  <c r="J15" i="2" s="1"/>
  <c r="D16" i="2"/>
  <c r="J16" i="2" s="1"/>
  <c r="D17" i="2"/>
  <c r="J17" i="2" s="1"/>
  <c r="D18" i="2"/>
  <c r="J18" i="2" s="1"/>
  <c r="D19" i="2"/>
  <c r="J19" i="2" s="1"/>
  <c r="D20" i="2"/>
  <c r="J20" i="2" s="1"/>
  <c r="D21" i="2"/>
  <c r="J21" i="2" s="1"/>
  <c r="D22" i="2"/>
  <c r="J22" i="2" s="1"/>
  <c r="D23" i="2"/>
  <c r="J23" i="2" s="1"/>
  <c r="D24" i="2"/>
  <c r="J24" i="2" s="1"/>
  <c r="D25" i="2"/>
  <c r="J25" i="2" s="1"/>
  <c r="I8" i="2"/>
  <c r="I9" i="2"/>
  <c r="I16" i="2"/>
  <c r="E29" i="1"/>
  <c r="I25" i="2" s="1"/>
  <c r="E28" i="1"/>
  <c r="E27" i="1"/>
  <c r="E12" i="1"/>
  <c r="E31" i="1"/>
  <c r="E20" i="1"/>
  <c r="E19" i="1"/>
  <c r="E18" i="1"/>
  <c r="E11" i="1"/>
  <c r="E10" i="1"/>
  <c r="E9" i="1"/>
  <c r="E8" i="1"/>
  <c r="E7" i="1"/>
  <c r="E6" i="1"/>
  <c r="E5" i="1"/>
  <c r="E4" i="1"/>
  <c r="E3" i="1"/>
  <c r="E16" i="1"/>
  <c r="E2" i="1"/>
  <c r="I11" i="2" s="1"/>
  <c r="E30" i="1"/>
  <c r="E26" i="1"/>
  <c r="E25" i="1"/>
  <c r="E17" i="1"/>
  <c r="E24" i="1"/>
  <c r="E23" i="1"/>
  <c r="E22" i="1"/>
  <c r="E21" i="1"/>
  <c r="E15" i="1"/>
  <c r="E14" i="1"/>
  <c r="E13" i="1"/>
  <c r="G2" i="2"/>
  <c r="G3" i="2"/>
  <c r="G4" i="2"/>
  <c r="G5" i="2"/>
  <c r="G6" i="2"/>
  <c r="G7" i="2"/>
  <c r="G8" i="2"/>
  <c r="G9" i="2"/>
  <c r="G10" i="2"/>
  <c r="G11" i="2"/>
  <c r="G12" i="2"/>
  <c r="G13" i="2"/>
  <c r="G14" i="2"/>
  <c r="G15" i="2"/>
  <c r="G16" i="2"/>
  <c r="G17" i="2"/>
  <c r="G18" i="2"/>
  <c r="G19" i="2"/>
  <c r="G20" i="2"/>
  <c r="G21" i="2"/>
  <c r="G22" i="2"/>
  <c r="G23" i="2"/>
  <c r="G24" i="2"/>
  <c r="G25" i="2"/>
  <c r="H2" i="2"/>
  <c r="B2" i="2" s="1"/>
  <c r="H3" i="2"/>
  <c r="B3" i="2" s="1"/>
  <c r="H4" i="2"/>
  <c r="B4" i="2" s="1"/>
  <c r="H5" i="2"/>
  <c r="B5" i="2" s="1"/>
  <c r="H6" i="2"/>
  <c r="B6" i="2" s="1"/>
  <c r="H7" i="2"/>
  <c r="B7" i="2" s="1"/>
  <c r="H8" i="2"/>
  <c r="B8" i="2" s="1"/>
  <c r="H9" i="2"/>
  <c r="B9" i="2" s="1"/>
  <c r="H10" i="2"/>
  <c r="B10" i="2" s="1"/>
  <c r="H11" i="2"/>
  <c r="B11" i="2" s="1"/>
  <c r="H12" i="2"/>
  <c r="B12" i="2" s="1"/>
  <c r="H13" i="2"/>
  <c r="B13" i="2" s="1"/>
  <c r="H14" i="2"/>
  <c r="B14" i="2" s="1"/>
  <c r="H15" i="2"/>
  <c r="B15" i="2" s="1"/>
  <c r="H16" i="2"/>
  <c r="B16" i="2" s="1"/>
  <c r="H17" i="2"/>
  <c r="B17" i="2" s="1"/>
  <c r="H18" i="2"/>
  <c r="B18" i="2" s="1"/>
  <c r="H19" i="2"/>
  <c r="B19" i="2" s="1"/>
  <c r="H20" i="2"/>
  <c r="B20" i="2" s="1"/>
  <c r="H21" i="2"/>
  <c r="B21" i="2" s="1"/>
  <c r="H22" i="2"/>
  <c r="B22" i="2" s="1"/>
  <c r="H23" i="2"/>
  <c r="B23" i="2" s="1"/>
  <c r="H24" i="2"/>
  <c r="B24" i="2" s="1"/>
  <c r="H25" i="2"/>
  <c r="B25" i="2" s="1"/>
  <c r="M7" i="6" l="1"/>
  <c r="M23" i="6"/>
  <c r="M15" i="6"/>
  <c r="M16" i="6"/>
  <c r="M3" i="6"/>
  <c r="M25" i="6"/>
  <c r="M12" i="6"/>
  <c r="M11" i="6"/>
  <c r="M10" i="6"/>
  <c r="M9" i="6"/>
  <c r="M8" i="6"/>
  <c r="M4" i="6"/>
  <c r="M21" i="6"/>
  <c r="M18" i="6"/>
  <c r="M2" i="6"/>
  <c r="M19" i="6"/>
  <c r="M14" i="6"/>
  <c r="M20" i="6"/>
  <c r="M6" i="6"/>
  <c r="M24" i="6"/>
  <c r="M22" i="6"/>
  <c r="M13" i="6"/>
  <c r="I19" i="6"/>
  <c r="I5" i="7"/>
  <c r="I12" i="6"/>
  <c r="I12" i="7"/>
  <c r="I6" i="6"/>
  <c r="I13" i="7"/>
  <c r="I11" i="6"/>
  <c r="I3" i="7"/>
  <c r="I20" i="6"/>
  <c r="I9" i="7"/>
  <c r="I5" i="6"/>
  <c r="I17" i="7"/>
  <c r="I24" i="6"/>
  <c r="I21" i="7"/>
  <c r="I17" i="2"/>
  <c r="I25" i="6"/>
  <c r="I10" i="7"/>
  <c r="I22" i="6"/>
  <c r="I23" i="7"/>
  <c r="I17" i="6"/>
  <c r="I24" i="7"/>
  <c r="I18" i="6"/>
  <c r="I6" i="7"/>
  <c r="I15" i="6"/>
  <c r="I18" i="7"/>
  <c r="I3" i="2"/>
  <c r="I9" i="6"/>
  <c r="I4" i="7"/>
  <c r="I2" i="6"/>
  <c r="I22" i="7"/>
  <c r="I13" i="6"/>
  <c r="I19" i="7"/>
  <c r="I23" i="2"/>
  <c r="I3" i="6"/>
  <c r="I11" i="7"/>
  <c r="I21" i="6"/>
  <c r="I25" i="7"/>
  <c r="I4" i="6"/>
  <c r="I14" i="7"/>
  <c r="I14" i="6"/>
  <c r="I7" i="7"/>
  <c r="I7" i="6"/>
  <c r="I15" i="7"/>
  <c r="I10" i="6"/>
  <c r="I2" i="7"/>
  <c r="I23" i="6"/>
  <c r="I8" i="7"/>
  <c r="I8" i="6"/>
  <c r="I16" i="7"/>
  <c r="I16" i="6"/>
  <c r="I20" i="7"/>
  <c r="I19" i="2"/>
  <c r="J26" i="6"/>
  <c r="I18" i="2"/>
  <c r="I10" i="2"/>
  <c r="I2" i="2"/>
  <c r="J26" i="2"/>
  <c r="I24" i="2"/>
  <c r="I22" i="2"/>
  <c r="I14" i="2"/>
  <c r="I6" i="2"/>
  <c r="I21" i="2"/>
  <c r="I13" i="2"/>
  <c r="I5" i="2"/>
  <c r="I15" i="2"/>
  <c r="I7" i="2"/>
  <c r="I20" i="2"/>
  <c r="I12" i="2"/>
  <c r="I4" i="2"/>
  <c r="G29" i="2" l="1"/>
  <c r="F33" i="6"/>
  <c r="G31" i="6"/>
  <c r="F29" i="6"/>
  <c r="H33" i="6"/>
  <c r="B33" i="6" s="1"/>
  <c r="E31" i="6"/>
  <c r="H31" i="2"/>
  <c r="B31" i="2" s="1"/>
  <c r="D32" i="2"/>
  <c r="G33" i="6"/>
  <c r="C32" i="6"/>
  <c r="H31" i="6"/>
  <c r="B31" i="6" s="1"/>
  <c r="D32" i="6"/>
  <c r="D30" i="6"/>
  <c r="G30" i="6"/>
  <c r="E31" i="2"/>
  <c r="C31" i="6"/>
  <c r="F31" i="6"/>
  <c r="F30" i="6"/>
  <c r="G29" i="6"/>
  <c r="E29" i="6"/>
  <c r="C33" i="6"/>
  <c r="E32" i="6"/>
  <c r="D33" i="6"/>
  <c r="D31" i="2"/>
  <c r="D33" i="7"/>
  <c r="H33" i="7"/>
  <c r="B33" i="7" s="1"/>
  <c r="H32" i="7"/>
  <c r="B32" i="7" s="1"/>
  <c r="D30" i="7"/>
  <c r="C30" i="7"/>
  <c r="D31" i="7"/>
  <c r="F31" i="7"/>
  <c r="F29" i="7"/>
  <c r="D32" i="7"/>
  <c r="H30" i="7"/>
  <c r="B30" i="7" s="1"/>
  <c r="E31" i="7"/>
  <c r="C33" i="7"/>
  <c r="G33" i="7"/>
  <c r="E30" i="7"/>
  <c r="F33" i="7"/>
  <c r="H31" i="7"/>
  <c r="B31" i="7" s="1"/>
  <c r="G30" i="7"/>
  <c r="C32" i="7"/>
  <c r="F32" i="7"/>
  <c r="C31" i="7"/>
  <c r="E32" i="7"/>
  <c r="E33" i="7"/>
  <c r="G29" i="7"/>
  <c r="F30" i="7"/>
  <c r="H29" i="7"/>
  <c r="B29" i="7" s="1"/>
  <c r="G31" i="7"/>
  <c r="C29" i="7"/>
  <c r="G32" i="7"/>
  <c r="D29" i="7"/>
  <c r="E29" i="7"/>
  <c r="G31" i="2"/>
  <c r="H30" i="6"/>
  <c r="B30" i="6" s="1"/>
  <c r="D31" i="6"/>
  <c r="E30" i="6"/>
  <c r="C29" i="6"/>
  <c r="H29" i="6"/>
  <c r="B29" i="6" s="1"/>
  <c r="E33" i="6"/>
  <c r="F32" i="6"/>
  <c r="C30" i="6"/>
  <c r="D29" i="6"/>
  <c r="H32" i="6"/>
  <c r="B32" i="6" s="1"/>
  <c r="G32" i="6"/>
  <c r="C33" i="2"/>
  <c r="E33" i="2"/>
  <c r="H32" i="2"/>
  <c r="B32" i="2" s="1"/>
  <c r="G32" i="2"/>
  <c r="H33" i="2"/>
  <c r="B33" i="2" s="1"/>
  <c r="F33" i="2"/>
  <c r="D30" i="2"/>
  <c r="G33" i="2"/>
  <c r="H29" i="2"/>
  <c r="B29" i="2" s="1"/>
  <c r="F29" i="2"/>
  <c r="H30" i="2"/>
  <c r="B30" i="2" s="1"/>
  <c r="D33" i="2"/>
  <c r="E30" i="2"/>
  <c r="D29" i="2"/>
  <c r="C29" i="2"/>
  <c r="C31" i="2"/>
  <c r="C32" i="2"/>
  <c r="G30" i="2"/>
  <c r="E32" i="2"/>
  <c r="F31" i="2"/>
  <c r="F30" i="2"/>
  <c r="C30" i="2"/>
  <c r="F32" i="2"/>
  <c r="E29" i="2"/>
</calcChain>
</file>

<file path=xl/sharedStrings.xml><?xml version="1.0" encoding="utf-8"?>
<sst xmlns="http://schemas.openxmlformats.org/spreadsheetml/2006/main" count="1433" uniqueCount="400">
  <si>
    <t>CI/CD Tool</t>
  </si>
  <si>
    <t>Gitlab CI/CD</t>
  </si>
  <si>
    <t>gitlab, ci, runner, cd, docker, run, yml, project, build, deploy</t>
  </si>
  <si>
    <t>Jenkins Build from Git Branch</t>
  </si>
  <si>
    <t>jenkin, build, branch, trigger, pipeline, git, gitlab, commit, github, merge</t>
  </si>
  <si>
    <t>Jenkins Build Mobile Application</t>
  </si>
  <si>
    <t>Android, iOS</t>
  </si>
  <si>
    <t>jenkin, build, android, fail, error, xcode, project, app, find, io</t>
  </si>
  <si>
    <t>Jenkins Build Projects</t>
  </si>
  <si>
    <t>Gradle, Maven</t>
  </si>
  <si>
    <t>jenkin, maven, build, plugin, project, deploy, version, artifact, file, artifactory</t>
  </si>
  <si>
    <t>Jenkins Distributed Architecture</t>
  </si>
  <si>
    <t>Installation and build process troubleshooting for distributed master slave nodes.</t>
  </si>
  <si>
    <t>jenkin, slave, server, window, start, plugin, ssh, connect, run, fail</t>
  </si>
  <si>
    <t>variable, jenkin, environment, pipeline, pass, script, set, parameter, file, build</t>
  </si>
  <si>
    <t>Jenkins Pipeline</t>
  </si>
  <si>
    <t>Jenkins overall job flow</t>
  </si>
  <si>
    <t>jenkin, job, build, pipeline, trigger, run, parameter, plugin, project, pass</t>
  </si>
  <si>
    <t>Jenkins Pipeline - Declarative</t>
  </si>
  <si>
    <t>jenkin, pipeline, stage, build, step, declarative, parallel, run, job, jenkinsfile</t>
  </si>
  <si>
    <t>Jenkins Pipeline - Scripted</t>
  </si>
  <si>
    <t>jenkin, pipeline, groovy, script, plugin, parameter, method, job, class, jenkinsfile</t>
  </si>
  <si>
    <t>Azure DevOps Build Project</t>
  </si>
  <si>
    <t>build, vst, tfs, project, package, fail, agent, error, online, team_service</t>
  </si>
  <si>
    <t>Azure DevOps Deployment</t>
  </si>
  <si>
    <t>azure, deploy, deployment, app, application, web, devop, pipeline, build, server</t>
  </si>
  <si>
    <t>Azure DevOps Development Pipeline</t>
  </si>
  <si>
    <t xml:space="preserve">VS Teams </t>
  </si>
  <si>
    <t>azure, devop, pipeline, build, vst, release, task, api, create, tfs</t>
  </si>
  <si>
    <t>IBM Cloud</t>
  </si>
  <si>
    <t>bluemix, ibm, cloud, service, app, api, error, node, application, connect</t>
  </si>
  <si>
    <t>Container &amp; Orchestration</t>
  </si>
  <si>
    <t>Docker</t>
  </si>
  <si>
    <t>docker, container, image, jenkin, kubernete, run, gitlab, registry, build, pull</t>
  </si>
  <si>
    <t>Kubernetes Cluster</t>
  </si>
  <si>
    <t>kubernete, cluster, pod, service, node, container, cloud, connect, access, volume</t>
  </si>
  <si>
    <t>Kubernetes POD</t>
  </si>
  <si>
    <t>kubernete, pod, node, deployment, cluster, container, kubectl, run, resource, fail</t>
  </si>
  <si>
    <t>Kubernetes Traffic Management</t>
  </si>
  <si>
    <t>Ingress, Nginx, Load Balancer, IP/Port accessibility</t>
  </si>
  <si>
    <t>kubernete, service, ingress, nginx, port, pod, istio, access, ip, work</t>
  </si>
  <si>
    <t>Ansible, Playbook/Tutorial</t>
  </si>
  <si>
    <t>ansible, playbook, host, variable, module, task, run, file, role, error</t>
  </si>
  <si>
    <t>Configuration Automation</t>
  </si>
  <si>
    <t>Chef, Puppet</t>
  </si>
  <si>
    <t>chef, puppet, install, cookbook, recipe, run, error, node, vagrant, instal</t>
  </si>
  <si>
    <t>Terraform</t>
  </si>
  <si>
    <t>terraform, file, resource, kubernete, module, create, config, variable, yaml, apply</t>
  </si>
  <si>
    <t>Infra as a Code</t>
  </si>
  <si>
    <t>Cloudformation, Terraform</t>
  </si>
  <si>
    <t>aw, cloudformation, terraform, create, instance, template, ec, resource, stack, group</t>
  </si>
  <si>
    <t>Script Syntax</t>
  </si>
  <si>
    <t>Ansible, Terraform, Puppet</t>
  </si>
  <si>
    <t>ansible, variable, list, file, string, template, json, terraform, puppet, loop</t>
  </si>
  <si>
    <t>File, directory, access, permission</t>
  </si>
  <si>
    <t>file, jenkin, directory, copy, folder, build, pipeline, artifact, workspace, ansible</t>
  </si>
  <si>
    <t>Repository/git Management</t>
  </si>
  <si>
    <t>Git configuration/troubleshooting</t>
  </si>
  <si>
    <t>git, repository, gitlab, jenkin, push, clone, remote, branch, commit, file</t>
  </si>
  <si>
    <t>Script Execution</t>
  </si>
  <si>
    <t>Shell, command line</t>
  </si>
  <si>
    <t>jenkin, command, script, run, execute, shell, pipeline, line, file, powershell</t>
  </si>
  <si>
    <t>Spark, Mongo, ELK</t>
  </si>
  <si>
    <t>pipeline, log, output, datum, jenkin, file, console, custom, python, sklearn</t>
  </si>
  <si>
    <t>Jenkins, Docker, Gitlab</t>
  </si>
  <si>
    <t>error, fail, request, jenkin, api, server, connection, http, return, exception</t>
  </si>
  <si>
    <t>user, jenkin, gitlab, key, access, ssh, password, credential, token, authentication</t>
  </si>
  <si>
    <t>Quality Assurance</t>
  </si>
  <si>
    <t>Functional Test Automation</t>
  </si>
  <si>
    <t>Selenium, Junit</t>
  </si>
  <si>
    <t>test, jenkin, run, selenium, fail, unit, result, build, case, maven</t>
  </si>
  <si>
    <t>Non-functional Test Automation</t>
  </si>
  <si>
    <t>Test Coverage (JUnit), Quality Analysis (Sonarqube), Performance Report (Jmeter) Integration with Jenkins</t>
  </si>
  <si>
    <t>jenkin, plugin, report, email, build, send, code, coverage, sonarqube, test</t>
  </si>
  <si>
    <t>Keywords</t>
  </si>
  <si>
    <t>Cloud Infra Automation</t>
  </si>
  <si>
    <t>Topic Name</t>
  </si>
  <si>
    <t>Categories Name</t>
  </si>
  <si>
    <t>Sub-Categories</t>
  </si>
  <si>
    <t>Avg. View</t>
  </si>
  <si>
    <t>Avg. Favorite</t>
  </si>
  <si>
    <t>Avg. Score</t>
  </si>
  <si>
    <t>(%) Acc. Answer</t>
  </si>
  <si>
    <t>Hours To Acc. Answer</t>
  </si>
  <si>
    <t>Gitlab</t>
  </si>
  <si>
    <t>Jenkins</t>
  </si>
  <si>
    <t>Azure</t>
  </si>
  <si>
    <t>IBM</t>
  </si>
  <si>
    <t>Sub-Topics</t>
  </si>
  <si>
    <t>Cloud</t>
  </si>
  <si>
    <t>Configuration</t>
  </si>
  <si>
    <t>Kubernetes</t>
  </si>
  <si>
    <t>Jenkins Environment -Variable</t>
  </si>
  <si>
    <t>Cloud CI/CD</t>
  </si>
  <si>
    <t>Posts</t>
  </si>
  <si>
    <t>File Management</t>
  </si>
  <si>
    <t>User Permission</t>
  </si>
  <si>
    <t>Exception Handling</t>
  </si>
  <si>
    <t>% Acc Answer</t>
  </si>
  <si>
    <t>Category</t>
  </si>
  <si>
    <t>Difficulty</t>
  </si>
  <si>
    <t>Ans Hour</t>
  </si>
  <si>
    <t>Median</t>
  </si>
  <si>
    <t xml:space="preserve">What types of topics are discussed about devOps in </t>
  </si>
  <si>
    <t>How are the topics distributed across the devOps phase</t>
  </si>
  <si>
    <t>What devOps topics are the most difficult to answer</t>
  </si>
  <si>
    <t>Evolution of the DevOps Topic in SO</t>
  </si>
  <si>
    <t>Theme</t>
  </si>
  <si>
    <t>Summary of Key Findings</t>
  </si>
  <si>
    <t>Implication of each Key Finding</t>
  </si>
  <si>
    <t>Stakeholder affected by findings/implications</t>
  </si>
  <si>
    <t>#</t>
  </si>
  <si>
    <t>Jenkins Pipeline is most discussed topic. It’s post count is 4 times high than the median post count of all topics.</t>
  </si>
  <si>
    <t>Setting up the Jenkins pipeline is the most critical step of DevOps activities. Management should invests enough resources to set up this pipeline first.</t>
  </si>
  <si>
    <t>Experienced devOps engineers should focus on building this pipeline.</t>
  </si>
  <si>
    <t>DevOps Architects</t>
  </si>
  <si>
    <t>Jenkins Pipeline is most discussed topic. It’s post count (24,000) is 4 times high than the median post count (6,000) of all topics.</t>
  </si>
  <si>
    <t>Configuration Automation is second most discussed topic. It's post count (16,000) almost 3 times than the median post count (6,000) of topics.</t>
  </si>
  <si>
    <t>Configuration automation is one of most popular activity in devOps. This can be also independent of Jenkins pipeline. So early adapting teams should consider starting devOps journey by automating configurations.</t>
  </si>
  <si>
    <t>Delivery Manager</t>
  </si>
  <si>
    <t>After the continuous integration and configuration, cloud infra automation is the most popular topic in devOps.</t>
  </si>
  <si>
    <t>It seems that most applications in cloud take advantage of infra automation to optimize expenses.</t>
  </si>
  <si>
    <t>Cloud Engineers</t>
  </si>
  <si>
    <t>Solution architects should actively consider the cloud infra automation for application performance, scalability and seemless distributed deployment.</t>
  </si>
  <si>
    <t>Solution Architects</t>
  </si>
  <si>
    <t>Azure DevOps is the most popular or discussed Cloud CI/CD tool.</t>
  </si>
  <si>
    <t>Cloud CI/CD Providers</t>
  </si>
  <si>
    <t>Azure provides developers friendly well documented toolset for engineers. Its success can be a good example for other providers.</t>
  </si>
  <si>
    <t>Azure provides developers friendly well documented toolset for engineers. DevOps architects can consider it as alternative to other CI/CD tools like Jenkins or Gitlab.</t>
  </si>
  <si>
    <t>Kubernetes cluster management is the most popular topic among orchestration services.</t>
  </si>
  <si>
    <t>Kubernetes is leading in the orchestration category and so infra engineers should put enough efforts in learning the cluster management.</t>
  </si>
  <si>
    <t>Infra Engineers</t>
  </si>
  <si>
    <t xml:space="preserve">In general, among the container and orchestration category, there is significant different between the post count of docker and kubernetes. Docker has one of the lowest post count (bottom 5th), whereas kubernetes related topics (POD, cluster, traffic) are all among top ten discussed topics. </t>
  </si>
  <si>
    <t>Docker is very well documented or stable product and engineers are comfortable with this technology. It has become de facto standard for containerization. Young learners should try to get familiar with docker technology.</t>
  </si>
  <si>
    <t>More than 25% of all posts of devOps is related with Jenkins topics (pipeline, building, git integration, deployment etc.)</t>
  </si>
  <si>
    <t>Organizations should train up their people extensively on Jenkins to ensure smooth journey in devOps.</t>
  </si>
  <si>
    <t>Company Management</t>
  </si>
  <si>
    <t>DevOps engineers (both developers and infra engineers) should build up their expertise on Jenkins stack.</t>
  </si>
  <si>
    <t>DevOps Engineers</t>
  </si>
  <si>
    <t>IT infra topics such as repository, file, permission management and script syntax, execution are the least posted topics in devOps.</t>
  </si>
  <si>
    <t>Traditional infra has least impact in devOps and infra team should support these activities well.</t>
  </si>
  <si>
    <t>Post View</t>
  </si>
  <si>
    <t>Post View (M)</t>
  </si>
  <si>
    <t>Though Azure DevOps has high number of posts, but the average view of the posts are low than topics with similar number of posts.</t>
  </si>
  <si>
    <t>Azure DevOps may have smaller but very active community. As a result, the community is often posting many issues, but not many other practitioners are looking for solutions related to Azure.</t>
  </si>
  <si>
    <t>Though IT infra topics such as repository, file, scripting have less number of posts, but their average view count is quite higher than that of other topics with similar post count.</t>
  </si>
  <si>
    <t>Many developers continuously face the infra related configuration issues and they frequently come to SO to get the solution. Developers should increase skill in infra.</t>
  </si>
  <si>
    <t>Developers</t>
  </si>
  <si>
    <t>Nearly 40% of devOps posts are related with the deployment phase. This is by far the most discussed phase.</t>
  </si>
  <si>
    <t>Deployment is the most important phase in the life cycle of devOps. Operational engineers should be more involved along with the solution architects to make this phase faster and successful.</t>
  </si>
  <si>
    <t>Operations Engineers</t>
  </si>
  <si>
    <t>Continuous integration is another major phase of the devOps cycle, as 28% posts are made for integrations.</t>
  </si>
  <si>
    <t>Solution architects should design the continuous integration flow as early as possible so that the later phase of the devOps cycles are smooth.</t>
  </si>
  <si>
    <t>Interestingly, continuous testing and monitoring is discussed in less than 10% posts combined. Among this, continuous monitoring consists of merely a 3% posts.</t>
  </si>
  <si>
    <t>This can be an open question - whether continous monitoring is not practiced, or the tools are so stable that community does not need to come to SO for gettings answers.</t>
  </si>
  <si>
    <t>Jenkins pipeline acts as the core structure in devOps build phase.</t>
  </si>
  <si>
    <t>The most discussed topic (14%) during build phase is Jenkins pipeline</t>
  </si>
  <si>
    <t>Second most discussed topic (12%) during build phase is repository management</t>
  </si>
  <si>
    <t>Obviously the source code repository will be used and discussed highly during the application build phase.</t>
  </si>
  <si>
    <t>IBM cloud seems to be a popular topic during the build phase.</t>
  </si>
  <si>
    <t>This is an interesting finding. Earlier in popularity findings, it was noted that Azure DevOps was much more popular in general. But it seems that during build phase specifically, IBM cloud is highly discussed.</t>
  </si>
  <si>
    <t>Exception handling is mostly discussed during the build (10%) phase alone.</t>
  </si>
  <si>
    <t>It is common to find application exceptions during the source code build phase.</t>
  </si>
  <si>
    <t>The integration phase mostly covered by the Jenkins discussion which is more than 40% combined.</t>
  </si>
  <si>
    <t>Jenkins is the single most important tool for integration phase of devOps lifecycle.</t>
  </si>
  <si>
    <t>During integration phase, configuration automation is the more common topic than any other topics.</t>
  </si>
  <si>
    <t>As we also found during popularity of topics, configuration automation is a highly discussed topic after Jenkins.</t>
  </si>
  <si>
    <t>Kubernetes (23%) dominates the discussion topics in deployment phase followed by Azure DevOps (13%) and Cloud Infra Automation (10%).</t>
  </si>
  <si>
    <t>DevOps practioners are more concerned about orchestration and infra automation during the deployment phase of devOps. It means that containerization is de facto standard and already stable in the industry. With the growth of cloud infra, more cluster and orchestration tool/services will be required to manage the infra automatically.</t>
  </si>
  <si>
    <t>Functional tests (27%) cover almost double of non-functional tests (15%) in the Testing phase of devOps.</t>
  </si>
  <si>
    <t>In the monitoring phase of devOps cycle, highest discussion is made around non-functional tests (23%) followed by kubernetes pod (20%).</t>
  </si>
  <si>
    <t>Non-functional testing is a critical part for continuous monitoring of the system</t>
  </si>
  <si>
    <t>Testers</t>
  </si>
  <si>
    <t>Operational engineers use kubernetes pods more for maintaining and monitoring the production systems.</t>
  </si>
  <si>
    <t>The most difficult topic to answer is exception handling or common error troubleshooting. Almost 65% of such posts remain unanswered.</t>
  </si>
  <si>
    <t>We can ignore this as this is not specific to devOps topic directly</t>
  </si>
  <si>
    <t>Though Jenkins is very popular, but there remains many unsolved posts in Jenkins. The developer and community of Jenkins should further investigate why such large percentage cannot be answered.</t>
  </si>
  <si>
    <t>Jenkins Developer</t>
  </si>
  <si>
    <t xml:space="preserve">Among top ten most difficult topics, all of Jenkins topics are included. </t>
  </si>
  <si>
    <t>This clearly shows that Jenkins as a single tool has a lot of complexity. It requires attention of Jenkins developer to improve the overall service quality of this product.</t>
  </si>
  <si>
    <t>There may be limitation on test automation tools or the posts may be too much application logic specific - leading to higher difficulty level.</t>
  </si>
  <si>
    <t>Azure DevOps has very good solution level, combining all three topics of Azure DevOps, the difficulty is less than 50%.</t>
  </si>
  <si>
    <t>Azure DevOps seems to have good documentation and active community. This can lead to influence important architectural decisions.</t>
  </si>
  <si>
    <t>The remarkably well solved devOps topic is Configuration Automation. 48% of the posts are solved.</t>
  </si>
  <si>
    <t>The most popular topic Jenkins has almost highest difficulty; but second most popular topic Configuration automation has almost lowest difficulty among the devOps topics. So devOps engineers should focus more on Configuration automation to get some quick results.</t>
  </si>
  <si>
    <t>All five topics related with Jenkins have high level of difficulty (more than 61% at least). Also Jenkins topics require higher number of hours to get answers (from 154 to 248 hours in average).</t>
  </si>
  <si>
    <t>Though test automation is a moderately discussed topic, alarmingly both functional and non-functional test automation has high level of unsolved posts. Almost every two-third posts remain unanswered. Also the average accepted answer takes 197 (functional test) to 251 hours (non-functional test).</t>
  </si>
  <si>
    <t>The community in quality assurance seems to be very less active in SO.</t>
  </si>
  <si>
    <t>Whereas three topics of Kubernetes (pod, cluster, traffic management) has average difficulty level of around 60% which is just above median difficulty level (59%) of all topics, these topics have one of the fastest accepted answers from the community which is around 106 to 127 hours in average.</t>
  </si>
  <si>
    <t>Though Kubernetes is a difficult topic, it has a very vibrant community and active development flow.</t>
  </si>
  <si>
    <t>Though both IBM Cloud and Gitlab CI/CD has similar difficulty of 60%, posts in IBM cloud are answered very fast (within 74 hours), where Gitlab CI/CD has one of the worst answer time of 250 hours.</t>
  </si>
  <si>
    <t>IBM Cloud maintains the responses well and fast in SO, whereas Gitlab CI/CD developers are not much active in SO.</t>
  </si>
  <si>
    <t>Gitlab CI/CD Developer</t>
  </si>
  <si>
    <t>CategoriesName</t>
  </si>
  <si>
    <t>Average</t>
  </si>
  <si>
    <t>CI/CD tool has a constant growth since 2010 and till today it has higher number of posts.</t>
  </si>
  <si>
    <t>In 2011 January, Jenkins was officially separate from the Oracle fork Hudson, and since then the Jenkins has grown with the help of community.</t>
  </si>
  <si>
    <t>Containerization &amp; orchestration using Docker &amp; Kubernetes started to get popularity since 2015, and major shift started from middle of 2016.</t>
  </si>
  <si>
    <t>In 2015 Jun, Docker and several other companies announced that they are working on a new vendor and operating-system-independent standard for software containers. 
Also, Kubernetes was released during 2015 July which escalated the rise of orchestration. And since 2016 June, Docker was natively compative with Windows 10 OS. In 2016 July, Kubernetes released their first cloud-native version.</t>
  </si>
  <si>
    <t>After a decline in popularity, the Cloud CI/CD platform started gaining community participation since 2017.</t>
  </si>
  <si>
    <t>In Visual Studio (later renamed Azure DevOps Service) 2017, Microsoft first released the Docker toolset. That release triggered the increasing popularity of Azure DevOps among the devOps community. In 2017, IBM also merged all of its cloud platforms BlueMix, SoftLayer to IBM Cloud.</t>
  </si>
  <si>
    <t>Infra as Code category topics had steady growth along with the CI/CD tools since the beginning. The Configruation Automation, Cloud Infra Automation etc. got more traction since 2012.</t>
  </si>
  <si>
    <t>A major configuration automation tool Ansible was released in 2012 and the popular cloud infra automation tool Terraform was released in 2014.</t>
  </si>
  <si>
    <t>IaC Tool Providers</t>
  </si>
  <si>
    <t>Themes</t>
  </si>
  <si>
    <t>Developers put more focus on functional test rather than non-functional test in continuous testing cycles.</t>
  </si>
  <si>
    <t>Jenkins Pipeline is most discussed topic. It’s post count is 4 times of the median post count of all topics.</t>
  </si>
  <si>
    <t>Configuration Automation is second most discussed topic. It's post count (16,000) almost 3 times of the median post count (6,000) of topics.</t>
  </si>
  <si>
    <t>RQ1-Popularity</t>
  </si>
  <si>
    <t>Cluster</t>
  </si>
  <si>
    <t>CL01-Jenkins</t>
  </si>
  <si>
    <t>CL02-Azure DevOps</t>
  </si>
  <si>
    <t>CL03-Kubernetes</t>
  </si>
  <si>
    <t>CL04-Configuration Automation</t>
  </si>
  <si>
    <t>CL05-Cloud Infra Automation</t>
  </si>
  <si>
    <t>Infra as Code category topics had steady growth along with the CI/CD tools since the beginning. The Configuration Automation, Cloud Infra Automation etc. got more traction since 2012.</t>
  </si>
  <si>
    <t>CL06-IT Infra</t>
  </si>
  <si>
    <t>CL07-Testing</t>
  </si>
  <si>
    <t>CL08-IBM Cloud</t>
  </si>
  <si>
    <t>CL09-Exception Handling</t>
  </si>
  <si>
    <t>CL10-CI/CD Evolution</t>
  </si>
  <si>
    <t>Jenkins Pipeline is most discussed topic. It’s post count (24,000) is 4 times of the median post count (6,000) of all topics.</t>
  </si>
  <si>
    <t>Survey Question</t>
  </si>
  <si>
    <t>Q9</t>
  </si>
  <si>
    <t>Q10</t>
  </si>
  <si>
    <t>This clearly shows that Jenkins as a single tool has a lot of complexity. It requires attention of Jenkins developer to improve the overall service quality or documentation of this product.</t>
  </si>
  <si>
    <t>Q11</t>
  </si>
  <si>
    <t>Q14, Q15</t>
  </si>
  <si>
    <t>Q16</t>
  </si>
  <si>
    <t>Q17</t>
  </si>
  <si>
    <t>Q18</t>
  </si>
  <si>
    <t>Q19</t>
  </si>
  <si>
    <t>Q20</t>
  </si>
  <si>
    <t>Q21</t>
  </si>
  <si>
    <t>Q22</t>
  </si>
  <si>
    <t>Q23</t>
  </si>
  <si>
    <t>Q24</t>
  </si>
  <si>
    <t>Q25</t>
  </si>
  <si>
    <t>Q26</t>
  </si>
  <si>
    <t>Q27</t>
  </si>
  <si>
    <t>Q28</t>
  </si>
  <si>
    <t>Q3, Q4</t>
  </si>
  <si>
    <t>Q8</t>
  </si>
  <si>
    <t>Q6, Q7.</t>
  </si>
  <si>
    <t>All five topics related with Jenkins have high level of difficulty (more than 61% at least, higher than median 59%). Also Jenkins topics require higher number of hours to get answers (from 154 to 248 hours in average, higher than median 150 hours).</t>
  </si>
  <si>
    <t>Whereas three topics of Kubernetes (pod, cluster, traffic management) has average difficulty level of around 60% which is just above median difficulty level (59%) of all topics, these topics have one of the fastest accepted answers from the community which is around 106 to 127 hours in average (among top 5 topics with fastest resolution).</t>
  </si>
  <si>
    <t>Though test automation is a moderately discussed topic, alarmingly both functional and non-functional test automation has high level of unsolved posts. Almost every two-third posts remain unanswered. Also the average accepted answer takes 197 (functional test) to 251 hours (non-functional test), much higher than median 150 hours.</t>
  </si>
  <si>
    <t>Important</t>
  </si>
  <si>
    <t>Yes</t>
  </si>
  <si>
    <t>Though IT infra topics such as repository, file, scripting have less number of posts, but their average view count is highest among all topics (50% higher than median view of 1700 of all topics).</t>
  </si>
  <si>
    <t>q</t>
  </si>
  <si>
    <t>Keep</t>
  </si>
  <si>
    <t>new q</t>
  </si>
  <si>
    <t>U1. How many years of professional experience do you have?</t>
  </si>
  <si>
    <t>y</t>
  </si>
  <si>
    <t>U2. Which best describes your role?</t>
  </si>
  <si>
    <t>U3. What is the size of your engineering organization?</t>
  </si>
  <si>
    <t>Q1. Does your organization or team follow DevOps practice?</t>
  </si>
  <si>
    <t>n</t>
  </si>
  <si>
    <t xml:space="preserve">Q2. On a scale of 1 to 5 where your team or organization positions in practice of DevOps </t>
  </si>
  <si>
    <t>Q3. What tools do you use as part of your devOps practice?</t>
  </si>
  <si>
    <t>Q4. What is your most used tool?</t>
  </si>
  <si>
    <t>Q6. What aspects of Jenkins you use mainly?</t>
  </si>
  <si>
    <t>Q7. What do you think most important use of Jenkins</t>
  </si>
  <si>
    <t xml:space="preserve">Q8. Senior engineers work on which part of Jenkins </t>
  </si>
  <si>
    <t>Q9. Do you think your organization or team should have any training program devOps tools and practices?</t>
  </si>
  <si>
    <t>Q10. How often you get solutions from Stack Overflow about the Jenkins problems you  face?</t>
  </si>
  <si>
    <t>Q11. On a scale from 1 to 5 how would you score the documentation of Jenkins</t>
  </si>
  <si>
    <t>Q14. Which cloud services do you use?</t>
  </si>
  <si>
    <t>Q15. On a scale from 1 to 5 how would you score the documentation of Azure DevOps</t>
  </si>
  <si>
    <t>Q16. Other than cost consideration, do you think Azure DevOps would be easier to use than Jenkins or Gitlab CI/CD?</t>
  </si>
  <si>
    <t>Q17. Which orchestration tool do you use?</t>
  </si>
  <si>
    <t>d</t>
  </si>
  <si>
    <t>Q18. Do you think the learning curve of Docker is easy?</t>
  </si>
  <si>
    <t>Q19. For the deployment stage, which tools is most concerning for you?</t>
  </si>
  <si>
    <t>Q20. What is the earliest year you or your organization started working with container (e.g. Docker) or orchestration (e.g. Kubernetes)</t>
  </si>
  <si>
    <t>Q21. What gives you higher return on investment</t>
  </si>
  <si>
    <t>Q22. How often you get solutions from Stack Overflow about the configuration automation (related with ansible, puppet, chef etc.) problems you  face?</t>
  </si>
  <si>
    <t>Q23. If you use cloud services for hosting your application, do use any kind of cloud infra automation tool (Terraform, CloudFormation etc.)</t>
  </si>
  <si>
    <t>Q24. How often your developers face problems with basic IT infra settings (e.g., repository or file settings, user permission settings, scripting syntax or execution permission etc.)</t>
  </si>
  <si>
    <t>Q25. What monitoring tool do you use in staging or production?</t>
  </si>
  <si>
    <t>Q26. On a scale of 1 to 5 how much stable is your monitoring tool?</t>
  </si>
  <si>
    <t>Q27. How quickly you get solution from Stack Overflow regarding your post on IBM Cloud</t>
  </si>
  <si>
    <t>Q28. What do you think the most critical part of devOps life cycle</t>
  </si>
  <si>
    <t>Organizational maturity in devops</t>
  </si>
  <si>
    <t>organizational adaptation/training process on devops</t>
  </si>
  <si>
    <t>Short Answer</t>
  </si>
  <si>
    <t>MCQ</t>
  </si>
  <si>
    <t>Most important phase of devOps</t>
  </si>
  <si>
    <t>Used tools and services</t>
  </si>
  <si>
    <t>Advantages of the Integration tool you use</t>
  </si>
  <si>
    <t>Difficulties you face while using the tool (including community support)</t>
  </si>
  <si>
    <t>When you start devOps practice in any project which lifecycle stage you start first (continuous source code build, continuous testing, deployment configuration automation, cloud infra automation, complete integration pipeline, containeraization, other)</t>
  </si>
  <si>
    <t>How often your developers face problems with basic IT infra settings (e.g., repository or file settings, user permission settings, scripting syntax or execution permission etc.)</t>
  </si>
  <si>
    <t>When your organization (or you in other org) first started devOps practices?</t>
  </si>
  <si>
    <r>
      <rPr>
        <b/>
        <sz val="11"/>
        <color theme="3" tint="-0.249977111117893"/>
        <rFont val="Calibri (Body)"/>
      </rPr>
      <t>Jenkins Build</t>
    </r>
    <r>
      <rPr>
        <sz val="11"/>
        <color theme="1"/>
        <rFont val="Calibri"/>
        <family val="2"/>
        <scheme val="minor"/>
      </rPr>
      <t xml:space="preserve"> from Git Branch</t>
    </r>
  </si>
  <si>
    <r>
      <rPr>
        <b/>
        <sz val="11"/>
        <color theme="3" tint="-0.249977111117893"/>
        <rFont val="Calibri (Body)"/>
      </rPr>
      <t>Kubernetes</t>
    </r>
    <r>
      <rPr>
        <sz val="11"/>
        <color theme="1"/>
        <rFont val="Calibri"/>
        <family val="2"/>
        <scheme val="minor"/>
      </rPr>
      <t xml:space="preserve"> Cluster</t>
    </r>
  </si>
  <si>
    <t>What cloud devOps service is most convenient/useful for you (IBM, Azure, CloudForm, GKS)</t>
  </si>
  <si>
    <t>Type</t>
  </si>
  <si>
    <t>Question</t>
  </si>
  <si>
    <t>Do you think Cloud infra automation will be more used in future? If so, why?</t>
  </si>
  <si>
    <t>How mature and stable is containerization and orchestration technology?</t>
  </si>
  <si>
    <t xml:space="preserve">How much difficulty you face in configuration automation </t>
  </si>
  <si>
    <t>What difficulties you face in this critical phase?</t>
  </si>
  <si>
    <t>How often you get solutions from Stack Overflow about the devOps problems?</t>
  </si>
  <si>
    <t>.</t>
  </si>
  <si>
    <t>Sliese</t>
  </si>
  <si>
    <t>Shohoj</t>
  </si>
  <si>
    <t>Brainstation-23</t>
  </si>
  <si>
    <t>Cefalo</t>
  </si>
  <si>
    <t>Enosis</t>
  </si>
  <si>
    <t>Vivasoft</t>
  </si>
  <si>
    <t>Craftsmen</t>
  </si>
  <si>
    <t>Orbitax</t>
  </si>
  <si>
    <t>Jaxara</t>
  </si>
  <si>
    <t>Company</t>
  </si>
  <si>
    <t>Invited by</t>
  </si>
  <si>
    <t>Tanzil</t>
  </si>
  <si>
    <t>Link sent date</t>
  </si>
  <si>
    <t>Response date</t>
  </si>
  <si>
    <t>A1 Autos</t>
  </si>
  <si>
    <t>Contact</t>
  </si>
  <si>
    <t>Geeky Solutions</t>
  </si>
  <si>
    <t>Mizan</t>
  </si>
  <si>
    <t>Achievers</t>
  </si>
  <si>
    <t>Sanoar</t>
  </si>
  <si>
    <t>Sagar</t>
  </si>
  <si>
    <t>General Motors</t>
  </si>
  <si>
    <t>Naim</t>
  </si>
  <si>
    <t>SSD-Tech</t>
  </si>
  <si>
    <t>Eftekhar Bhai</t>
  </si>
  <si>
    <t>Sensei/AWS</t>
  </si>
  <si>
    <t>Red Dot</t>
  </si>
  <si>
    <t>Mujahid</t>
  </si>
  <si>
    <t>MetLife</t>
  </si>
  <si>
    <t>Maksud Bhai</t>
  </si>
  <si>
    <t>Augmedix</t>
  </si>
  <si>
    <t>Taslim Bhai</t>
  </si>
  <si>
    <t>Applectrum</t>
  </si>
  <si>
    <t>%</t>
  </si>
  <si>
    <t>Jenkns posts</t>
  </si>
  <si>
    <t>Total posts</t>
  </si>
  <si>
    <t>Jenkins posts %</t>
  </si>
  <si>
    <t>Q1. What is the size of your engineering organization?</t>
  </si>
  <si>
    <t>Q2. On a scale of 1 to 5 where your team or organization positions in practice of DevOps ?</t>
  </si>
  <si>
    <t>Q3. What is the earliest year your organization started devOps practices?</t>
  </si>
  <si>
    <t>Q4. What organizational process/training you follow to adapt devOps practices and tools?</t>
  </si>
  <si>
    <t>Q5. What tools do you use as part of your devOps practice? (You can write additional tools in other box as comma separated)</t>
  </si>
  <si>
    <t>Q6. What do you think the most critical part of devOps life cycle?</t>
  </si>
  <si>
    <t>Q7. What difficulties do you face in this critical phase of devOps that you work on?</t>
  </si>
  <si>
    <t>Q8. When a new project is ready to go live, which devOps part you initiate first?</t>
  </si>
  <si>
    <t>Q9. Please choose difficulty level for each of the tools/topics below. [Build (Ant, Maven, Gradle)]</t>
  </si>
  <si>
    <t>Q9. Please choose difficulty level for each of the tools/topics below. [Quality Assurance (SonarQube, Selenium, JMeter, ...)]</t>
  </si>
  <si>
    <t>Q9. Please choose difficulty level for each of the tools/topics below. [Integration Pipeline (Jenkins, ...)]</t>
  </si>
  <si>
    <t>Q9. Please choose difficulty level for each of the tools/topics below. [Configuration Automation (Ansible, Chef, Puppet, ...)]</t>
  </si>
  <si>
    <t>Q9. Please choose difficulty level for each of the tools/topics below. [Containerization &amp; Orchestration (Docker, DockerSwarm, Kubernetes, ...)]</t>
  </si>
  <si>
    <t>Q9. Please choose difficulty level for each of the tools/topics below. [Cloud Infra Automation (Terraform, CloudFormation, ...)]</t>
  </si>
  <si>
    <t>Q9. Please choose difficulty level for each of the tools/topics below. [Monitoring (Splunk, ELK, Grafana/Prometheus), ...]</t>
  </si>
  <si>
    <t>Q10. What are the advantages of the continuous integration tool you primarily use (e.g. Jenkins or Gitlab CI etc.)?</t>
  </si>
  <si>
    <t>Q11. What challenges you face while using your primary integration tool (you may also mention status of community support)?</t>
  </si>
  <si>
    <t>Q12. How often your developers face problems related with basic IT Infra (e.g., repository or file settings, user permission settings, scripting syntax or execution permission etc.)</t>
  </si>
  <si>
    <t>Q13. How often you get solutions from community or Stack Overflow about the devOps problems you  face?</t>
  </si>
  <si>
    <t>Q14. Which cloud services do you use</t>
  </si>
  <si>
    <t>Q15. Do you think Cloud infra automation (Terraform, CloudFormation etc.) will be more used in future? If so, why? If not, why?</t>
  </si>
  <si>
    <t>NO</t>
  </si>
  <si>
    <t>RQ2-Evolution</t>
  </si>
  <si>
    <t>RQ3-DevOps Phase</t>
  </si>
  <si>
    <t>RQ4-Difficulty</t>
  </si>
  <si>
    <t>Q3</t>
  </si>
  <si>
    <t>Research Question</t>
  </si>
  <si>
    <t>CL11-Topic Difficulty</t>
  </si>
  <si>
    <t>Median difficulty of devOps topic is 59% meaning that in 59% of cases the posts remain unanswered. It could have been solved by organizational formal training. We wanted to know how the orgnizations are planning this training in reality.</t>
  </si>
  <si>
    <t>Tool/Phase</t>
  </si>
  <si>
    <t>Build</t>
  </si>
  <si>
    <t>Integration</t>
  </si>
  <si>
    <t>Containerization</t>
  </si>
  <si>
    <t>Cloud Infra automation</t>
  </si>
  <si>
    <t>Testing</t>
  </si>
  <si>
    <t>Row Labels</t>
  </si>
  <si>
    <t>Grand Total</t>
  </si>
  <si>
    <t>Average of Difficulty</t>
  </si>
  <si>
    <t>CL12-Tools Difficulty</t>
  </si>
  <si>
    <t>A lot of tools are used in devOps practice in different phase of the life cycle. We wanted to compare with our findings of tools difficulty against the practitioners' experience.</t>
  </si>
  <si>
    <t>Q12</t>
  </si>
  <si>
    <t>C-13-SO Usability</t>
  </si>
  <si>
    <t>Overall effectiveness of SO for devOps resolutions</t>
  </si>
  <si>
    <t>Q13</t>
  </si>
  <si>
    <t>Q14</t>
  </si>
  <si>
    <t>Q15</t>
  </si>
  <si>
    <t>Q03</t>
  </si>
  <si>
    <t>Q04</t>
  </si>
  <si>
    <t>Q05</t>
  </si>
  <si>
    <t>Q06</t>
  </si>
  <si>
    <t>Q07</t>
  </si>
  <si>
    <t>Q08</t>
  </si>
  <si>
    <t>Q09</t>
  </si>
  <si>
    <t>Observation#</t>
  </si>
  <si>
    <t>Key Findings from Empirical Study</t>
  </si>
  <si>
    <t>Sum of Posts</t>
  </si>
  <si>
    <t>Given 59% difficulty of devOps posts and numerous devOps tools and practices, it is overwhelming to start a new project using devOps.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</si>
</sst>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_ ;_ * \(#,##0.00\)_ ;_ * &quot;-&quot;??_)_ ;_ @_ "/>
    <numFmt numFmtId="164" formatCode="_ * #,##0_)_ ;_ * \(#,##0\)_ ;_ * &quot;-&quot;??_)_ ;_ @_ "/>
    <numFmt numFmtId="165" formatCode="[$-409]d\-mmm\-yyyy;@"/>
  </numFmts>
  <fonts count="19" x14ac:knownFonts="1">
    <font>
      <sz val="11"/>
      <color theme="1"/>
      <name val="Calibri"/>
      <family val="2"/>
      <scheme val="minor"/>
    </font>
    <font>
      <sz val="12"/>
      <color theme="1"/>
      <name val="Calibri"/>
      <family val="2"/>
      <scheme val="minor"/>
    </font>
    <font>
      <sz val="12"/>
      <color theme="1"/>
      <name val="Calibri"/>
      <family val="2"/>
      <scheme val="minor"/>
    </font>
    <font>
      <sz val="10"/>
      <color indexed="8"/>
      <name val="Helvetica Neue"/>
      <family val="2"/>
    </font>
    <font>
      <b/>
      <sz val="11"/>
      <color theme="1"/>
      <name val="Calibri"/>
      <family val="2"/>
      <scheme val="minor"/>
    </font>
    <font>
      <sz val="11"/>
      <color theme="1"/>
      <name val="Calibri"/>
      <family val="2"/>
      <scheme val="minor"/>
    </font>
    <font>
      <sz val="8"/>
      <name val="Calibri"/>
      <family val="2"/>
      <scheme val="minor"/>
    </font>
    <font>
      <sz val="12"/>
      <color rgb="FF000000"/>
      <name val="Calibri"/>
      <family val="2"/>
      <scheme val="minor"/>
    </font>
    <font>
      <sz val="12"/>
      <color rgb="FF000000"/>
      <name val="Arial"/>
      <family val="2"/>
    </font>
    <font>
      <sz val="11"/>
      <color theme="1"/>
      <name val="Arial"/>
      <family val="2"/>
    </font>
    <font>
      <b/>
      <sz val="12"/>
      <color rgb="FF000000"/>
      <name val="Calibri"/>
      <family val="2"/>
      <scheme val="minor"/>
    </font>
    <font>
      <i/>
      <sz val="12"/>
      <color rgb="FF000000"/>
      <name val="Arial"/>
      <family val="2"/>
    </font>
    <font>
      <sz val="11"/>
      <color rgb="FF000000"/>
      <name val="Arial"/>
      <family val="2"/>
    </font>
    <font>
      <strike/>
      <sz val="12"/>
      <color theme="1"/>
      <name val="Calibri"/>
      <family val="2"/>
      <scheme val="minor"/>
    </font>
    <font>
      <b/>
      <sz val="11"/>
      <color theme="3" tint="-0.249977111117893"/>
      <name val="Calibri (Body)"/>
    </font>
    <font>
      <b/>
      <sz val="11"/>
      <color theme="3" tint="-0.249977111117893"/>
      <name val="Calibri"/>
      <family val="2"/>
      <scheme val="minor"/>
    </font>
    <font>
      <sz val="11"/>
      <color rgb="FFFF0000"/>
      <name val="Arial"/>
      <family val="2"/>
    </font>
    <font>
      <b/>
      <sz val="12"/>
      <color rgb="FF000000"/>
      <name val="Arial"/>
      <family val="2"/>
    </font>
    <font>
      <sz val="12"/>
      <color theme="0" tint="-0.499984740745262"/>
      <name val="Arial"/>
      <family val="2"/>
    </font>
  </fonts>
  <fills count="10">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rgb="FF000000"/>
      </top>
      <bottom/>
      <diagonal/>
    </border>
    <border>
      <left style="thin">
        <color indexed="64"/>
      </left>
      <right style="thin">
        <color indexed="64"/>
      </right>
      <top/>
      <bottom style="thin">
        <color rgb="FF00000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s>
  <cellStyleXfs count="5">
    <xf numFmtId="0" fontId="0" fillId="0" borderId="0"/>
    <xf numFmtId="0" fontId="3" fillId="0" borderId="0" applyNumberFormat="0" applyFill="0" applyBorder="0" applyProtection="0">
      <alignment vertical="top" wrapText="1"/>
    </xf>
    <xf numFmtId="43" fontId="5" fillId="0" borderId="0" applyFont="0" applyFill="0" applyBorder="0" applyAlignment="0" applyProtection="0"/>
    <xf numFmtId="0" fontId="2" fillId="0" borderId="0"/>
    <xf numFmtId="9" fontId="5" fillId="0" borderId="0" applyFont="0" applyFill="0" applyBorder="0" applyAlignment="0" applyProtection="0"/>
  </cellStyleXfs>
  <cellXfs count="89">
    <xf numFmtId="0" fontId="0" fillId="0" borderId="0" xfId="0"/>
    <xf numFmtId="2" fontId="0" fillId="0" borderId="0" xfId="0" applyNumberFormat="1"/>
    <xf numFmtId="0" fontId="0" fillId="0" borderId="1" xfId="0" applyBorder="1"/>
    <xf numFmtId="0" fontId="4" fillId="2" borderId="1" xfId="0" applyFont="1" applyFill="1" applyBorder="1"/>
    <xf numFmtId="2" fontId="0" fillId="0" borderId="1" xfId="0" applyNumberFormat="1" applyBorder="1"/>
    <xf numFmtId="0" fontId="0" fillId="0" borderId="1" xfId="0" applyFill="1" applyBorder="1"/>
    <xf numFmtId="0" fontId="0" fillId="0" borderId="2" xfId="0" applyBorder="1"/>
    <xf numFmtId="2" fontId="0" fillId="0" borderId="3" xfId="0" applyNumberFormat="1" applyBorder="1"/>
    <xf numFmtId="0" fontId="0" fillId="2" borderId="4" xfId="0" applyFill="1" applyBorder="1"/>
    <xf numFmtId="0" fontId="0" fillId="2" borderId="5" xfId="0" applyFill="1" applyBorder="1"/>
    <xf numFmtId="0" fontId="0" fillId="2" borderId="6" xfId="0" applyFill="1" applyBorder="1"/>
    <xf numFmtId="0" fontId="0" fillId="0" borderId="7" xfId="0" applyBorder="1"/>
    <xf numFmtId="0" fontId="4" fillId="2" borderId="4" xfId="0" applyFont="1" applyFill="1" applyBorder="1"/>
    <xf numFmtId="2" fontId="4" fillId="2" borderId="5" xfId="0" applyNumberFormat="1" applyFont="1" applyFill="1" applyBorder="1"/>
    <xf numFmtId="2" fontId="4" fillId="2" borderId="6" xfId="0" applyNumberFormat="1" applyFont="1" applyFill="1" applyBorder="1"/>
    <xf numFmtId="2" fontId="0" fillId="0" borderId="8" xfId="0" applyNumberFormat="1" applyBorder="1"/>
    <xf numFmtId="2" fontId="0" fillId="0" borderId="9" xfId="0" applyNumberFormat="1" applyBorder="1"/>
    <xf numFmtId="43" fontId="0" fillId="0" borderId="1" xfId="2" applyFont="1" applyBorder="1"/>
    <xf numFmtId="43" fontId="0" fillId="0" borderId="3" xfId="2" applyFont="1" applyBorder="1"/>
    <xf numFmtId="43" fontId="0" fillId="0" borderId="0" xfId="2" applyFont="1"/>
    <xf numFmtId="43" fontId="0" fillId="0" borderId="8" xfId="2" applyFont="1" applyBorder="1"/>
    <xf numFmtId="43" fontId="0" fillId="0" borderId="9" xfId="2" applyFont="1" applyBorder="1"/>
    <xf numFmtId="164" fontId="0" fillId="0" borderId="1" xfId="2" applyNumberFormat="1" applyFont="1" applyBorder="1"/>
    <xf numFmtId="164" fontId="0" fillId="0" borderId="8" xfId="2" applyNumberFormat="1" applyFont="1" applyBorder="1"/>
    <xf numFmtId="164" fontId="0" fillId="0" borderId="0" xfId="2" applyNumberFormat="1" applyFont="1"/>
    <xf numFmtId="164" fontId="0" fillId="0" borderId="0" xfId="0" applyNumberFormat="1"/>
    <xf numFmtId="164" fontId="0" fillId="0" borderId="2" xfId="0" applyNumberFormat="1" applyBorder="1"/>
    <xf numFmtId="164" fontId="0" fillId="0" borderId="7" xfId="0" applyNumberFormat="1" applyBorder="1"/>
    <xf numFmtId="0" fontId="0" fillId="0" borderId="10" xfId="0" applyBorder="1"/>
    <xf numFmtId="0" fontId="0" fillId="0" borderId="0" xfId="0" applyNumberFormat="1" applyBorder="1"/>
    <xf numFmtId="164" fontId="5" fillId="0" borderId="8" xfId="0" applyNumberFormat="1" applyFont="1" applyBorder="1"/>
    <xf numFmtId="43" fontId="5" fillId="0" borderId="8" xfId="0" applyNumberFormat="1" applyFont="1" applyBorder="1"/>
    <xf numFmtId="43" fontId="5" fillId="0" borderId="9" xfId="0" applyNumberFormat="1" applyFont="1" applyBorder="1"/>
    <xf numFmtId="164" fontId="5" fillId="0" borderId="0" xfId="0" applyNumberFormat="1" applyFont="1" applyBorder="1"/>
    <xf numFmtId="164" fontId="0" fillId="0" borderId="8" xfId="0" applyNumberFormat="1" applyFont="1" applyBorder="1"/>
    <xf numFmtId="43" fontId="0" fillId="0" borderId="8" xfId="0" applyNumberFormat="1" applyFont="1" applyBorder="1"/>
    <xf numFmtId="43" fontId="0" fillId="0" borderId="9" xfId="0" applyNumberFormat="1" applyFont="1" applyBorder="1"/>
    <xf numFmtId="164" fontId="0" fillId="0" borderId="0" xfId="0" applyNumberFormat="1" applyFont="1" applyBorder="1"/>
    <xf numFmtId="0" fontId="7" fillId="0" borderId="0" xfId="0" applyFont="1"/>
    <xf numFmtId="0" fontId="8" fillId="0" borderId="0" xfId="0" applyFont="1"/>
    <xf numFmtId="0" fontId="0" fillId="0" borderId="11" xfId="0" applyBorder="1"/>
    <xf numFmtId="0" fontId="8" fillId="0" borderId="0" xfId="0" applyFont="1" applyAlignment="1">
      <alignment wrapText="1"/>
    </xf>
    <xf numFmtId="0" fontId="9" fillId="0" borderId="0" xfId="0" applyFont="1" applyAlignment="1">
      <alignment wrapText="1"/>
    </xf>
    <xf numFmtId="0" fontId="0" fillId="2" borderId="12" xfId="0" applyFill="1" applyBorder="1"/>
    <xf numFmtId="0" fontId="0" fillId="0" borderId="2" xfId="0" applyFill="1" applyBorder="1"/>
    <xf numFmtId="0" fontId="0" fillId="0" borderId="7" xfId="0" applyFill="1" applyBorder="1"/>
    <xf numFmtId="0" fontId="0" fillId="3" borderId="2" xfId="0" applyFill="1" applyBorder="1"/>
    <xf numFmtId="165" fontId="0" fillId="0" borderId="1" xfId="0" applyNumberFormat="1" applyBorder="1"/>
    <xf numFmtId="17" fontId="0" fillId="0" borderId="1" xfId="0" applyNumberFormat="1" applyBorder="1"/>
    <xf numFmtId="0" fontId="10" fillId="0" borderId="0" xfId="0" applyFont="1"/>
    <xf numFmtId="0" fontId="11" fillId="0" borderId="0" xfId="0" applyFont="1"/>
    <xf numFmtId="0" fontId="8" fillId="0" borderId="0" xfId="0" applyFont="1" applyAlignment="1"/>
    <xf numFmtId="0" fontId="8" fillId="0" borderId="0" xfId="0" applyFont="1" applyAlignment="1">
      <alignment horizontal="left"/>
    </xf>
    <xf numFmtId="0" fontId="8" fillId="4" borderId="0" xfId="0" applyFont="1" applyFill="1" applyAlignment="1">
      <alignment wrapText="1"/>
    </xf>
    <xf numFmtId="0" fontId="9" fillId="4" borderId="0" xfId="0" applyFont="1" applyFill="1" applyAlignment="1">
      <alignment wrapText="1"/>
    </xf>
    <xf numFmtId="0" fontId="12" fillId="4" borderId="0" xfId="0" applyFont="1" applyFill="1" applyAlignment="1">
      <alignment wrapText="1"/>
    </xf>
    <xf numFmtId="0" fontId="12" fillId="0" borderId="0" xfId="0" applyFont="1" applyAlignment="1">
      <alignment wrapText="1"/>
    </xf>
    <xf numFmtId="0" fontId="2" fillId="0" borderId="0" xfId="3"/>
    <xf numFmtId="0" fontId="2" fillId="5" borderId="0" xfId="3" applyFill="1"/>
    <xf numFmtId="0" fontId="2" fillId="6" borderId="0" xfId="3" applyFill="1"/>
    <xf numFmtId="0" fontId="2" fillId="7" borderId="0" xfId="3" applyFill="1"/>
    <xf numFmtId="0" fontId="2" fillId="4" borderId="0" xfId="3" applyFill="1"/>
    <xf numFmtId="0" fontId="13" fillId="0" borderId="0" xfId="3" applyFont="1"/>
    <xf numFmtId="0" fontId="15" fillId="0" borderId="1" xfId="0" applyFont="1" applyFill="1" applyBorder="1"/>
    <xf numFmtId="0" fontId="2" fillId="0" borderId="0" xfId="3" applyFill="1"/>
    <xf numFmtId="0" fontId="2" fillId="0" borderId="0" xfId="3" applyAlignment="1">
      <alignment wrapText="1"/>
    </xf>
    <xf numFmtId="0" fontId="2" fillId="0" borderId="0" xfId="3" applyFill="1" applyAlignment="1">
      <alignment wrapText="1"/>
    </xf>
    <xf numFmtId="16" fontId="0" fillId="0" borderId="0" xfId="0" applyNumberFormat="1"/>
    <xf numFmtId="9" fontId="0" fillId="0" borderId="0" xfId="4" applyFont="1"/>
    <xf numFmtId="0" fontId="1" fillId="0" borderId="0" xfId="3" applyFont="1" applyFill="1"/>
    <xf numFmtId="0" fontId="1" fillId="0" borderId="0" xfId="3" applyFont="1" applyFill="1" applyAlignment="1">
      <alignment wrapText="1"/>
    </xf>
    <xf numFmtId="0" fontId="0" fillId="0" borderId="0" xfId="0" applyFill="1"/>
    <xf numFmtId="0" fontId="16" fillId="0" borderId="0" xfId="0" applyFont="1" applyAlignment="1">
      <alignment wrapText="1"/>
    </xf>
    <xf numFmtId="0" fontId="12" fillId="8" borderId="0" xfId="0" applyFont="1" applyFill="1" applyAlignment="1">
      <alignment wrapText="1"/>
    </xf>
    <xf numFmtId="0" fontId="9" fillId="8" borderId="0" xfId="0" applyFont="1" applyFill="1" applyAlignment="1">
      <alignment wrapText="1"/>
    </xf>
    <xf numFmtId="0" fontId="8" fillId="8" borderId="0" xfId="0" applyFont="1" applyFill="1" applyAlignment="1">
      <alignment wrapText="1"/>
    </xf>
    <xf numFmtId="9" fontId="0" fillId="0" borderId="1" xfId="4" applyFont="1" applyBorder="1"/>
    <xf numFmtId="0" fontId="18" fillId="0" borderId="0" xfId="0" applyFont="1" applyAlignment="1">
      <alignment horizontal="left"/>
    </xf>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17" fillId="0" borderId="14" xfId="0" applyFont="1" applyBorder="1" applyAlignment="1">
      <alignment wrapText="1"/>
    </xf>
    <xf numFmtId="0" fontId="9" fillId="0" borderId="13" xfId="0" applyFont="1" applyBorder="1" applyAlignment="1">
      <alignment wrapText="1"/>
    </xf>
    <xf numFmtId="0" fontId="0" fillId="0" borderId="0" xfId="0" applyAlignment="1">
      <alignment wrapText="1"/>
    </xf>
    <xf numFmtId="0" fontId="12" fillId="9" borderId="13" xfId="0" applyFont="1" applyFill="1" applyBorder="1" applyAlignment="1">
      <alignment wrapText="1"/>
    </xf>
    <xf numFmtId="0" fontId="9" fillId="9" borderId="13" xfId="0" applyFont="1" applyFill="1" applyBorder="1" applyAlignment="1">
      <alignment wrapText="1"/>
    </xf>
    <xf numFmtId="0" fontId="8" fillId="9" borderId="13" xfId="0" applyFont="1" applyFill="1" applyBorder="1" applyAlignment="1">
      <alignment wrapText="1"/>
    </xf>
    <xf numFmtId="0" fontId="8" fillId="0" borderId="13" xfId="0" applyFont="1" applyBorder="1" applyAlignment="1">
      <alignment horizontal="left" wrapText="1"/>
    </xf>
  </cellXfs>
  <cellStyles count="5">
    <cellStyle name="Comma" xfId="2" builtinId="3"/>
    <cellStyle name="Normal" xfId="0" builtinId="0"/>
    <cellStyle name="Normal 2" xfId="1" xr:uid="{00000000-0005-0000-0000-000001000000}"/>
    <cellStyle name="Normal 3" xfId="3" xr:uid="{1C24CB0B-C2DE-EE40-ACD1-2A8A448B6044}"/>
    <cellStyle name="Per cent" xfId="4" builtinId="5"/>
  </cellStyles>
  <dxfs count="142">
    <dxf>
      <numFmt numFmtId="2" formatCode="0.00"/>
      <border diagonalUp="0" diagonalDown="0">
        <left style="thin">
          <color indexed="64"/>
        </left>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numFmt numFmtId="164" formatCode="_ * #,##0_)_ ;_ * \(#,##0\)_ ;_ * &quot;-&quot;??_)_ ;_ @_ "/>
    </dxf>
    <dxf>
      <font>
        <b val="0"/>
        <i val="0"/>
        <strike val="0"/>
        <condense val="0"/>
        <extend val="0"/>
        <outline val="0"/>
        <shadow val="0"/>
        <u val="none"/>
        <vertAlign val="baseline"/>
        <sz val="11"/>
        <color theme="1"/>
        <name val="Calibri"/>
        <family val="2"/>
        <scheme val="minor"/>
      </font>
      <numFmt numFmtId="164" formatCode="_ * #,##0_)_ ;_ * \(#,##0\)_ ;_ * &quot;-&quot;??_)_ ;_ @_ "/>
    </dxf>
    <dxf>
      <font>
        <b val="0"/>
        <i val="0"/>
        <strike val="0"/>
        <condense val="0"/>
        <extend val="0"/>
        <outline val="0"/>
        <shadow val="0"/>
        <u val="none"/>
        <vertAlign val="baseline"/>
        <sz val="11"/>
        <color theme="1"/>
        <name val="Calibri"/>
        <family val="2"/>
        <scheme val="minor"/>
      </font>
      <numFmt numFmtId="164" formatCode="_ * #,##0_)_ ;_ * \(#,##0\)_ ;_ * &quot;-&quot;??_)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 * #,##0_)_ ;_ * \(#,##0\)_ ;_ * &quot;-&quot;??_)_ ;_ @_ "/>
    </dxf>
    <dxf>
      <font>
        <b val="0"/>
        <i val="0"/>
        <strike val="0"/>
        <condense val="0"/>
        <extend val="0"/>
        <outline val="0"/>
        <shadow val="0"/>
        <u val="none"/>
        <vertAlign val="baseline"/>
        <sz val="11"/>
        <color theme="1"/>
        <name val="Calibri"/>
        <family val="2"/>
        <scheme val="minor"/>
      </font>
      <numFmt numFmtId="164" formatCode="_ * #,##0_)_ ;_ * \(#,##0\)_ ;_ * &quot;-&quot;??_)_ ;_ @_ "/>
    </dxf>
    <dxf>
      <numFmt numFmtId="164" formatCode="_ * #,##0_)_ ;_ * \(#,##0\)_ ;_ * &quot;-&quot;??_)_ ;_ @_ "/>
    </dxf>
    <dxf>
      <border diagonalUp="0" diagonalDown="0" outline="0">
        <left/>
        <right/>
        <top style="thin">
          <color indexed="64"/>
        </top>
        <bottom/>
      </border>
    </dxf>
    <dxf>
      <numFmt numFmtId="164" formatCode="_ * #,##0_)_ ;_ * \(#,##0\)_ ;_ * &quot;-&quot;??_)_ ;_ @_ "/>
    </dxf>
    <dxf>
      <numFmt numFmtId="0" formatCode="General"/>
      <border diagonalUp="0" diagonalDown="0" outline="0">
        <left/>
        <right/>
        <top/>
        <bottom/>
      </border>
    </dxf>
    <dxf>
      <numFmt numFmtId="0" formatCode="General"/>
    </dxf>
    <dxf>
      <font>
        <b val="0"/>
        <i val="0"/>
        <strike val="0"/>
        <condense val="0"/>
        <extend val="0"/>
        <outline val="0"/>
        <shadow val="0"/>
        <u val="none"/>
        <vertAlign val="baseline"/>
        <sz val="11"/>
        <color theme="1"/>
        <name val="Calibri"/>
        <family val="2"/>
        <scheme val="minor"/>
      </font>
      <numFmt numFmtId="164" formatCode="_ * #,##0_)_ ;_ * \(#,##0\)_ ;_ * &quot;-&quot;??_)_ ;_ @_ "/>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164" formatCode="_ * #,##0_)_ ;_ * \(#,##0\)_ ;_ * &quot;-&quot;??_)_ ;_ @_ "/>
    </dxf>
    <dxf>
      <font>
        <b val="0"/>
        <i val="0"/>
        <strike val="0"/>
        <condense val="0"/>
        <extend val="0"/>
        <outline val="0"/>
        <shadow val="0"/>
        <u val="none"/>
        <vertAlign val="baseline"/>
        <sz val="11"/>
        <color theme="1"/>
        <name val="Calibri"/>
        <family val="2"/>
        <scheme val="minor"/>
      </font>
      <numFmt numFmtId="164" formatCode="_ * #,##0_)_ ;_ * \(#,##0\)_ ;_ * &quot;-&quot;??_)_ ;_ @_ "/>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164" formatCode="_ * #,##0_)_ ;_ * \(#,##0\)_ ;_ * &quot;-&quot;??_)_ ;_ @_ "/>
    </dxf>
    <dxf>
      <font>
        <b val="0"/>
        <i val="0"/>
        <strike val="0"/>
        <condense val="0"/>
        <extend val="0"/>
        <outline val="0"/>
        <shadow val="0"/>
        <u val="none"/>
        <vertAlign val="baseline"/>
        <sz val="11"/>
        <color theme="1"/>
        <name val="Calibri"/>
        <family val="2"/>
        <scheme val="minor"/>
      </font>
      <numFmt numFmtId="35" formatCode="_ * #,##0.00_)_ ;_ * \(#,##0.00\)_ ;_ * &quot;-&quot;??_)_ ;_ @_ "/>
      <border diagonalUp="0" diagonalDown="0" outline="0">
        <left style="thin">
          <color indexed="64"/>
        </left>
        <right/>
        <top style="thin">
          <color indexed="64"/>
        </top>
        <bottom/>
      </border>
    </dxf>
    <dxf>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5" formatCode="_ * #,##0.00_)_ ;_ * \(#,##0.00\)_ ;_ * &quot;-&quot;??_)_ ;_ @_ "/>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 #,##0_)_ ;_ * \(#,##0\)_ ;_ * &quot;-&quot;??_)_ ;_ @_ "/>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numFmt numFmtId="164" formatCode="_ * #,##0_)_ ;_ * \(#,##0\)_ ;_ * &quot;-&quot;??_)_ ;_ @_ "/>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4" formatCode="_ * #,##0_)_ ;_ * \(#,##0\)_ ;_ * &quot;-&quot;??_)_ ;_ @_ "/>
      <border diagonalUp="0" diagonalDown="0" outline="0">
        <left style="thin">
          <color indexed="64"/>
        </left>
        <right style="thin">
          <color indexed="64"/>
        </right>
        <top style="thin">
          <color indexed="64"/>
        </top>
        <bottom/>
      </border>
    </dxf>
    <dxf>
      <numFmt numFmtId="164" formatCode="_ * #,##0_)_ ;_ * \(#,##0\)_ ;_ * &quot;-&quot;??_)_ ;_ @_ "/>
      <border diagonalUp="0" diagonalDown="0">
        <left style="thin">
          <color indexed="64"/>
        </left>
        <right style="thin">
          <color indexed="64"/>
        </right>
        <top style="thin">
          <color indexed="64"/>
        </top>
        <bottom style="thin">
          <color indexed="64"/>
        </bottom>
        <vertical/>
        <horizontal/>
      </border>
    </dxf>
    <dxf>
      <numFmt numFmtId="164" formatCode="_ * #,##0_)_ ;_ * \(#,##0\)_ ;_ * &quot;-&quot;??_)_ ;_ @_ "/>
      <border diagonalUp="0" diagonalDown="0" outline="0">
        <left/>
        <right style="thin">
          <color indexed="64"/>
        </right>
        <top style="thin">
          <color indexed="64"/>
        </top>
        <bottom/>
      </border>
    </dxf>
    <dxf>
      <numFmt numFmtId="164" formatCode="_ * #,##0_)_ ;_ * \(#,##0\)_ ;_ * &quot;-&quot;??_)_ ;_ @_ "/>
      <border diagonalUp="0" diagonalDown="0">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rgb="FFFFFF00"/>
        </patternFill>
      </fill>
      <border diagonalUp="0" diagonalDown="0" outline="0">
        <left style="thin">
          <color indexed="64"/>
        </left>
        <right style="thin">
          <color indexed="64"/>
        </right>
        <top/>
        <bottom/>
      </border>
    </dxf>
    <dxf>
      <numFmt numFmtId="164" formatCode="_ * #,##0_)_ ;_ * \(#,##0\)_ ;_ * &quot;-&quot;??_)_ ;_ @_ "/>
    </dxf>
    <dxf>
      <font>
        <b val="0"/>
        <i val="0"/>
        <strike val="0"/>
        <condense val="0"/>
        <extend val="0"/>
        <outline val="0"/>
        <shadow val="0"/>
        <u val="none"/>
        <vertAlign val="baseline"/>
        <sz val="11"/>
        <color theme="1"/>
        <name val="Calibri"/>
        <family val="2"/>
        <scheme val="minor"/>
      </font>
      <numFmt numFmtId="164" formatCode="_ * #,##0_)_ ;_ * \(#,##0\)_ ;_ * &quot;-&quot;??_)_ ;_ @_ "/>
    </dxf>
    <dxf>
      <font>
        <b val="0"/>
        <i val="0"/>
        <strike val="0"/>
        <condense val="0"/>
        <extend val="0"/>
        <outline val="0"/>
        <shadow val="0"/>
        <u val="none"/>
        <vertAlign val="baseline"/>
        <sz val="11"/>
        <color theme="1"/>
        <name val="Calibri"/>
        <family val="2"/>
        <scheme val="minor"/>
      </font>
      <numFmt numFmtId="164" formatCode="_ * #,##0_)_ ;_ * \(#,##0\)_ ;_ * &quot;-&quot;??_)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 * #,##0_)_ ;_ * \(#,##0\)_ ;_ * &quot;-&quot;??_)_ ;_ @_ "/>
    </dxf>
    <dxf>
      <font>
        <b val="0"/>
        <i val="0"/>
        <strike val="0"/>
        <condense val="0"/>
        <extend val="0"/>
        <outline val="0"/>
        <shadow val="0"/>
        <u val="none"/>
        <vertAlign val="baseline"/>
        <sz val="11"/>
        <color theme="1"/>
        <name val="Calibri"/>
        <family val="2"/>
        <scheme val="minor"/>
      </font>
      <numFmt numFmtId="164" formatCode="_ * #,##0_)_ ;_ * \(#,##0\)_ ;_ * &quot;-&quot;??_)_ ;_ @_ "/>
    </dxf>
    <dxf>
      <numFmt numFmtId="164" formatCode="_ * #,##0_)_ ;_ * \(#,##0\)_ ;_ * &quot;-&quot;??_)_ ;_ @_ "/>
    </dxf>
    <dxf>
      <border diagonalUp="0" diagonalDown="0" outline="0">
        <left/>
        <right/>
        <top style="thin">
          <color rgb="FF000000"/>
        </top>
        <bottom/>
      </border>
    </dxf>
    <dxf>
      <border diagonalUp="0" diagonalDown="0" outline="0">
        <left/>
        <right/>
        <top style="thin">
          <color rgb="FF000000"/>
        </top>
        <bottom/>
      </border>
    </dxf>
    <dxf>
      <numFmt numFmtId="13" formatCode="0%"/>
    </dxf>
    <dxf>
      <border diagonalUp="0" diagonalDown="0" outline="0">
        <left/>
        <right/>
        <top style="thin">
          <color rgb="FF000000"/>
        </top>
        <bottom/>
      </border>
    </dxf>
    <dxf>
      <numFmt numFmtId="164" formatCode="_ * #,##0_)_ ;_ * \(#,##0\)_ ;_ * &quot;-&quot;??_)_ ;_ @_ "/>
    </dxf>
    <dxf>
      <border diagonalUp="0" diagonalDown="0" outline="0">
        <left/>
        <right/>
        <top style="thin">
          <color rgb="FF000000"/>
        </top>
        <bottom/>
      </border>
    </dxf>
    <dxf>
      <numFmt numFmtId="164" formatCode="_ * #,##0_)_ ;_ * \(#,##0\)_ ;_ * &quot;-&quot;??_)_ ;_ @_ "/>
    </dxf>
    <dxf>
      <border diagonalUp="0" diagonalDown="0" outline="0">
        <left/>
        <right/>
        <top style="thin">
          <color indexed="64"/>
        </top>
        <bottom/>
      </border>
    </dxf>
    <dxf>
      <numFmt numFmtId="164" formatCode="_ * #,##0_)_ ;_ * \(#,##0\)_ ;_ * &quot;-&quot;??_)_ ;_ @_ "/>
    </dxf>
    <dxf>
      <numFmt numFmtId="0" formatCode="General"/>
      <border diagonalUp="0" diagonalDown="0" outline="0">
        <left/>
        <right/>
        <top/>
        <bottom/>
      </border>
    </dxf>
    <dxf>
      <numFmt numFmtId="0" formatCode="General"/>
    </dxf>
    <dxf>
      <font>
        <b val="0"/>
        <i val="0"/>
        <strike val="0"/>
        <condense val="0"/>
        <extend val="0"/>
        <outline val="0"/>
        <shadow val="0"/>
        <u val="none"/>
        <vertAlign val="baseline"/>
        <sz val="11"/>
        <color theme="1"/>
        <name val="Calibri"/>
        <family val="2"/>
        <scheme val="minor"/>
      </font>
      <numFmt numFmtId="164" formatCode="_ * #,##0_)_ ;_ * \(#,##0\)_ ;_ * &quot;-&quot;??_)_ ;_ @_ "/>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164" formatCode="_ * #,##0_)_ ;_ * \(#,##0\)_ ;_ * &quot;-&quot;??_)_ ;_ @_ "/>
    </dxf>
    <dxf>
      <font>
        <b val="0"/>
        <i val="0"/>
        <strike val="0"/>
        <condense val="0"/>
        <extend val="0"/>
        <outline val="0"/>
        <shadow val="0"/>
        <u val="none"/>
        <vertAlign val="baseline"/>
        <sz val="11"/>
        <color theme="1"/>
        <name val="Calibri"/>
        <family val="2"/>
        <scheme val="minor"/>
      </font>
      <numFmt numFmtId="164" formatCode="_ * #,##0_)_ ;_ * \(#,##0\)_ ;_ * &quot;-&quot;??_)_ ;_ @_ "/>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164" formatCode="_ * #,##0_)_ ;_ * \(#,##0\)_ ;_ * &quot;-&quot;??_)_ ;_ @_ "/>
    </dxf>
    <dxf>
      <font>
        <b val="0"/>
        <i val="0"/>
        <strike val="0"/>
        <condense val="0"/>
        <extend val="0"/>
        <outline val="0"/>
        <shadow val="0"/>
        <u val="none"/>
        <vertAlign val="baseline"/>
        <sz val="11"/>
        <color theme="1"/>
        <name val="Calibri"/>
        <family val="2"/>
        <scheme val="minor"/>
      </font>
      <numFmt numFmtId="35" formatCode="_ * #,##0.00_)_ ;_ * \(#,##0.00\)_ ;_ * &quot;-&quot;??_)_ ;_ @_ "/>
      <border diagonalUp="0" diagonalDown="0" outline="0">
        <left style="thin">
          <color indexed="64"/>
        </left>
        <right/>
        <top style="thin">
          <color indexed="64"/>
        </top>
        <bottom/>
      </border>
    </dxf>
    <dxf>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5" formatCode="_ * #,##0.00_)_ ;_ * \(#,##0.00\)_ ;_ * &quot;-&quot;??_)_ ;_ @_ "/>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 #,##0_)_ ;_ * \(#,##0\)_ ;_ * &quot;-&quot;??_)_ ;_ @_ "/>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numFmt numFmtId="164" formatCode="_ * #,##0_)_ ;_ * \(#,##0\)_ ;_ * &quot;-&quot;??_)_ ;_ @_ "/>
      <border diagonalUp="0" diagonalDown="0">
        <left style="thin">
          <color indexed="64"/>
        </left>
        <right style="thin">
          <color indexed="64"/>
        </right>
        <top style="thin">
          <color indexed="64"/>
        </top>
        <bottom style="thin">
          <color indexed="64"/>
        </bottom>
      </border>
    </dxf>
    <dxf>
      <numFmt numFmtId="164" formatCode="_ * #,##0_)_ ;_ * \(#,##0\)_ ;_ * &quot;-&quot;??_)_ ;_ @_ "/>
      <border diagonalUp="0" diagonalDown="0" outline="0">
        <left/>
        <right style="thin">
          <color indexed="64"/>
        </right>
        <top style="thin">
          <color indexed="64"/>
        </top>
        <bottom/>
      </border>
    </dxf>
    <dxf>
      <numFmt numFmtId="164" formatCode="_ * #,##0_)_ ;_ * \(#,##0\)_ ;_ * &quot;-&quot;??_)_ ;_ @_ "/>
      <border diagonalUp="0" diagonalDown="0">
        <left style="thin">
          <color indexed="64"/>
        </left>
        <right style="thin">
          <color indexed="64"/>
        </right>
        <top style="thin">
          <color indexed="64"/>
        </top>
        <bottom style="thin">
          <color indexed="64"/>
        </bottom>
        <vertical/>
        <horizontal/>
      </border>
    </dxf>
    <dxf>
      <numFmt numFmtId="164" formatCode="_ * #,##0_)_ ;_ * \(#,##0\)_ ;_ * &quot;-&quot;??_)_ ;_ @_ "/>
      <border diagonalUp="0" diagonalDown="0" outline="0">
        <left/>
        <right style="thin">
          <color indexed="64"/>
        </right>
        <top style="thin">
          <color indexed="64"/>
        </top>
        <bottom/>
      </border>
    </dxf>
    <dxf>
      <numFmt numFmtId="164" formatCode="_ * #,##0_)_ ;_ * \(#,##0\)_ ;_ * &quot;-&quot;??_)_ ;_ @_ "/>
      <border diagonalUp="0" diagonalDown="0" outline="0">
        <left style="thin">
          <color indexed="64"/>
        </left>
        <right style="thin">
          <color indexed="64"/>
        </right>
        <top style="thin">
          <color indexed="64"/>
        </top>
        <bottom style="thin">
          <color indexed="64"/>
        </bottom>
      </border>
    </dxf>
    <dxf>
      <border diagonalUp="0" diagonalDown="0" outline="0">
        <left/>
        <right style="thin">
          <color indexed="64"/>
        </right>
        <top style="thin">
          <color indexed="64"/>
        </top>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ill>
        <patternFill patternType="solid">
          <fgColor indexed="64"/>
          <bgColor rgb="FFFFFF00"/>
        </patternFill>
      </fill>
      <border diagonalUp="0" diagonalDown="0" outline="0">
        <left style="thin">
          <color indexed="64"/>
        </left>
        <right style="thin">
          <color indexed="64"/>
        </right>
        <top/>
        <bottom/>
      </border>
    </dxf>
    <dxf>
      <numFmt numFmtId="35" formatCode="_ * #,##0.00_)_ ;_ * \(#,##0.00\)_ ;_ * &quot;-&quot;??_)_ ;_ @_ "/>
    </dxf>
    <dxf>
      <numFmt numFmtId="35" formatCode="_ * #,##0.00_)_ ;_ * \(#,##0.00\)_ ;_ * &quot;-&quot;??_)_ ;_ @_ "/>
    </dxf>
    <dxf>
      <numFmt numFmtId="35" formatCode="_ * #,##0.00_)_ ;_ * \(#,##0.00\)_ ;_ * &quot;-&quot;??_)_ ;_ @_ "/>
    </dxf>
    <dxf>
      <numFmt numFmtId="35" formatCode="_ * #,##0.00_)_ ;_ * \(#,##0.00\)_ ;_ * &quot;-&quot;??_)_ ;_ @_ "/>
    </dxf>
    <dxf>
      <font>
        <strike val="0"/>
        <outline val="0"/>
        <shadow val="0"/>
        <u val="none"/>
        <vertAlign val="baseline"/>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alignment horizontal="left" vertical="bottom" textRotation="0" wrapText="0" indent="0" justifyLastLine="0" shrinkToFit="0" readingOrder="0"/>
    </dxf>
    <dxf>
      <font>
        <strike val="0"/>
        <outline val="0"/>
        <shadow val="0"/>
        <u val="none"/>
        <vertAlign val="baseline"/>
        <name val="Arial"/>
        <family val="2"/>
        <scheme val="none"/>
      </font>
      <alignment horizontal="left" vertical="bottom" textRotation="0" wrapText="0"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alignment horizontal="left" vertical="bottom" textRotation="0" wrapText="0" indent="0" justifyLastLine="0" shrinkToFit="0" readingOrder="0"/>
    </dxf>
    <dxf>
      <font>
        <strike val="0"/>
        <outline val="0"/>
        <shadow val="0"/>
        <u val="none"/>
        <vertAlign val="baseline"/>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strike val="0"/>
        <outline val="0"/>
        <shadow val="0"/>
        <u val="none"/>
        <vertAlign val="baseline"/>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general" vertical="bottom" textRotation="0" wrapText="1" indent="0" justifyLastLine="0" shrinkToFit="0" readingOrder="0"/>
    </dxf>
    <dxf>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alignment horizontal="general" vertical="bottom" textRotation="0" wrapText="1" indent="0" justifyLastLine="0" shrinkToFit="0" readingOrder="0"/>
    </dxf>
    <dxf>
      <numFmt numFmtId="164" formatCode="_ * #,##0_)_ ;_ * \(#,##0\)_ ;_ * &quot;-&quot;??_)_ ;_ @_ "/>
    </dxf>
    <dxf>
      <font>
        <b val="0"/>
        <i val="0"/>
        <strike val="0"/>
        <condense val="0"/>
        <extend val="0"/>
        <outline val="0"/>
        <shadow val="0"/>
        <u val="none"/>
        <vertAlign val="baseline"/>
        <sz val="11"/>
        <color theme="1"/>
        <name val="Calibri"/>
        <family val="2"/>
        <scheme val="minor"/>
      </font>
      <numFmt numFmtId="164" formatCode="_ * #,##0_)_ ;_ * \(#,##0\)_ ;_ * &quot;-&quot;??_)_ ;_ @_ "/>
    </dxf>
    <dxf>
      <font>
        <b val="0"/>
        <i val="0"/>
        <strike val="0"/>
        <condense val="0"/>
        <extend val="0"/>
        <outline val="0"/>
        <shadow val="0"/>
        <u val="none"/>
        <vertAlign val="baseline"/>
        <sz val="11"/>
        <color theme="1"/>
        <name val="Calibri"/>
        <family val="2"/>
        <scheme val="minor"/>
      </font>
      <numFmt numFmtId="164" formatCode="_ * #,##0_)_ ;_ * \(#,##0\)_ ;_ * &quot;-&quot;??_)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 * #,##0_)_ ;_ * \(#,##0\)_ ;_ * &quot;-&quot;??_)_ ;_ @_ "/>
    </dxf>
    <dxf>
      <font>
        <b val="0"/>
        <i val="0"/>
        <strike val="0"/>
        <condense val="0"/>
        <extend val="0"/>
        <outline val="0"/>
        <shadow val="0"/>
        <u val="none"/>
        <vertAlign val="baseline"/>
        <sz val="11"/>
        <color theme="1"/>
        <name val="Calibri"/>
        <family val="2"/>
        <scheme val="minor"/>
      </font>
      <numFmt numFmtId="164" formatCode="_ * #,##0_)_ ;_ * \(#,##0\)_ ;_ * &quot;-&quot;??_)_ ;_ @_ "/>
    </dxf>
    <dxf>
      <numFmt numFmtId="164" formatCode="_ * #,##0_)_ ;_ * \(#,##0\)_ ;_ * &quot;-&quot;??_)_ ;_ @_ "/>
    </dxf>
    <dxf>
      <border diagonalUp="0" diagonalDown="0" outline="0">
        <left/>
        <right/>
        <top style="thin">
          <color indexed="64"/>
        </top>
        <bottom/>
      </border>
    </dxf>
    <dxf>
      <numFmt numFmtId="164" formatCode="_ * #,##0_)_ ;_ * \(#,##0\)_ ;_ * &quot;-&quot;??_)_ ;_ @_ "/>
    </dxf>
    <dxf>
      <numFmt numFmtId="0" formatCode="General"/>
      <border diagonalUp="0" diagonalDown="0" outline="0">
        <left/>
        <right/>
        <top/>
        <bottom/>
      </border>
    </dxf>
    <dxf>
      <numFmt numFmtId="0" formatCode="General"/>
    </dxf>
    <dxf>
      <font>
        <b val="0"/>
        <i val="0"/>
        <strike val="0"/>
        <condense val="0"/>
        <extend val="0"/>
        <outline val="0"/>
        <shadow val="0"/>
        <u val="none"/>
        <vertAlign val="baseline"/>
        <sz val="11"/>
        <color theme="1"/>
        <name val="Calibri"/>
        <family val="2"/>
        <scheme val="minor"/>
      </font>
      <numFmt numFmtId="164" formatCode="_ * #,##0_)_ ;_ * \(#,##0\)_ ;_ * &quot;-&quot;??_)_ ;_ @_ "/>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164" formatCode="_ * #,##0_)_ ;_ * \(#,##0\)_ ;_ * &quot;-&quot;??_)_ ;_ @_ "/>
    </dxf>
    <dxf>
      <font>
        <b val="0"/>
        <i val="0"/>
        <strike val="0"/>
        <condense val="0"/>
        <extend val="0"/>
        <outline val="0"/>
        <shadow val="0"/>
        <u val="none"/>
        <vertAlign val="baseline"/>
        <sz val="11"/>
        <color theme="1"/>
        <name val="Calibri"/>
        <family val="2"/>
        <scheme val="minor"/>
      </font>
      <numFmt numFmtId="164" formatCode="_ * #,##0_)_ ;_ * \(#,##0\)_ ;_ * &quot;-&quot;??_)_ ;_ @_ "/>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164" formatCode="_ * #,##0_)_ ;_ * \(#,##0\)_ ;_ * &quot;-&quot;??_)_ ;_ @_ "/>
    </dxf>
    <dxf>
      <font>
        <b val="0"/>
        <i val="0"/>
        <strike val="0"/>
        <condense val="0"/>
        <extend val="0"/>
        <outline val="0"/>
        <shadow val="0"/>
        <u val="none"/>
        <vertAlign val="baseline"/>
        <sz val="11"/>
        <color theme="1"/>
        <name val="Calibri"/>
        <family val="2"/>
        <scheme val="minor"/>
      </font>
      <numFmt numFmtId="35" formatCode="_ * #,##0.00_)_ ;_ * \(#,##0.00\)_ ;_ * &quot;-&quot;??_)_ ;_ @_ "/>
      <border diagonalUp="0" diagonalDown="0" outline="0">
        <left style="thin">
          <color indexed="64"/>
        </left>
        <right/>
        <top style="thin">
          <color indexed="64"/>
        </top>
        <bottom/>
      </border>
    </dxf>
    <dxf>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5" formatCode="_ * #,##0.00_)_ ;_ * \(#,##0.00\)_ ;_ * &quot;-&quot;??_)_ ;_ @_ "/>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 #,##0_)_ ;_ * \(#,##0\)_ ;_ * &quot;-&quot;??_)_ ;_ @_ "/>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numFmt numFmtId="164" formatCode="_ * #,##0_)_ ;_ * \(#,##0\)_ ;_ * &quot;-&quot;??_)_ ;_ @_ "/>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4" formatCode="_ * #,##0_)_ ;_ * \(#,##0\)_ ;_ * &quot;-&quot;??_)_ ;_ @_ "/>
      <border diagonalUp="0" diagonalDown="0" outline="0">
        <left style="thin">
          <color indexed="64"/>
        </left>
        <right style="thin">
          <color indexed="64"/>
        </right>
        <top style="thin">
          <color indexed="64"/>
        </top>
        <bottom/>
      </border>
    </dxf>
    <dxf>
      <numFmt numFmtId="164" formatCode="_ * #,##0_)_ ;_ * \(#,##0\)_ ;_ * &quot;-&quot;??_)_ ;_ @_ "/>
      <border diagonalUp="0" diagonalDown="0">
        <left style="thin">
          <color indexed="64"/>
        </left>
        <right style="thin">
          <color indexed="64"/>
        </right>
        <top style="thin">
          <color indexed="64"/>
        </top>
        <bottom style="thin">
          <color indexed="64"/>
        </bottom>
        <vertical/>
        <horizontal/>
      </border>
    </dxf>
    <dxf>
      <numFmt numFmtId="164" formatCode="_ * #,##0_)_ ;_ * \(#,##0\)_ ;_ * &quot;-&quot;??_)_ ;_ @_ "/>
      <border diagonalUp="0" diagonalDown="0" outline="0">
        <left/>
        <right style="thin">
          <color indexed="64"/>
        </right>
        <top style="thin">
          <color indexed="64"/>
        </top>
        <bottom/>
      </border>
    </dxf>
    <dxf>
      <numFmt numFmtId="164" formatCode="_ * #,##0_)_ ;_ * \(#,##0\)_ ;_ * &quot;-&quot;??_)_ ;_ @_ "/>
      <border diagonalUp="0" diagonalDown="0">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ill>
        <patternFill patternType="solid">
          <fgColor indexed="64"/>
          <bgColor rgb="FFFFFF0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r>
              <a:rPr lang="en-GB" b="1"/>
              <a:t>Popularity Difficulty Tradeoff </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BD"/>
        </a:p>
      </c:txPr>
    </c:title>
    <c:autoTitleDeleted val="0"/>
    <c:plotArea>
      <c:layout/>
      <c:bubbleChart>
        <c:varyColors val="0"/>
        <c:ser>
          <c:idx val="0"/>
          <c:order val="0"/>
          <c:tx>
            <c:strRef>
              <c:f>'Popularity Difficulty 3 yrs'!$A$2</c:f>
              <c:strCache>
                <c:ptCount val="1"/>
                <c:pt idx="0">
                  <c:v>Azure DevOps Build Project</c:v>
                </c:pt>
              </c:strCache>
            </c:strRef>
          </c:tx>
          <c:spPr>
            <a:solidFill>
              <a:schemeClr val="accent1">
                <a:alpha val="75000"/>
              </a:schemeClr>
            </a:solidFill>
            <a:ln>
              <a:noFill/>
            </a:ln>
            <a:effectLst/>
          </c:spPr>
          <c:invertIfNegative val="0"/>
          <c:dLbls>
            <c:dLbl>
              <c:idx val="0"/>
              <c:layout>
                <c:manualLayout>
                  <c:x val="-4.1450777202072537E-3"/>
                  <c:y val="2.4719101123595506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yrs'!$B$2</c:f>
              <c:numCache>
                <c:formatCode>_ * #,##0_)_ ;_ * \(#,##0\)_ ;_ * "-"??_)_ ;_ @_ </c:formatCode>
                <c:ptCount val="1"/>
                <c:pt idx="0">
                  <c:v>46.375753149534418</c:v>
                </c:pt>
              </c:numCache>
            </c:numRef>
          </c:xVal>
          <c:yVal>
            <c:numRef>
              <c:f>'Popularity Difficulty 3 yrs'!$C$2</c:f>
              <c:numCache>
                <c:formatCode>_ * #,##0_)_ ;_ * \(#,##0\)_ ;_ * "-"??_)_ ;_ @_ </c:formatCode>
                <c:ptCount val="1"/>
                <c:pt idx="0">
                  <c:v>1391.26</c:v>
                </c:pt>
              </c:numCache>
            </c:numRef>
          </c:yVal>
          <c:bubbleSize>
            <c:numRef>
              <c:f>'Popularity Difficulty 3 yrs'!$D$2</c:f>
              <c:numCache>
                <c:formatCode>_ * #,##0_)_ ;_ * \(#,##0\)_ ;_ * "-"??_)_ ;_ @_ </c:formatCode>
                <c:ptCount val="1"/>
                <c:pt idx="0">
                  <c:v>3068</c:v>
                </c:pt>
              </c:numCache>
            </c:numRef>
          </c:bubbleSize>
          <c:bubble3D val="1"/>
          <c:extLst>
            <c:ext xmlns:c16="http://schemas.microsoft.com/office/drawing/2014/chart" uri="{C3380CC4-5D6E-409C-BE32-E72D297353CC}">
              <c16:uniqueId val="{00000001-0FB8-AD49-9953-5663FF7C7880}"/>
            </c:ext>
          </c:extLst>
        </c:ser>
        <c:ser>
          <c:idx val="1"/>
          <c:order val="1"/>
          <c:tx>
            <c:strRef>
              <c:f>'Popularity Difficulty 3 yrs'!$A$3</c:f>
              <c:strCache>
                <c:ptCount val="1"/>
                <c:pt idx="0">
                  <c:v>Azure DevOps Deployment</c:v>
                </c:pt>
              </c:strCache>
            </c:strRef>
          </c:tx>
          <c:spPr>
            <a:solidFill>
              <a:schemeClr val="accent2">
                <a:alpha val="75000"/>
              </a:schemeClr>
            </a:solidFill>
            <a:ln>
              <a:noFill/>
            </a:ln>
            <a:effectLst/>
          </c:spPr>
          <c:invertIfNegative val="0"/>
          <c:dLbls>
            <c:dLbl>
              <c:idx val="0"/>
              <c:layout>
                <c:manualLayout>
                  <c:x val="-0.19851518560179979"/>
                  <c:y val="1.7977528089887559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ct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yrs'!$B$3</c:f>
              <c:numCache>
                <c:formatCode>_ * #,##0_)_ ;_ * \(#,##0\)_ ;_ * "-"??_)_ ;_ @_ </c:formatCode>
                <c:ptCount val="1"/>
                <c:pt idx="0">
                  <c:v>56.761513640363745</c:v>
                </c:pt>
              </c:numCache>
            </c:numRef>
          </c:xVal>
          <c:yVal>
            <c:numRef>
              <c:f>'Popularity Difficulty 3 yrs'!$C$3</c:f>
              <c:numCache>
                <c:formatCode>_ * #,##0_)_ ;_ * \(#,##0\)_ ;_ * "-"??_)_ ;_ @_ </c:formatCode>
                <c:ptCount val="1"/>
                <c:pt idx="0">
                  <c:v>932.96</c:v>
                </c:pt>
              </c:numCache>
            </c:numRef>
          </c:yVal>
          <c:bubbleSize>
            <c:numRef>
              <c:f>'Popularity Difficulty 3 yrs'!$D$3</c:f>
              <c:numCache>
                <c:formatCode>_ * #,##0_)_ ;_ * \(#,##0\)_ ;_ * "-"??_)_ ;_ @_ </c:formatCode>
                <c:ptCount val="1"/>
                <c:pt idx="0">
                  <c:v>4423</c:v>
                </c:pt>
              </c:numCache>
            </c:numRef>
          </c:bubbleSize>
          <c:bubble3D val="1"/>
          <c:extLst>
            <c:ext xmlns:c16="http://schemas.microsoft.com/office/drawing/2014/chart" uri="{C3380CC4-5D6E-409C-BE32-E72D297353CC}">
              <c16:uniqueId val="{00000003-0FB8-AD49-9953-5663FF7C7880}"/>
            </c:ext>
          </c:extLst>
        </c:ser>
        <c:ser>
          <c:idx val="2"/>
          <c:order val="2"/>
          <c:tx>
            <c:strRef>
              <c:f>'Popularity Difficulty 3 yrs'!$A$4</c:f>
              <c:strCache>
                <c:ptCount val="1"/>
                <c:pt idx="0">
                  <c:v>Azure DevOps Development Pipeline</c:v>
                </c:pt>
              </c:strCache>
            </c:strRef>
          </c:tx>
          <c:spPr>
            <a:solidFill>
              <a:schemeClr val="accent3">
                <a:alpha val="75000"/>
              </a:schemeClr>
            </a:solidFill>
            <a:ln>
              <a:noFill/>
            </a:ln>
            <a:effectLst/>
          </c:spPr>
          <c:invertIfNegative val="0"/>
          <c:dLbls>
            <c:dLbl>
              <c:idx val="0"/>
              <c:layout>
                <c:manualLayout>
                  <c:x val="-0.12331606217616581"/>
                  <c:y val="0.10786516853932585"/>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yrs'!$B$4</c:f>
              <c:numCache>
                <c:formatCode>_ * #,##0_)_ ;_ * \(#,##0\)_ ;_ * "-"??_)_ ;_ @_ </c:formatCode>
                <c:ptCount val="1"/>
                <c:pt idx="0">
                  <c:v>45.806238289430176</c:v>
                </c:pt>
              </c:numCache>
            </c:numRef>
          </c:xVal>
          <c:yVal>
            <c:numRef>
              <c:f>'Popularity Difficulty 3 yrs'!$C$4</c:f>
              <c:numCache>
                <c:formatCode>_ * #,##0_)_ ;_ * \(#,##0\)_ ;_ * "-"??_)_ ;_ @_ </c:formatCode>
                <c:ptCount val="1"/>
                <c:pt idx="0">
                  <c:v>607.44000000000005</c:v>
                </c:pt>
              </c:numCache>
            </c:numRef>
          </c:yVal>
          <c:bubbleSize>
            <c:numRef>
              <c:f>'Popularity Difficulty 3 yrs'!$D$4</c:f>
              <c:numCache>
                <c:formatCode>_ * #,##0_)_ ;_ * \(#,##0\)_ ;_ * "-"??_)_ ;_ @_ </c:formatCode>
                <c:ptCount val="1"/>
                <c:pt idx="0">
                  <c:v>8310</c:v>
                </c:pt>
              </c:numCache>
            </c:numRef>
          </c:bubbleSize>
          <c:bubble3D val="1"/>
          <c:extLst>
            <c:ext xmlns:c16="http://schemas.microsoft.com/office/drawing/2014/chart" uri="{C3380CC4-5D6E-409C-BE32-E72D297353CC}">
              <c16:uniqueId val="{00000005-0FB8-AD49-9953-5663FF7C7880}"/>
            </c:ext>
          </c:extLst>
        </c:ser>
        <c:ser>
          <c:idx val="3"/>
          <c:order val="3"/>
          <c:tx>
            <c:strRef>
              <c:f>'Popularity Difficulty 3 yrs'!$A$5</c:f>
              <c:strCache>
                <c:ptCount val="1"/>
                <c:pt idx="0">
                  <c:v>Cloud Infra Automation</c:v>
                </c:pt>
              </c:strCache>
            </c:strRef>
          </c:tx>
          <c:spPr>
            <a:solidFill>
              <a:schemeClr val="accent4">
                <a:alpha val="75000"/>
              </a:schemeClr>
            </a:solidFill>
            <a:ln>
              <a:noFill/>
            </a:ln>
            <a:effectLst/>
          </c:spPr>
          <c:invertIfNegative val="0"/>
          <c:dLbls>
            <c:dLbl>
              <c:idx val="0"/>
              <c:layout>
                <c:manualLayout>
                  <c:x val="-8.0511144988455394E-2"/>
                  <c:y val="0.15505617977528091"/>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ct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yrs'!$B$5</c:f>
              <c:numCache>
                <c:formatCode>_ * #,##0_)_ ;_ * \(#,##0\)_ ;_ * "-"??_)_ ;_ @_ </c:formatCode>
                <c:ptCount val="1"/>
                <c:pt idx="0">
                  <c:v>57.363210478972036</c:v>
                </c:pt>
              </c:numCache>
            </c:numRef>
          </c:xVal>
          <c:yVal>
            <c:numRef>
              <c:f>'Popularity Difficulty 3 yrs'!$C$5</c:f>
              <c:numCache>
                <c:formatCode>_ * #,##0_)_ ;_ * \(#,##0\)_ ;_ * "-"??_)_ ;_ @_ </c:formatCode>
                <c:ptCount val="1"/>
                <c:pt idx="0">
                  <c:v>1087.365</c:v>
                </c:pt>
              </c:numCache>
            </c:numRef>
          </c:yVal>
          <c:bubbleSize>
            <c:numRef>
              <c:f>'Popularity Difficulty 3 yrs'!$D$5</c:f>
              <c:numCache>
                <c:formatCode>_ * #,##0_)_ ;_ * \(#,##0\)_ ;_ * "-"??_)_ ;_ @_ </c:formatCode>
                <c:ptCount val="1"/>
                <c:pt idx="0">
                  <c:v>9171</c:v>
                </c:pt>
              </c:numCache>
            </c:numRef>
          </c:bubbleSize>
          <c:bubble3D val="1"/>
          <c:extLst>
            <c:ext xmlns:c16="http://schemas.microsoft.com/office/drawing/2014/chart" uri="{C3380CC4-5D6E-409C-BE32-E72D297353CC}">
              <c16:uniqueId val="{00000007-0FB8-AD49-9953-5663FF7C7880}"/>
            </c:ext>
          </c:extLst>
        </c:ser>
        <c:ser>
          <c:idx val="4"/>
          <c:order val="4"/>
          <c:tx>
            <c:strRef>
              <c:f>'Popularity Difficulty 3 yrs'!$A$6</c:f>
              <c:strCache>
                <c:ptCount val="1"/>
                <c:pt idx="0">
                  <c:v>Configuration Automation</c:v>
                </c:pt>
              </c:strCache>
            </c:strRef>
          </c:tx>
          <c:spPr>
            <a:solidFill>
              <a:schemeClr val="accent5">
                <a:alpha val="75000"/>
              </a:schemeClr>
            </a:solidFill>
            <a:ln>
              <a:noFill/>
            </a:ln>
            <a:effectLst/>
          </c:spPr>
          <c:invertIfNegative val="0"/>
          <c:dLbls>
            <c:dLbl>
              <c:idx val="0"/>
              <c:layout>
                <c:manualLayout>
                  <c:x val="-0.10466321243523323"/>
                  <c:y val="-0.1303370786516854"/>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yrs'!$B$6</c:f>
              <c:numCache>
                <c:formatCode>_ * #,##0_)_ ;_ * \(#,##0\)_ ;_ * "-"??_)_ ;_ @_ </c:formatCode>
                <c:ptCount val="1"/>
                <c:pt idx="0">
                  <c:v>51.598694675722783</c:v>
                </c:pt>
              </c:numCache>
            </c:numRef>
          </c:xVal>
          <c:yVal>
            <c:numRef>
              <c:f>'Popularity Difficulty 3 yrs'!$C$6</c:f>
              <c:numCache>
                <c:formatCode>_ * #,##0_)_ ;_ * \(#,##0\)_ ;_ * "-"??_)_ ;_ @_ </c:formatCode>
                <c:ptCount val="1"/>
                <c:pt idx="0">
                  <c:v>2177.42</c:v>
                </c:pt>
              </c:numCache>
            </c:numRef>
          </c:yVal>
          <c:bubbleSize>
            <c:numRef>
              <c:f>'Popularity Difficulty 3 yrs'!$D$6</c:f>
              <c:numCache>
                <c:formatCode>_ * #,##0_)_ ;_ * \(#,##0\)_ ;_ * "-"??_)_ ;_ @_ </c:formatCode>
                <c:ptCount val="1"/>
                <c:pt idx="0">
                  <c:v>7641</c:v>
                </c:pt>
              </c:numCache>
            </c:numRef>
          </c:bubbleSize>
          <c:bubble3D val="1"/>
          <c:extLst>
            <c:ext xmlns:c16="http://schemas.microsoft.com/office/drawing/2014/chart" uri="{C3380CC4-5D6E-409C-BE32-E72D297353CC}">
              <c16:uniqueId val="{00000009-0FB8-AD49-9953-5663FF7C7880}"/>
            </c:ext>
          </c:extLst>
        </c:ser>
        <c:ser>
          <c:idx val="5"/>
          <c:order val="5"/>
          <c:tx>
            <c:strRef>
              <c:f>'Popularity Difficulty 3 yrs'!$A$7</c:f>
              <c:strCache>
                <c:ptCount val="1"/>
                <c:pt idx="0">
                  <c:v>Docker</c:v>
                </c:pt>
              </c:strCache>
            </c:strRef>
          </c:tx>
          <c:spPr>
            <a:solidFill>
              <a:schemeClr val="accent6">
                <a:alpha val="75000"/>
              </a:schemeClr>
            </a:solidFill>
            <a:ln>
              <a:noFill/>
            </a:ln>
            <a:effectLst/>
          </c:spPr>
          <c:invertIfNegative val="0"/>
          <c:dLbls>
            <c:dLbl>
              <c:idx val="0"/>
              <c:layout>
                <c:manualLayout>
                  <c:x val="-0.11294476348351186"/>
                  <c:y val="-0.13258426966292136"/>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l"/>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yrs'!$B$7</c:f>
              <c:numCache>
                <c:formatCode>_ * #,##0_)_ ;_ * \(#,##0\)_ ;_ * "-"??_)_ ;_ @_ </c:formatCode>
                <c:ptCount val="1"/>
                <c:pt idx="0">
                  <c:v>59.135481288773263</c:v>
                </c:pt>
              </c:numCache>
            </c:numRef>
          </c:xVal>
          <c:yVal>
            <c:numRef>
              <c:f>'Popularity Difficulty 3 yrs'!$C$7</c:f>
              <c:numCache>
                <c:formatCode>_ * #,##0_)_ ;_ * \(#,##0\)_ ;_ * "-"??_)_ ;_ @_ </c:formatCode>
                <c:ptCount val="1"/>
                <c:pt idx="0">
                  <c:v>1434.59</c:v>
                </c:pt>
              </c:numCache>
            </c:numRef>
          </c:yVal>
          <c:bubbleSize>
            <c:numRef>
              <c:f>'Popularity Difficulty 3 yrs'!$D$7</c:f>
              <c:numCache>
                <c:formatCode>_ * #,##0_)_ ;_ * \(#,##0\)_ ;_ * "-"??_)_ ;_ @_ </c:formatCode>
                <c:ptCount val="1"/>
                <c:pt idx="0">
                  <c:v>4227</c:v>
                </c:pt>
              </c:numCache>
            </c:numRef>
          </c:bubbleSize>
          <c:bubble3D val="1"/>
          <c:extLst>
            <c:ext xmlns:c16="http://schemas.microsoft.com/office/drawing/2014/chart" uri="{C3380CC4-5D6E-409C-BE32-E72D297353CC}">
              <c16:uniqueId val="{0000000B-0FB8-AD49-9953-5663FF7C7880}"/>
            </c:ext>
          </c:extLst>
        </c:ser>
        <c:ser>
          <c:idx val="6"/>
          <c:order val="6"/>
          <c:tx>
            <c:strRef>
              <c:f>'Popularity Difficulty 3 yrs'!$A$8</c:f>
              <c:strCache>
                <c:ptCount val="1"/>
                <c:pt idx="0">
                  <c:v>Exception Handling</c:v>
                </c:pt>
              </c:strCache>
            </c:strRef>
          </c:tx>
          <c:spPr>
            <a:solidFill>
              <a:schemeClr val="accent1">
                <a:lumMod val="60000"/>
                <a:alpha val="75000"/>
              </a:schemeClr>
            </a:solidFill>
            <a:ln>
              <a:noFill/>
            </a:ln>
            <a:effectLst/>
          </c:spPr>
          <c:invertIfNegative val="0"/>
          <c:dLbls>
            <c:dLbl>
              <c:idx val="0"/>
              <c:layout>
                <c:manualLayout>
                  <c:x val="2.0725388601036268E-3"/>
                  <c:y val="-2.24719101123595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C-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yrs'!$B$8</c:f>
              <c:numCache>
                <c:formatCode>_ * #,##0_)_ ;_ * \(#,##0\)_ ;_ * "-"??_)_ ;_ @_ </c:formatCode>
                <c:ptCount val="1"/>
                <c:pt idx="0">
                  <c:v>65.554553651938676</c:v>
                </c:pt>
              </c:numCache>
            </c:numRef>
          </c:xVal>
          <c:yVal>
            <c:numRef>
              <c:f>'Popularity Difficulty 3 yrs'!$C$8</c:f>
              <c:numCache>
                <c:formatCode>_ * #,##0_)_ ;_ * \(#,##0\)_ ;_ * "-"??_)_ ;_ @_ </c:formatCode>
                <c:ptCount val="1"/>
                <c:pt idx="0">
                  <c:v>1970.01</c:v>
                </c:pt>
              </c:numCache>
            </c:numRef>
          </c:yVal>
          <c:bubbleSize>
            <c:numRef>
              <c:f>'Popularity Difficulty 3 yrs'!$D$8</c:f>
              <c:numCache>
                <c:formatCode>_ * #,##0_)_ ;_ * \(#,##0\)_ ;_ * "-"??_)_ ;_ @_ </c:formatCode>
                <c:ptCount val="1"/>
                <c:pt idx="0">
                  <c:v>2401</c:v>
                </c:pt>
              </c:numCache>
            </c:numRef>
          </c:bubbleSize>
          <c:bubble3D val="1"/>
          <c:extLst>
            <c:ext xmlns:c16="http://schemas.microsoft.com/office/drawing/2014/chart" uri="{C3380CC4-5D6E-409C-BE32-E72D297353CC}">
              <c16:uniqueId val="{0000000D-0FB8-AD49-9953-5663FF7C7880}"/>
            </c:ext>
          </c:extLst>
        </c:ser>
        <c:ser>
          <c:idx val="7"/>
          <c:order val="7"/>
          <c:tx>
            <c:strRef>
              <c:f>'Popularity Difficulty 3 yrs'!$A$9</c:f>
              <c:strCache>
                <c:ptCount val="1"/>
                <c:pt idx="0">
                  <c:v>File Management</c:v>
                </c:pt>
              </c:strCache>
            </c:strRef>
          </c:tx>
          <c:spPr>
            <a:solidFill>
              <a:schemeClr val="accent2">
                <a:lumMod val="60000"/>
                <a:alpha val="75000"/>
              </a:schemeClr>
            </a:solidFill>
            <a:ln>
              <a:noFill/>
            </a:ln>
            <a:effectLst/>
          </c:spPr>
          <c:invertIfNegative val="0"/>
          <c:dLbls>
            <c:dLbl>
              <c:idx val="0"/>
              <c:layout>
                <c:manualLayout>
                  <c:x val="-0.15560090063484755"/>
                  <c:y val="-6.5793290764910473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E-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yrs'!$B$9</c:f>
              <c:numCache>
                <c:formatCode>_ * #,##0_)_ ;_ * \(#,##0\)_ ;_ * "-"??_)_ ;_ @_ </c:formatCode>
                <c:ptCount val="1"/>
                <c:pt idx="0">
                  <c:v>58.130762782900248</c:v>
                </c:pt>
              </c:numCache>
            </c:numRef>
          </c:xVal>
          <c:yVal>
            <c:numRef>
              <c:f>'Popularity Difficulty 3 yrs'!$C$9</c:f>
              <c:numCache>
                <c:formatCode>_ * #,##0_)_ ;_ * \(#,##0\)_ ;_ * "-"??_)_ ;_ @_ </c:formatCode>
                <c:ptCount val="1"/>
                <c:pt idx="0">
                  <c:v>2805.36</c:v>
                </c:pt>
              </c:numCache>
            </c:numRef>
          </c:yVal>
          <c:bubbleSize>
            <c:numRef>
              <c:f>'Popularity Difficulty 3 yrs'!$D$9</c:f>
              <c:numCache>
                <c:formatCode>_ * #,##0_)_ ;_ * \(#,##0\)_ ;_ * "-"??_)_ ;_ @_ </c:formatCode>
                <c:ptCount val="1"/>
                <c:pt idx="0">
                  <c:v>3174</c:v>
                </c:pt>
              </c:numCache>
            </c:numRef>
          </c:bubbleSize>
          <c:bubble3D val="1"/>
          <c:extLst>
            <c:ext xmlns:c16="http://schemas.microsoft.com/office/drawing/2014/chart" uri="{C3380CC4-5D6E-409C-BE32-E72D297353CC}">
              <c16:uniqueId val="{0000000F-0FB8-AD49-9953-5663FF7C7880}"/>
            </c:ext>
          </c:extLst>
        </c:ser>
        <c:ser>
          <c:idx val="8"/>
          <c:order val="8"/>
          <c:tx>
            <c:strRef>
              <c:f>'Popularity Difficulty 3 yrs'!$A$10</c:f>
              <c:strCache>
                <c:ptCount val="1"/>
                <c:pt idx="0">
                  <c:v>Functional Test Automation</c:v>
                </c:pt>
              </c:strCache>
            </c:strRef>
          </c:tx>
          <c:spPr>
            <a:solidFill>
              <a:schemeClr val="accent3">
                <a:lumMod val="60000"/>
                <a:alpha val="75000"/>
              </a:schemeClr>
            </a:solidFill>
            <a:ln>
              <a:noFill/>
            </a:ln>
            <a:effectLst/>
          </c:spPr>
          <c:invertIfNegative val="0"/>
          <c:dLbls>
            <c:dLbl>
              <c:idx val="0"/>
              <c:layout>
                <c:manualLayout>
                  <c:x val="1.0362694300518135E-2"/>
                  <c:y val="3.8202247191011153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yrs'!$B$10</c:f>
              <c:numCache>
                <c:formatCode>_ * #,##0_)_ ;_ * \(#,##0\)_ ;_ * "-"??_)_ ;_ @_ </c:formatCode>
                <c:ptCount val="1"/>
                <c:pt idx="0">
                  <c:v>63.932980599647266</c:v>
                </c:pt>
              </c:numCache>
            </c:numRef>
          </c:xVal>
          <c:yVal>
            <c:numRef>
              <c:f>'Popularity Difficulty 3 yrs'!$C$10</c:f>
              <c:numCache>
                <c:formatCode>_ * #,##0_)_ ;_ * \(#,##0\)_ ;_ * "-"??_)_ ;_ @_ </c:formatCode>
                <c:ptCount val="1"/>
                <c:pt idx="0">
                  <c:v>1399.63</c:v>
                </c:pt>
              </c:numCache>
            </c:numRef>
          </c:yVal>
          <c:bubbleSize>
            <c:numRef>
              <c:f>'Popularity Difficulty 3 yrs'!$D$10</c:f>
              <c:numCache>
                <c:formatCode>_ * #,##0_)_ ;_ * \(#,##0\)_ ;_ * "-"??_)_ ;_ @_ </c:formatCode>
                <c:ptCount val="1"/>
                <c:pt idx="0">
                  <c:v>2938</c:v>
                </c:pt>
              </c:numCache>
            </c:numRef>
          </c:bubbleSize>
          <c:bubble3D val="1"/>
          <c:extLst>
            <c:ext xmlns:c16="http://schemas.microsoft.com/office/drawing/2014/chart" uri="{C3380CC4-5D6E-409C-BE32-E72D297353CC}">
              <c16:uniqueId val="{00000011-0FB8-AD49-9953-5663FF7C7880}"/>
            </c:ext>
          </c:extLst>
        </c:ser>
        <c:ser>
          <c:idx val="9"/>
          <c:order val="9"/>
          <c:tx>
            <c:strRef>
              <c:f>'Popularity Difficulty 3 yrs'!$A$11</c:f>
              <c:strCache>
                <c:ptCount val="1"/>
                <c:pt idx="0">
                  <c:v>Gitlab CI/CD</c:v>
                </c:pt>
              </c:strCache>
            </c:strRef>
          </c:tx>
          <c:spPr>
            <a:solidFill>
              <a:schemeClr val="accent4">
                <a:lumMod val="60000"/>
                <a:alpha val="75000"/>
              </a:schemeClr>
            </a:solidFill>
            <a:ln>
              <a:noFill/>
            </a:ln>
            <a:effectLst/>
          </c:spPr>
          <c:invertIfNegative val="0"/>
          <c:dLbls>
            <c:dLbl>
              <c:idx val="0"/>
              <c:layout>
                <c:manualLayout>
                  <c:x val="-8.7869945533124147E-2"/>
                  <c:y val="-0.14157303370786517"/>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ct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yrs'!$B$11</c:f>
              <c:numCache>
                <c:formatCode>_ * #,##0_)_ ;_ * \(#,##0\)_ ;_ * "-"??_)_ ;_ @_ </c:formatCode>
                <c:ptCount val="1"/>
                <c:pt idx="0">
                  <c:v>60.100518806744489</c:v>
                </c:pt>
              </c:numCache>
            </c:numRef>
          </c:xVal>
          <c:yVal>
            <c:numRef>
              <c:f>'Popularity Difficulty 3 yrs'!$C$11</c:f>
              <c:numCache>
                <c:formatCode>_ * #,##0_)_ ;_ * \(#,##0\)_ ;_ * "-"??_)_ ;_ @_ </c:formatCode>
                <c:ptCount val="1"/>
                <c:pt idx="0">
                  <c:v>1415.8</c:v>
                </c:pt>
              </c:numCache>
            </c:numRef>
          </c:yVal>
          <c:bubbleSize>
            <c:numRef>
              <c:f>'Popularity Difficulty 3 yrs'!$D$11</c:f>
              <c:numCache>
                <c:formatCode>_ * #,##0_)_ ;_ * \(#,##0\)_ ;_ * "-"??_)_ ;_ @_ </c:formatCode>
                <c:ptCount val="1"/>
                <c:pt idx="0">
                  <c:v>4822</c:v>
                </c:pt>
              </c:numCache>
            </c:numRef>
          </c:bubbleSize>
          <c:bubble3D val="1"/>
          <c:extLst>
            <c:ext xmlns:c16="http://schemas.microsoft.com/office/drawing/2014/chart" uri="{C3380CC4-5D6E-409C-BE32-E72D297353CC}">
              <c16:uniqueId val="{00000013-0FB8-AD49-9953-5663FF7C7880}"/>
            </c:ext>
          </c:extLst>
        </c:ser>
        <c:ser>
          <c:idx val="10"/>
          <c:order val="10"/>
          <c:tx>
            <c:strRef>
              <c:f>'Popularity Difficulty 3 yrs'!$A$12</c:f>
              <c:strCache>
                <c:ptCount val="1"/>
                <c:pt idx="0">
                  <c:v>IBM Cloud</c:v>
                </c:pt>
              </c:strCache>
            </c:strRef>
          </c:tx>
          <c:spPr>
            <a:solidFill>
              <a:schemeClr val="accent5">
                <a:lumMod val="60000"/>
                <a:alpha val="75000"/>
              </a:schemeClr>
            </a:solidFill>
            <a:ln>
              <a:noFill/>
            </a:ln>
            <a:effectLst/>
          </c:spPr>
          <c:invertIfNegative val="0"/>
          <c:dLbls>
            <c:dLbl>
              <c:idx val="0"/>
              <c:layout>
                <c:manualLayout>
                  <c:x val="-9.3264248704663967E-3"/>
                  <c:y val="6.292134831460674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yrs'!$B$12</c:f>
              <c:numCache>
                <c:formatCode>_ * #,##0_)_ ;_ * \(#,##0\)_ ;_ * "-"??_)_ ;_ @_ </c:formatCode>
                <c:ptCount val="1"/>
                <c:pt idx="0">
                  <c:v>59.513192121887776</c:v>
                </c:pt>
              </c:numCache>
            </c:numRef>
          </c:xVal>
          <c:yVal>
            <c:numRef>
              <c:f>'Popularity Difficulty 3 yrs'!$C$12</c:f>
              <c:numCache>
                <c:formatCode>_ * #,##0_)_ ;_ * \(#,##0\)_ ;_ * "-"??_)_ ;_ @_ </c:formatCode>
                <c:ptCount val="1"/>
                <c:pt idx="0">
                  <c:v>421.06</c:v>
                </c:pt>
              </c:numCache>
            </c:numRef>
          </c:yVal>
          <c:bubbleSize>
            <c:numRef>
              <c:f>'Popularity Difficulty 3 yrs'!$D$12</c:f>
              <c:numCache>
                <c:formatCode>_ * #,##0_)_ ;_ * \(#,##0\)_ ;_ * "-"??_)_ ;_ @_ </c:formatCode>
                <c:ptCount val="1"/>
                <c:pt idx="0">
                  <c:v>2551</c:v>
                </c:pt>
              </c:numCache>
            </c:numRef>
          </c:bubbleSize>
          <c:bubble3D val="1"/>
          <c:extLst>
            <c:ext xmlns:c16="http://schemas.microsoft.com/office/drawing/2014/chart" uri="{C3380CC4-5D6E-409C-BE32-E72D297353CC}">
              <c16:uniqueId val="{00000015-0FB8-AD49-9953-5663FF7C7880}"/>
            </c:ext>
          </c:extLst>
        </c:ser>
        <c:ser>
          <c:idx val="11"/>
          <c:order val="11"/>
          <c:tx>
            <c:strRef>
              <c:f>'Popularity Difficulty 3 yrs'!$A$13</c:f>
              <c:strCache>
                <c:ptCount val="1"/>
                <c:pt idx="0">
                  <c:v>Jenkins Build from Git Branch</c:v>
                </c:pt>
              </c:strCache>
            </c:strRef>
          </c:tx>
          <c:spPr>
            <a:solidFill>
              <a:schemeClr val="accent6">
                <a:lumMod val="60000"/>
                <a:alpha val="75000"/>
              </a:schemeClr>
            </a:solidFill>
            <a:ln>
              <a:noFill/>
            </a:ln>
            <a:effectLst/>
          </c:spPr>
          <c:invertIfNegative val="0"/>
          <c:dLbls>
            <c:dLbl>
              <c:idx val="0"/>
              <c:layout>
                <c:manualLayout>
                  <c:x val="-8.074525584539699E-2"/>
                  <c:y val="6.4298787391853282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ct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yrs'!$B$13</c:f>
              <c:numCache>
                <c:formatCode>_ * #,##0_)_ ;_ * \(#,##0\)_ ;_ * "-"??_)_ ;_ @_ </c:formatCode>
                <c:ptCount val="1"/>
                <c:pt idx="0">
                  <c:v>62.115563839701771</c:v>
                </c:pt>
              </c:numCache>
            </c:numRef>
          </c:xVal>
          <c:yVal>
            <c:numRef>
              <c:f>'Popularity Difficulty 3 yrs'!$C$13</c:f>
              <c:numCache>
                <c:formatCode>_ * #,##0_)_ ;_ * \(#,##0\)_ ;_ * "-"??_)_ ;_ @_ </c:formatCode>
                <c:ptCount val="1"/>
                <c:pt idx="0">
                  <c:v>2065.02</c:v>
                </c:pt>
              </c:numCache>
            </c:numRef>
          </c:yVal>
          <c:bubbleSize>
            <c:numRef>
              <c:f>'Popularity Difficulty 3 yrs'!$D$13</c:f>
              <c:numCache>
                <c:formatCode>_ * #,##0_)_ ;_ * \(#,##0\)_ ;_ * "-"??_)_ ;_ @_ </c:formatCode>
                <c:ptCount val="1"/>
                <c:pt idx="0">
                  <c:v>5756</c:v>
                </c:pt>
              </c:numCache>
            </c:numRef>
          </c:bubbleSize>
          <c:bubble3D val="1"/>
          <c:extLst>
            <c:ext xmlns:c16="http://schemas.microsoft.com/office/drawing/2014/chart" uri="{C3380CC4-5D6E-409C-BE32-E72D297353CC}">
              <c16:uniqueId val="{00000017-0FB8-AD49-9953-5663FF7C7880}"/>
            </c:ext>
          </c:extLst>
        </c:ser>
        <c:ser>
          <c:idx val="12"/>
          <c:order val="12"/>
          <c:tx>
            <c:strRef>
              <c:f>'Popularity Difficulty 3 yrs'!$A$14</c:f>
              <c:strCache>
                <c:ptCount val="1"/>
                <c:pt idx="0">
                  <c:v>Jenkins Build Mobile Application</c:v>
                </c:pt>
              </c:strCache>
            </c:strRef>
          </c:tx>
          <c:spPr>
            <a:solidFill>
              <a:schemeClr val="accent1">
                <a:lumMod val="80000"/>
                <a:lumOff val="20000"/>
                <a:alpha val="75000"/>
              </a:schemeClr>
            </a:solidFill>
            <a:ln>
              <a:noFill/>
            </a:ln>
            <a:effectLst/>
          </c:spPr>
          <c:invertIfNegative val="0"/>
          <c:dLbls>
            <c:dLbl>
              <c:idx val="0"/>
              <c:layout>
                <c:manualLayout>
                  <c:x val="3.945973745588692E-2"/>
                  <c:y val="0.13989387444511411"/>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yrs'!$B$14</c:f>
              <c:numCache>
                <c:formatCode>_ * #,##0_)_ ;_ * \(#,##0\)_ ;_ * "-"??_)_ ;_ @_ </c:formatCode>
                <c:ptCount val="1"/>
                <c:pt idx="0">
                  <c:v>61.13493896403827</c:v>
                </c:pt>
              </c:numCache>
            </c:numRef>
          </c:xVal>
          <c:yVal>
            <c:numRef>
              <c:f>'Popularity Difficulty 3 yrs'!$C$14</c:f>
              <c:numCache>
                <c:formatCode>_ * #,##0_)_ ;_ * \(#,##0\)_ ;_ * "-"??_)_ ;_ @_ </c:formatCode>
                <c:ptCount val="1"/>
                <c:pt idx="0">
                  <c:v>1543.45</c:v>
                </c:pt>
              </c:numCache>
            </c:numRef>
          </c:yVal>
          <c:bubbleSize>
            <c:numRef>
              <c:f>'Popularity Difficulty 3 yrs'!$D$14</c:f>
              <c:numCache>
                <c:formatCode>_ * #,##0_)_ ;_ * \(#,##0\)_ ;_ * "-"??_)_ ;_ @_ </c:formatCode>
                <c:ptCount val="1"/>
                <c:pt idx="0">
                  <c:v>1584</c:v>
                </c:pt>
              </c:numCache>
            </c:numRef>
          </c:bubbleSize>
          <c:bubble3D val="1"/>
          <c:extLst>
            <c:ext xmlns:c16="http://schemas.microsoft.com/office/drawing/2014/chart" uri="{C3380CC4-5D6E-409C-BE32-E72D297353CC}">
              <c16:uniqueId val="{00000019-0FB8-AD49-9953-5663FF7C7880}"/>
            </c:ext>
          </c:extLst>
        </c:ser>
        <c:ser>
          <c:idx val="13"/>
          <c:order val="13"/>
          <c:tx>
            <c:strRef>
              <c:f>'Popularity Difficulty 3 yrs'!$A$15</c:f>
              <c:strCache>
                <c:ptCount val="1"/>
                <c:pt idx="0">
                  <c:v>Jenkins Build Projects</c:v>
                </c:pt>
              </c:strCache>
            </c:strRef>
          </c:tx>
          <c:spPr>
            <a:solidFill>
              <a:schemeClr val="accent2">
                <a:lumMod val="80000"/>
                <a:lumOff val="20000"/>
                <a:alpha val="75000"/>
              </a:schemeClr>
            </a:solidFill>
            <a:ln>
              <a:noFill/>
            </a:ln>
            <a:effectLst/>
          </c:spPr>
          <c:invertIfNegative val="0"/>
          <c:dLbls>
            <c:dLbl>
              <c:idx val="0"/>
              <c:layout>
                <c:manualLayout>
                  <c:x val="-3.0976041858392363E-2"/>
                  <c:y val="-0.17053475675737204"/>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A-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yrs'!$B$15</c:f>
              <c:numCache>
                <c:formatCode>_ * #,##0_)_ ;_ * \(#,##0\)_ ;_ * "-"??_)_ ;_ @_ </c:formatCode>
                <c:ptCount val="1"/>
                <c:pt idx="0">
                  <c:v>63.338954468802697</c:v>
                </c:pt>
              </c:numCache>
            </c:numRef>
          </c:xVal>
          <c:yVal>
            <c:numRef>
              <c:f>'Popularity Difficulty 3 yrs'!$C$15</c:f>
              <c:numCache>
                <c:formatCode>_ * #,##0_)_ ;_ * \(#,##0\)_ ;_ * "-"??_)_ ;_ @_ </c:formatCode>
                <c:ptCount val="1"/>
                <c:pt idx="0">
                  <c:v>2035.07</c:v>
                </c:pt>
              </c:numCache>
            </c:numRef>
          </c:yVal>
          <c:bubbleSize>
            <c:numRef>
              <c:f>'Popularity Difficulty 3 yrs'!$D$15</c:f>
              <c:numCache>
                <c:formatCode>_ * #,##0_)_ ;_ * \(#,##0\)_ ;_ * "-"??_)_ ;_ @_ </c:formatCode>
                <c:ptCount val="1"/>
                <c:pt idx="0">
                  <c:v>2913</c:v>
                </c:pt>
              </c:numCache>
            </c:numRef>
          </c:bubbleSize>
          <c:bubble3D val="1"/>
          <c:extLst>
            <c:ext xmlns:c16="http://schemas.microsoft.com/office/drawing/2014/chart" uri="{C3380CC4-5D6E-409C-BE32-E72D297353CC}">
              <c16:uniqueId val="{0000001B-0FB8-AD49-9953-5663FF7C7880}"/>
            </c:ext>
          </c:extLst>
        </c:ser>
        <c:ser>
          <c:idx val="14"/>
          <c:order val="14"/>
          <c:tx>
            <c:strRef>
              <c:f>'Popularity Difficulty 3 yrs'!$A$16</c:f>
              <c:strCache>
                <c:ptCount val="1"/>
                <c:pt idx="0">
                  <c:v>Jenkins Distributed Architecture</c:v>
                </c:pt>
              </c:strCache>
            </c:strRef>
          </c:tx>
          <c:spPr>
            <a:solidFill>
              <a:schemeClr val="accent3">
                <a:lumMod val="80000"/>
                <a:lumOff val="20000"/>
                <a:alpha val="75000"/>
              </a:schemeClr>
            </a:solidFill>
            <a:ln>
              <a:noFill/>
            </a:ln>
            <a:effectLst/>
          </c:spPr>
          <c:invertIfNegative val="0"/>
          <c:dLbls>
            <c:dLbl>
              <c:idx val="0"/>
              <c:layout>
                <c:manualLayout>
                  <c:x val="-1.0708946633627212E-2"/>
                  <c:y val="-6.198044924852165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C-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yrs'!$B$16</c:f>
              <c:numCache>
                <c:formatCode>_ * #,##0_)_ ;_ * \(#,##0\)_ ;_ * "-"??_)_ ;_ @_ </c:formatCode>
                <c:ptCount val="1"/>
                <c:pt idx="0">
                  <c:v>64.675767918088738</c:v>
                </c:pt>
              </c:numCache>
            </c:numRef>
          </c:xVal>
          <c:yVal>
            <c:numRef>
              <c:f>'Popularity Difficulty 3 yrs'!$C$16</c:f>
              <c:numCache>
                <c:formatCode>_ * #,##0_)_ ;_ * \(#,##0\)_ ;_ * "-"??_)_ ;_ @_ </c:formatCode>
                <c:ptCount val="1"/>
                <c:pt idx="0">
                  <c:v>2332.35</c:v>
                </c:pt>
              </c:numCache>
            </c:numRef>
          </c:yVal>
          <c:bubbleSize>
            <c:numRef>
              <c:f>'Popularity Difficulty 3 yrs'!$D$16</c:f>
              <c:numCache>
                <c:formatCode>_ * #,##0_)_ ;_ * \(#,##0\)_ ;_ * "-"??_)_ ;_ @_ </c:formatCode>
                <c:ptCount val="1"/>
                <c:pt idx="0">
                  <c:v>3150</c:v>
                </c:pt>
              </c:numCache>
            </c:numRef>
          </c:bubbleSize>
          <c:bubble3D val="1"/>
          <c:extLst>
            <c:ext xmlns:c16="http://schemas.microsoft.com/office/drawing/2014/chart" uri="{C3380CC4-5D6E-409C-BE32-E72D297353CC}">
              <c16:uniqueId val="{0000001D-0FB8-AD49-9953-5663FF7C7880}"/>
            </c:ext>
          </c:extLst>
        </c:ser>
        <c:ser>
          <c:idx val="15"/>
          <c:order val="15"/>
          <c:tx>
            <c:strRef>
              <c:f>'Popularity Difficulty 3 yrs'!$A$17</c:f>
              <c:strCache>
                <c:ptCount val="1"/>
                <c:pt idx="0">
                  <c:v>Jenkins Pipeline</c:v>
                </c:pt>
              </c:strCache>
            </c:strRef>
          </c:tx>
          <c:spPr>
            <a:solidFill>
              <a:schemeClr val="accent4">
                <a:lumMod val="80000"/>
                <a:lumOff val="20000"/>
                <a:alpha val="75000"/>
              </a:schemeClr>
            </a:solidFill>
            <a:ln>
              <a:noFill/>
            </a:ln>
            <a:effectLst/>
          </c:spPr>
          <c:invertIfNegative val="0"/>
          <c:dLbls>
            <c:dLbl>
              <c:idx val="0"/>
              <c:layout>
                <c:manualLayout>
                  <c:x val="-6.3873125776583356E-2"/>
                  <c:y val="-0.1069719539773485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E-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yrs'!$B$17</c:f>
              <c:numCache>
                <c:formatCode>_ * #,##0_)_ ;_ * \(#,##0\)_ ;_ * "-"??_)_ ;_ @_ </c:formatCode>
                <c:ptCount val="1"/>
                <c:pt idx="0">
                  <c:v>61.684000000000005</c:v>
                </c:pt>
              </c:numCache>
            </c:numRef>
          </c:xVal>
          <c:yVal>
            <c:numRef>
              <c:f>'Popularity Difficulty 3 yrs'!$C$17</c:f>
              <c:numCache>
                <c:formatCode>_ * #,##0_)_ ;_ * \(#,##0\)_ ;_ * "-"??_)_ ;_ @_ </c:formatCode>
                <c:ptCount val="1"/>
                <c:pt idx="0">
                  <c:v>2502.9359999999997</c:v>
                </c:pt>
              </c:numCache>
            </c:numRef>
          </c:yVal>
          <c:bubbleSize>
            <c:numRef>
              <c:f>'Popularity Difficulty 3 yrs'!$D$17</c:f>
              <c:numCache>
                <c:formatCode>_ * #,##0_)_ ;_ * \(#,##0\)_ ;_ * "-"??_)_ ;_ @_ </c:formatCode>
                <c:ptCount val="1"/>
                <c:pt idx="0">
                  <c:v>15741</c:v>
                </c:pt>
              </c:numCache>
            </c:numRef>
          </c:bubbleSize>
          <c:bubble3D val="1"/>
          <c:extLst>
            <c:ext xmlns:c16="http://schemas.microsoft.com/office/drawing/2014/chart" uri="{C3380CC4-5D6E-409C-BE32-E72D297353CC}">
              <c16:uniqueId val="{0000001F-0FB8-AD49-9953-5663FF7C7880}"/>
            </c:ext>
          </c:extLst>
        </c:ser>
        <c:ser>
          <c:idx val="16"/>
          <c:order val="16"/>
          <c:tx>
            <c:strRef>
              <c:f>'Popularity Difficulty 3 yrs'!$A$18</c:f>
              <c:strCache>
                <c:ptCount val="1"/>
                <c:pt idx="0">
                  <c:v>Kubernetes Cluster</c:v>
                </c:pt>
              </c:strCache>
            </c:strRef>
          </c:tx>
          <c:spPr>
            <a:solidFill>
              <a:schemeClr val="accent5">
                <a:lumMod val="80000"/>
                <a:lumOff val="20000"/>
                <a:alpha val="75000"/>
              </a:schemeClr>
            </a:solidFill>
            <a:ln>
              <a:noFill/>
            </a:ln>
            <a:effectLst/>
          </c:spPr>
          <c:invertIfNegative val="0"/>
          <c:dLbls>
            <c:dLbl>
              <c:idx val="0"/>
              <c:layout>
                <c:manualLayout>
                  <c:x val="-5.0016727183712674E-3"/>
                  <c:y val="0.1146067415730336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0-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yrs'!$B$18</c:f>
              <c:numCache>
                <c:formatCode>_ * #,##0_)_ ;_ * \(#,##0\)_ ;_ * "-"??_)_ ;_ @_ </c:formatCode>
                <c:ptCount val="1"/>
                <c:pt idx="0">
                  <c:v>59.9168303107312</c:v>
                </c:pt>
              </c:numCache>
            </c:numRef>
          </c:xVal>
          <c:yVal>
            <c:numRef>
              <c:f>'Popularity Difficulty 3 yrs'!$C$18</c:f>
              <c:numCache>
                <c:formatCode>_ * #,##0_)_ ;_ * \(#,##0\)_ ;_ * "-"??_)_ ;_ @_ </c:formatCode>
                <c:ptCount val="1"/>
                <c:pt idx="0">
                  <c:v>1020.49</c:v>
                </c:pt>
              </c:numCache>
            </c:numRef>
          </c:yVal>
          <c:bubbleSize>
            <c:numRef>
              <c:f>'Popularity Difficulty 3 yrs'!$D$18</c:f>
              <c:numCache>
                <c:formatCode>_ * #,##0_)_ ;_ * \(#,##0\)_ ;_ * "-"??_)_ ;_ @_ </c:formatCode>
                <c:ptCount val="1"/>
                <c:pt idx="0">
                  <c:v>7510</c:v>
                </c:pt>
              </c:numCache>
            </c:numRef>
          </c:bubbleSize>
          <c:bubble3D val="1"/>
          <c:extLst>
            <c:ext xmlns:c16="http://schemas.microsoft.com/office/drawing/2014/chart" uri="{C3380CC4-5D6E-409C-BE32-E72D297353CC}">
              <c16:uniqueId val="{00000021-0FB8-AD49-9953-5663FF7C7880}"/>
            </c:ext>
          </c:extLst>
        </c:ser>
        <c:ser>
          <c:idx val="17"/>
          <c:order val="17"/>
          <c:tx>
            <c:strRef>
              <c:f>'Popularity Difficulty 3 yrs'!$A$19</c:f>
              <c:strCache>
                <c:ptCount val="1"/>
                <c:pt idx="0">
                  <c:v>Kubernetes POD</c:v>
                </c:pt>
              </c:strCache>
            </c:strRef>
          </c:tx>
          <c:spPr>
            <a:solidFill>
              <a:schemeClr val="accent6">
                <a:lumMod val="80000"/>
                <a:lumOff val="20000"/>
                <a:alpha val="75000"/>
              </a:schemeClr>
            </a:solidFill>
            <a:ln>
              <a:noFill/>
            </a:ln>
            <a:effectLst/>
          </c:spPr>
          <c:invertIfNegative val="0"/>
          <c:dLbls>
            <c:dLbl>
              <c:idx val="0"/>
              <c:layout>
                <c:manualLayout>
                  <c:x val="-0.19743406251850099"/>
                  <c:y val="-1.7977528089887642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2-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l"/>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yrs'!$B$19</c:f>
              <c:numCache>
                <c:formatCode>_ * #,##0_)_ ;_ * \(#,##0\)_ ;_ * "-"??_)_ ;_ @_ </c:formatCode>
                <c:ptCount val="1"/>
                <c:pt idx="0">
                  <c:v>57.213930348258707</c:v>
                </c:pt>
              </c:numCache>
            </c:numRef>
          </c:xVal>
          <c:yVal>
            <c:numRef>
              <c:f>'Popularity Difficulty 3 yrs'!$C$19</c:f>
              <c:numCache>
                <c:formatCode>_ * #,##0_)_ ;_ * \(#,##0\)_ ;_ * "-"??_)_ ;_ @_ </c:formatCode>
                <c:ptCount val="1"/>
                <c:pt idx="0">
                  <c:v>1381.11</c:v>
                </c:pt>
              </c:numCache>
            </c:numRef>
          </c:yVal>
          <c:bubbleSize>
            <c:numRef>
              <c:f>'Popularity Difficulty 3 yrs'!$D$19</c:f>
              <c:numCache>
                <c:formatCode>_ * #,##0_)_ ;_ * \(#,##0\)_ ;_ * "-"??_)_ ;_ @_ </c:formatCode>
                <c:ptCount val="1"/>
                <c:pt idx="0">
                  <c:v>7486</c:v>
                </c:pt>
              </c:numCache>
            </c:numRef>
          </c:bubbleSize>
          <c:bubble3D val="1"/>
          <c:extLst>
            <c:ext xmlns:c16="http://schemas.microsoft.com/office/drawing/2014/chart" uri="{C3380CC4-5D6E-409C-BE32-E72D297353CC}">
              <c16:uniqueId val="{00000023-0FB8-AD49-9953-5663FF7C7880}"/>
            </c:ext>
          </c:extLst>
        </c:ser>
        <c:ser>
          <c:idx val="18"/>
          <c:order val="18"/>
          <c:tx>
            <c:strRef>
              <c:f>'Popularity Difficulty 3 yrs'!$A$20</c:f>
              <c:strCache>
                <c:ptCount val="1"/>
                <c:pt idx="0">
                  <c:v>Kubernetes Traffic Management</c:v>
                </c:pt>
              </c:strCache>
            </c:strRef>
          </c:tx>
          <c:spPr>
            <a:solidFill>
              <a:schemeClr val="accent1">
                <a:lumMod val="80000"/>
                <a:alpha val="75000"/>
              </a:schemeClr>
            </a:solidFill>
            <a:ln>
              <a:noFill/>
            </a:ln>
            <a:effectLst/>
          </c:spPr>
          <c:invertIfNegative val="0"/>
          <c:dLbls>
            <c:dLbl>
              <c:idx val="0"/>
              <c:layout>
                <c:manualLayout>
                  <c:x val="-7.5161404677880116E-3"/>
                  <c:y val="5.9140695524934388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4-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yrs'!$B$20</c:f>
              <c:numCache>
                <c:formatCode>_ * #,##0_)_ ;_ * \(#,##0\)_ ;_ * "-"??_)_ ;_ @_ </c:formatCode>
                <c:ptCount val="1"/>
                <c:pt idx="0">
                  <c:v>61.847964376590333</c:v>
                </c:pt>
              </c:numCache>
            </c:numRef>
          </c:xVal>
          <c:yVal>
            <c:numRef>
              <c:f>'Popularity Difficulty 3 yrs'!$C$20</c:f>
              <c:numCache>
                <c:formatCode>_ * #,##0_)_ ;_ * \(#,##0\)_ ;_ * "-"??_)_ ;_ @_ </c:formatCode>
                <c:ptCount val="1"/>
                <c:pt idx="0">
                  <c:v>921.61</c:v>
                </c:pt>
              </c:numCache>
            </c:numRef>
          </c:yVal>
          <c:bubbleSize>
            <c:numRef>
              <c:f>'Popularity Difficulty 3 yrs'!$D$20</c:f>
              <c:numCache>
                <c:formatCode>_ * #,##0_)_ ;_ * \(#,##0\)_ ;_ * "-"??_)_ ;_ @_ </c:formatCode>
                <c:ptCount val="1"/>
                <c:pt idx="0">
                  <c:v>5699</c:v>
                </c:pt>
              </c:numCache>
            </c:numRef>
          </c:bubbleSize>
          <c:bubble3D val="1"/>
          <c:extLst>
            <c:ext xmlns:c16="http://schemas.microsoft.com/office/drawing/2014/chart" uri="{C3380CC4-5D6E-409C-BE32-E72D297353CC}">
              <c16:uniqueId val="{00000025-0FB8-AD49-9953-5663FF7C7880}"/>
            </c:ext>
          </c:extLst>
        </c:ser>
        <c:ser>
          <c:idx val="19"/>
          <c:order val="19"/>
          <c:tx>
            <c:strRef>
              <c:f>'Popularity Difficulty 3 yrs'!$A$21</c:f>
              <c:strCache>
                <c:ptCount val="1"/>
                <c:pt idx="0">
                  <c:v>Non-functional Test Automation</c:v>
                </c:pt>
              </c:strCache>
            </c:strRef>
          </c:tx>
          <c:spPr>
            <a:solidFill>
              <a:schemeClr val="accent2">
                <a:lumMod val="80000"/>
                <a:alpha val="75000"/>
              </a:schemeClr>
            </a:solidFill>
            <a:ln>
              <a:noFill/>
            </a:ln>
            <a:effectLst/>
          </c:spPr>
          <c:invertIfNegative val="0"/>
          <c:dLbls>
            <c:dLbl>
              <c:idx val="0"/>
              <c:layout>
                <c:manualLayout>
                  <c:x val="7.5161404677880116E-3"/>
                  <c:y val="0.1007582220054439"/>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6-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yrs'!$B$21</c:f>
              <c:numCache>
                <c:formatCode>_ * #,##0_)_ ;_ * \(#,##0\)_ ;_ * "-"??_)_ ;_ @_ </c:formatCode>
                <c:ptCount val="1"/>
                <c:pt idx="0">
                  <c:v>63.717306622148023</c:v>
                </c:pt>
              </c:numCache>
            </c:numRef>
          </c:xVal>
          <c:yVal>
            <c:numRef>
              <c:f>'Popularity Difficulty 3 yrs'!$C$21</c:f>
              <c:numCache>
                <c:formatCode>_ * #,##0_)_ ;_ * \(#,##0\)_ ;_ * "-"??_)_ ;_ @_ </c:formatCode>
                <c:ptCount val="1"/>
                <c:pt idx="0">
                  <c:v>2061.62</c:v>
                </c:pt>
              </c:numCache>
            </c:numRef>
          </c:yVal>
          <c:bubbleSize>
            <c:numRef>
              <c:f>'Popularity Difficulty 3 yrs'!$D$21</c:f>
              <c:numCache>
                <c:formatCode>_ * #,##0_)_ ;_ * \(#,##0\)_ ;_ * "-"??_)_ ;_ @_ </c:formatCode>
                <c:ptCount val="1"/>
                <c:pt idx="0">
                  <c:v>2896</c:v>
                </c:pt>
              </c:numCache>
            </c:numRef>
          </c:bubbleSize>
          <c:bubble3D val="1"/>
          <c:extLst>
            <c:ext xmlns:c16="http://schemas.microsoft.com/office/drawing/2014/chart" uri="{C3380CC4-5D6E-409C-BE32-E72D297353CC}">
              <c16:uniqueId val="{00000027-0FB8-AD49-9953-5663FF7C7880}"/>
            </c:ext>
          </c:extLst>
        </c:ser>
        <c:ser>
          <c:idx val="20"/>
          <c:order val="20"/>
          <c:tx>
            <c:strRef>
              <c:f>'Popularity Difficulty 3 yrs'!$A$22</c:f>
              <c:strCache>
                <c:ptCount val="1"/>
                <c:pt idx="0">
                  <c:v>Repository/git Management</c:v>
                </c:pt>
              </c:strCache>
            </c:strRef>
          </c:tx>
          <c:spPr>
            <a:solidFill>
              <a:schemeClr val="accent3">
                <a:lumMod val="80000"/>
                <a:alpha val="75000"/>
              </a:schemeClr>
            </a:solidFill>
            <a:ln>
              <a:noFill/>
            </a:ln>
            <a:effectLst/>
          </c:spPr>
          <c:invertIfNegative val="0"/>
          <c:dLbls>
            <c:dLbl>
              <c:idx val="0"/>
              <c:layout>
                <c:manualLayout>
                  <c:x val="-8.0286518538841528E-2"/>
                  <c:y val="-9.793664285293289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8-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yrs'!$B$22</c:f>
              <c:numCache>
                <c:formatCode>_ * #,##0_)_ ;_ * \(#,##0\)_ ;_ * "-"??_)_ ;_ @_ </c:formatCode>
                <c:ptCount val="1"/>
                <c:pt idx="0">
                  <c:v>58.69451697127937</c:v>
                </c:pt>
              </c:numCache>
            </c:numRef>
          </c:xVal>
          <c:yVal>
            <c:numRef>
              <c:f>'Popularity Difficulty 3 yrs'!$C$22</c:f>
              <c:numCache>
                <c:formatCode>_ * #,##0_)_ ;_ * \(#,##0\)_ ;_ * "-"??_)_ ;_ @_ </c:formatCode>
                <c:ptCount val="1"/>
                <c:pt idx="0">
                  <c:v>2739.8</c:v>
                </c:pt>
              </c:numCache>
            </c:numRef>
          </c:yVal>
          <c:bubbleSize>
            <c:numRef>
              <c:f>'Popularity Difficulty 3 yrs'!$D$22</c:f>
              <c:numCache>
                <c:formatCode>_ * #,##0_)_ ;_ * \(#,##0\)_ ;_ * "-"??_)_ ;_ @_ </c:formatCode>
                <c:ptCount val="1"/>
                <c:pt idx="0">
                  <c:v>3474</c:v>
                </c:pt>
              </c:numCache>
            </c:numRef>
          </c:bubbleSize>
          <c:bubble3D val="1"/>
          <c:extLst>
            <c:ext xmlns:c16="http://schemas.microsoft.com/office/drawing/2014/chart" uri="{C3380CC4-5D6E-409C-BE32-E72D297353CC}">
              <c16:uniqueId val="{00000029-0FB8-AD49-9953-5663FF7C7880}"/>
            </c:ext>
          </c:extLst>
        </c:ser>
        <c:ser>
          <c:idx val="21"/>
          <c:order val="21"/>
          <c:tx>
            <c:strRef>
              <c:f>'Popularity Difficulty 3 yrs'!$A$23</c:f>
              <c:strCache>
                <c:ptCount val="1"/>
                <c:pt idx="0">
                  <c:v>Script Execution</c:v>
                </c:pt>
              </c:strCache>
            </c:strRef>
          </c:tx>
          <c:spPr>
            <a:solidFill>
              <a:schemeClr val="accent4">
                <a:lumMod val="80000"/>
                <a:alpha val="75000"/>
              </a:schemeClr>
            </a:solidFill>
            <a:ln>
              <a:noFill/>
            </a:ln>
            <a:effectLst/>
          </c:spPr>
          <c:invertIfNegative val="0"/>
          <c:dLbls>
            <c:dLbl>
              <c:idx val="0"/>
              <c:layout>
                <c:manualLayout>
                  <c:x val="-1.7850833610996528E-2"/>
                  <c:y val="-9.1996637483231392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A-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yrs'!$B$23</c:f>
              <c:numCache>
                <c:formatCode>_ * #,##0_)_ ;_ * \(#,##0\)_ ;_ * "-"??_)_ ;_ @_ </c:formatCode>
                <c:ptCount val="1"/>
                <c:pt idx="0">
                  <c:v>59.050712867713408</c:v>
                </c:pt>
              </c:numCache>
            </c:numRef>
          </c:xVal>
          <c:yVal>
            <c:numRef>
              <c:f>'Popularity Difficulty 3 yrs'!$C$23</c:f>
              <c:numCache>
                <c:formatCode>_ * #,##0_)_ ;_ * \(#,##0\)_ ;_ * "-"??_)_ ;_ @_ </c:formatCode>
                <c:ptCount val="1"/>
                <c:pt idx="0">
                  <c:v>2603.13</c:v>
                </c:pt>
              </c:numCache>
            </c:numRef>
          </c:yVal>
          <c:bubbleSize>
            <c:numRef>
              <c:f>'Popularity Difficulty 3 yrs'!$D$23</c:f>
              <c:numCache>
                <c:formatCode>_ * #,##0_)_ ;_ * \(#,##0\)_ ;_ * "-"??_)_ ;_ @_ </c:formatCode>
                <c:ptCount val="1"/>
                <c:pt idx="0">
                  <c:v>3614</c:v>
                </c:pt>
              </c:numCache>
            </c:numRef>
          </c:bubbleSize>
          <c:bubble3D val="1"/>
          <c:extLst>
            <c:ext xmlns:c16="http://schemas.microsoft.com/office/drawing/2014/chart" uri="{C3380CC4-5D6E-409C-BE32-E72D297353CC}">
              <c16:uniqueId val="{0000002B-0FB8-AD49-9953-5663FF7C7880}"/>
            </c:ext>
          </c:extLst>
        </c:ser>
        <c:ser>
          <c:idx val="22"/>
          <c:order val="22"/>
          <c:tx>
            <c:strRef>
              <c:f>'Popularity Difficulty 3 yrs'!$A$24</c:f>
              <c:strCache>
                <c:ptCount val="1"/>
                <c:pt idx="0">
                  <c:v>Script Syntax</c:v>
                </c:pt>
              </c:strCache>
            </c:strRef>
          </c:tx>
          <c:spPr>
            <a:solidFill>
              <a:schemeClr val="accent5">
                <a:lumMod val="80000"/>
                <a:alpha val="75000"/>
              </a:schemeClr>
            </a:solidFill>
            <a:ln>
              <a:noFill/>
            </a:ln>
            <a:effectLst/>
          </c:spPr>
          <c:invertIfNegative val="0"/>
          <c:dLbls>
            <c:dLbl>
              <c:idx val="0"/>
              <c:layout>
                <c:manualLayout>
                  <c:x val="-1.6911316052523027E-2"/>
                  <c:y val="-0.105139014266550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C-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yrs'!$B$24</c:f>
              <c:numCache>
                <c:formatCode>_ * #,##0_)_ ;_ * \(#,##0\)_ ;_ * "-"??_)_ ;_ @_ </c:formatCode>
                <c:ptCount val="1"/>
                <c:pt idx="0">
                  <c:v>44.928409947249435</c:v>
                </c:pt>
              </c:numCache>
            </c:numRef>
          </c:xVal>
          <c:yVal>
            <c:numRef>
              <c:f>'Popularity Difficulty 3 yrs'!$C$24</c:f>
              <c:numCache>
                <c:formatCode>_ * #,##0_)_ ;_ * \(#,##0\)_ ;_ * "-"??_)_ ;_ @_ </c:formatCode>
                <c:ptCount val="1"/>
                <c:pt idx="0">
                  <c:v>2018.2</c:v>
                </c:pt>
              </c:numCache>
            </c:numRef>
          </c:yVal>
          <c:bubbleSize>
            <c:numRef>
              <c:f>'Popularity Difficulty 3 yrs'!$D$24</c:f>
              <c:numCache>
                <c:formatCode>_ * #,##0_)_ ;_ * \(#,##0\)_ ;_ * "-"??_)_ ;_ @_ </c:formatCode>
                <c:ptCount val="1"/>
                <c:pt idx="0">
                  <c:v>4966</c:v>
                </c:pt>
              </c:numCache>
            </c:numRef>
          </c:bubbleSize>
          <c:bubble3D val="1"/>
          <c:extLst>
            <c:ext xmlns:c16="http://schemas.microsoft.com/office/drawing/2014/chart" uri="{C3380CC4-5D6E-409C-BE32-E72D297353CC}">
              <c16:uniqueId val="{0000002D-0FB8-AD49-9953-5663FF7C7880}"/>
            </c:ext>
          </c:extLst>
        </c:ser>
        <c:ser>
          <c:idx val="23"/>
          <c:order val="23"/>
          <c:tx>
            <c:strRef>
              <c:f>'Popularity Difficulty 3 yrs'!$A$25</c:f>
              <c:strCache>
                <c:ptCount val="1"/>
                <c:pt idx="0">
                  <c:v>User Permission</c:v>
                </c:pt>
              </c:strCache>
            </c:strRef>
          </c:tx>
          <c:spPr>
            <a:solidFill>
              <a:schemeClr val="accent6">
                <a:lumMod val="80000"/>
                <a:alpha val="75000"/>
              </a:schemeClr>
            </a:solidFill>
            <a:ln>
              <a:noFill/>
            </a:ln>
            <a:effectLst/>
          </c:spPr>
          <c:invertIfNegative val="0"/>
          <c:dLbls>
            <c:dLbl>
              <c:idx val="0"/>
              <c:layout>
                <c:manualLayout>
                  <c:x val="-0.17944785366843877"/>
                  <c:y val="-1.7523169044425028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E-0FB8-AD49-9953-5663FF7C78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3 yrs'!$B$25</c:f>
              <c:numCache>
                <c:formatCode>_ * #,##0_)_ ;_ * \(#,##0\)_ ;_ * "-"??_)_ ;_ @_ </c:formatCode>
                <c:ptCount val="1"/>
                <c:pt idx="0">
                  <c:v>58.61440291704649</c:v>
                </c:pt>
              </c:numCache>
            </c:numRef>
          </c:xVal>
          <c:yVal>
            <c:numRef>
              <c:f>'Popularity Difficulty 3 yrs'!$C$25</c:f>
              <c:numCache>
                <c:formatCode>_ * #,##0_)_ ;_ * \(#,##0\)_ ;_ * "-"??_)_ ;_ @_ </c:formatCode>
                <c:ptCount val="1"/>
                <c:pt idx="0">
                  <c:v>2508.8200000000002</c:v>
                </c:pt>
              </c:numCache>
            </c:numRef>
          </c:yVal>
          <c:bubbleSize>
            <c:numRef>
              <c:f>'Popularity Difficulty 3 yrs'!$D$25</c:f>
              <c:numCache>
                <c:formatCode>_ * #,##0_)_ ;_ * \(#,##0\)_ ;_ * "-"??_)_ ;_ @_ </c:formatCode>
                <c:ptCount val="1"/>
                <c:pt idx="0">
                  <c:v>2953</c:v>
                </c:pt>
              </c:numCache>
            </c:numRef>
          </c:bubbleSize>
          <c:bubble3D val="1"/>
          <c:extLst>
            <c:ext xmlns:c16="http://schemas.microsoft.com/office/drawing/2014/chart" uri="{C3380CC4-5D6E-409C-BE32-E72D297353CC}">
              <c16:uniqueId val="{0000002F-0FB8-AD49-9953-5663FF7C7880}"/>
            </c:ext>
          </c:extLst>
        </c:ser>
        <c:dLbls>
          <c:dLblPos val="r"/>
          <c:showLegendKey val="0"/>
          <c:showVal val="1"/>
          <c:showCatName val="1"/>
          <c:showSerName val="0"/>
          <c:showPercent val="0"/>
          <c:showBubbleSize val="0"/>
        </c:dLbls>
        <c:bubbleScale val="70"/>
        <c:showNegBubbles val="0"/>
        <c:axId val="1719769343"/>
        <c:axId val="2127769712"/>
      </c:bubbleChart>
      <c:valAx>
        <c:axId val="1719769343"/>
        <c:scaling>
          <c:orientation val="minMax"/>
          <c:max val="68"/>
          <c:min val="44"/>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GB"/>
                  <a:t>Difficulty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BD"/>
            </a:p>
          </c:txPr>
        </c:title>
        <c:numFmt formatCode="_ * #,##0_)_ ;_ * \(#,##0\)_ ;_ * &quot;-&quot;??_)_ ;_ @_ "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crossAx val="2127769712"/>
        <c:crosses val="autoZero"/>
        <c:crossBetween val="midCat"/>
        <c:majorUnit val="5"/>
      </c:valAx>
      <c:valAx>
        <c:axId val="212776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GB"/>
                  <a:t>Average VIew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BD"/>
            </a:p>
          </c:txPr>
        </c:title>
        <c:numFmt formatCode="_ * #,##0_)_ ;_ * \(#,##0\)_ ;_ * &quot;-&quot;??_)_ ;_ @_ "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crossAx val="17197693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accent1"/>
      </a:solidFill>
      <a:prstDash val="solid"/>
      <a:round/>
    </a:ln>
    <a:effectLst/>
  </c:spPr>
  <c:txPr>
    <a:bodyPr/>
    <a:lstStyle/>
    <a:p>
      <a:pPr>
        <a:defRPr>
          <a:solidFill>
            <a:schemeClr val="dk1"/>
          </a:solidFill>
          <a:latin typeface="+mn-lt"/>
          <a:ea typeface="+mn-ea"/>
          <a:cs typeface="+mn-cs"/>
        </a:defRPr>
      </a:pPr>
      <a:endParaRPr lang="en-BD"/>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DevOps LifeCycle Stages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D"/>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70-5942-B5D2-941228B07A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70-5942-B5D2-941228B07A2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470-5942-B5D2-941228B07A2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470-5942-B5D2-941228B07A2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470-5942-B5D2-941228B07A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Build</c:v>
              </c:pt>
              <c:pt idx="1">
                <c:v>Deployment</c:v>
              </c:pt>
              <c:pt idx="2">
                <c:v>Integration</c:v>
              </c:pt>
              <c:pt idx="3">
                <c:v>Monitoring</c:v>
              </c:pt>
              <c:pt idx="4">
                <c:v>Testing</c:v>
              </c:pt>
            </c:strLit>
          </c:cat>
          <c:val>
            <c:numLit>
              <c:formatCode>General</c:formatCode>
              <c:ptCount val="5"/>
              <c:pt idx="0">
                <c:v>205</c:v>
              </c:pt>
              <c:pt idx="1">
                <c:v>351</c:v>
              </c:pt>
              <c:pt idx="2">
                <c:v>254</c:v>
              </c:pt>
              <c:pt idx="3">
                <c:v>30</c:v>
              </c:pt>
              <c:pt idx="4">
                <c:v>60</c:v>
              </c:pt>
            </c:numLit>
          </c:val>
          <c:extLst>
            <c:ext xmlns:c16="http://schemas.microsoft.com/office/drawing/2014/chart" uri="{C3380CC4-5D6E-409C-BE32-E72D297353CC}">
              <c16:uniqueId val="{0000000A-4470-5942-B5D2-941228B07A23}"/>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Evoluation_Relative_Impact!$A$2</c:f>
              <c:strCache>
                <c:ptCount val="1"/>
                <c:pt idx="0">
                  <c:v>CI/CD Tool</c:v>
                </c:pt>
              </c:strCache>
            </c:strRef>
          </c:tx>
          <c:spPr>
            <a:ln w="3175"/>
          </c:spPr>
          <c:marker>
            <c:spPr>
              <a:ln w="3175"/>
            </c:spPr>
          </c:marker>
          <c:cat>
            <c:numRef>
              <c:f>Evoluation_Relative_Impact!$C$1:$Z$1</c:f>
              <c:numCache>
                <c:formatCode>mmm\-yy</c:formatCode>
                <c:ptCount val="24"/>
                <c:pt idx="0" formatCode="[$-409]d\-mmm\-yyyy;@">
                  <c:v>39630</c:v>
                </c:pt>
                <c:pt idx="1">
                  <c:v>39814</c:v>
                </c:pt>
                <c:pt idx="2">
                  <c:v>39995</c:v>
                </c:pt>
                <c:pt idx="3">
                  <c:v>40179</c:v>
                </c:pt>
                <c:pt idx="4">
                  <c:v>40330</c:v>
                </c:pt>
                <c:pt idx="5">
                  <c:v>40544</c:v>
                </c:pt>
                <c:pt idx="6">
                  <c:v>40725</c:v>
                </c:pt>
                <c:pt idx="7">
                  <c:v>40909</c:v>
                </c:pt>
                <c:pt idx="8">
                  <c:v>41091</c:v>
                </c:pt>
                <c:pt idx="9">
                  <c:v>41275</c:v>
                </c:pt>
                <c:pt idx="10">
                  <c:v>41456</c:v>
                </c:pt>
                <c:pt idx="11">
                  <c:v>41640</c:v>
                </c:pt>
                <c:pt idx="12">
                  <c:v>41821</c:v>
                </c:pt>
                <c:pt idx="13">
                  <c:v>42005</c:v>
                </c:pt>
                <c:pt idx="14">
                  <c:v>42186</c:v>
                </c:pt>
                <c:pt idx="15">
                  <c:v>42370</c:v>
                </c:pt>
                <c:pt idx="16">
                  <c:v>42552</c:v>
                </c:pt>
                <c:pt idx="17">
                  <c:v>42736</c:v>
                </c:pt>
                <c:pt idx="18">
                  <c:v>42917</c:v>
                </c:pt>
                <c:pt idx="19">
                  <c:v>43101</c:v>
                </c:pt>
                <c:pt idx="20">
                  <c:v>43282</c:v>
                </c:pt>
                <c:pt idx="21">
                  <c:v>43466</c:v>
                </c:pt>
                <c:pt idx="22">
                  <c:v>43647</c:v>
                </c:pt>
                <c:pt idx="23">
                  <c:v>43831</c:v>
                </c:pt>
              </c:numCache>
            </c:numRef>
          </c:cat>
          <c:val>
            <c:numRef>
              <c:f>Evoluation_Relative_Impact!$C$2:$Z$2</c:f>
              <c:numCache>
                <c:formatCode>0%</c:formatCode>
                <c:ptCount val="24"/>
                <c:pt idx="0">
                  <c:v>0.2711864406779661</c:v>
                </c:pt>
                <c:pt idx="1">
                  <c:v>0.33513513513513515</c:v>
                </c:pt>
                <c:pt idx="2">
                  <c:v>0.38766519823788548</c:v>
                </c:pt>
                <c:pt idx="3">
                  <c:v>0.32971014492753625</c:v>
                </c:pt>
                <c:pt idx="4">
                  <c:v>0.45180722891566266</c:v>
                </c:pt>
                <c:pt idx="5">
                  <c:v>0.45155993431855501</c:v>
                </c:pt>
                <c:pt idx="6">
                  <c:v>0.47759562841530057</c:v>
                </c:pt>
                <c:pt idx="7">
                  <c:v>0.48354600402955006</c:v>
                </c:pt>
                <c:pt idx="8">
                  <c:v>0.4607019278299555</c:v>
                </c:pt>
                <c:pt idx="9">
                  <c:v>0.44403534609720174</c:v>
                </c:pt>
                <c:pt idx="10">
                  <c:v>0.44508846857840145</c:v>
                </c:pt>
                <c:pt idx="11">
                  <c:v>0.40185510152920534</c:v>
                </c:pt>
                <c:pt idx="12">
                  <c:v>0.40394431554524363</c:v>
                </c:pt>
                <c:pt idx="13">
                  <c:v>0.37444633730834753</c:v>
                </c:pt>
                <c:pt idx="14">
                  <c:v>0.32933104631217841</c:v>
                </c:pt>
                <c:pt idx="15">
                  <c:v>0.33242534301856336</c:v>
                </c:pt>
                <c:pt idx="16">
                  <c:v>0.35951487149870054</c:v>
                </c:pt>
                <c:pt idx="17">
                  <c:v>0.37237453904120571</c:v>
                </c:pt>
                <c:pt idx="18">
                  <c:v>0.35686893751409882</c:v>
                </c:pt>
                <c:pt idx="19">
                  <c:v>0.33996199267001492</c:v>
                </c:pt>
                <c:pt idx="20">
                  <c:v>0.3042960138235119</c:v>
                </c:pt>
                <c:pt idx="21">
                  <c:v>0.28095388502842705</c:v>
                </c:pt>
                <c:pt idx="22">
                  <c:v>0.2821156432093232</c:v>
                </c:pt>
                <c:pt idx="23">
                  <c:v>0.28813094367227504</c:v>
                </c:pt>
              </c:numCache>
            </c:numRef>
          </c:val>
          <c:smooth val="0"/>
          <c:extLst>
            <c:ext xmlns:c16="http://schemas.microsoft.com/office/drawing/2014/chart" uri="{C3380CC4-5D6E-409C-BE32-E72D297353CC}">
              <c16:uniqueId val="{00000000-3F29-1142-929D-75770AA400F6}"/>
            </c:ext>
          </c:extLst>
        </c:ser>
        <c:ser>
          <c:idx val="1"/>
          <c:order val="1"/>
          <c:tx>
            <c:strRef>
              <c:f>Evoluation_Relative_Impact!$A$3</c:f>
              <c:strCache>
                <c:ptCount val="1"/>
                <c:pt idx="0">
                  <c:v>Cloud CI/CD</c:v>
                </c:pt>
              </c:strCache>
            </c:strRef>
          </c:tx>
          <c:spPr>
            <a:ln w="3175"/>
          </c:spPr>
          <c:marker>
            <c:spPr>
              <a:ln w="3175"/>
            </c:spPr>
          </c:marker>
          <c:cat>
            <c:numRef>
              <c:f>Evoluation_Relative_Impact!$C$1:$Z$1</c:f>
              <c:numCache>
                <c:formatCode>mmm\-yy</c:formatCode>
                <c:ptCount val="24"/>
                <c:pt idx="0" formatCode="[$-409]d\-mmm\-yyyy;@">
                  <c:v>39630</c:v>
                </c:pt>
                <c:pt idx="1">
                  <c:v>39814</c:v>
                </c:pt>
                <c:pt idx="2">
                  <c:v>39995</c:v>
                </c:pt>
                <c:pt idx="3">
                  <c:v>40179</c:v>
                </c:pt>
                <c:pt idx="4">
                  <c:v>40330</c:v>
                </c:pt>
                <c:pt idx="5">
                  <c:v>40544</c:v>
                </c:pt>
                <c:pt idx="6">
                  <c:v>40725</c:v>
                </c:pt>
                <c:pt idx="7">
                  <c:v>40909</c:v>
                </c:pt>
                <c:pt idx="8">
                  <c:v>41091</c:v>
                </c:pt>
                <c:pt idx="9">
                  <c:v>41275</c:v>
                </c:pt>
                <c:pt idx="10">
                  <c:v>41456</c:v>
                </c:pt>
                <c:pt idx="11">
                  <c:v>41640</c:v>
                </c:pt>
                <c:pt idx="12">
                  <c:v>41821</c:v>
                </c:pt>
                <c:pt idx="13">
                  <c:v>42005</c:v>
                </c:pt>
                <c:pt idx="14">
                  <c:v>42186</c:v>
                </c:pt>
                <c:pt idx="15">
                  <c:v>42370</c:v>
                </c:pt>
                <c:pt idx="16">
                  <c:v>42552</c:v>
                </c:pt>
                <c:pt idx="17">
                  <c:v>42736</c:v>
                </c:pt>
                <c:pt idx="18">
                  <c:v>42917</c:v>
                </c:pt>
                <c:pt idx="19">
                  <c:v>43101</c:v>
                </c:pt>
                <c:pt idx="20">
                  <c:v>43282</c:v>
                </c:pt>
                <c:pt idx="21">
                  <c:v>43466</c:v>
                </c:pt>
                <c:pt idx="22">
                  <c:v>43647</c:v>
                </c:pt>
                <c:pt idx="23">
                  <c:v>43831</c:v>
                </c:pt>
              </c:numCache>
            </c:numRef>
          </c:cat>
          <c:val>
            <c:numRef>
              <c:f>Evoluation_Relative_Impact!$C$3:$Z$3</c:f>
              <c:numCache>
                <c:formatCode>0%</c:formatCode>
                <c:ptCount val="24"/>
                <c:pt idx="0">
                  <c:v>0.40677966101694918</c:v>
                </c:pt>
                <c:pt idx="1">
                  <c:v>0.44324324324324327</c:v>
                </c:pt>
                <c:pt idx="2">
                  <c:v>0.33039647577092512</c:v>
                </c:pt>
                <c:pt idx="3">
                  <c:v>0.41304347826086957</c:v>
                </c:pt>
                <c:pt idx="4">
                  <c:v>0.27108433734939757</c:v>
                </c:pt>
                <c:pt idx="5">
                  <c:v>0.17898193760262726</c:v>
                </c:pt>
                <c:pt idx="6">
                  <c:v>0.15956284153005465</c:v>
                </c:pt>
                <c:pt idx="7">
                  <c:v>0.11887172599059771</c:v>
                </c:pt>
                <c:pt idx="8">
                  <c:v>0.10973801285219971</c:v>
                </c:pt>
                <c:pt idx="9">
                  <c:v>9.8674521354933722E-2</c:v>
                </c:pt>
                <c:pt idx="10">
                  <c:v>8.9383770591824285E-2</c:v>
                </c:pt>
                <c:pt idx="11">
                  <c:v>9.9273000752068186E-2</c:v>
                </c:pt>
                <c:pt idx="12">
                  <c:v>0.10371229698375869</c:v>
                </c:pt>
                <c:pt idx="13">
                  <c:v>0.13475298126064736</c:v>
                </c:pt>
                <c:pt idx="14">
                  <c:v>0.19527642169151604</c:v>
                </c:pt>
                <c:pt idx="15">
                  <c:v>0.19703389830508475</c:v>
                </c:pt>
                <c:pt idx="16">
                  <c:v>0.1642121474636635</c:v>
                </c:pt>
                <c:pt idx="17">
                  <c:v>0.12754529421196087</c:v>
                </c:pt>
                <c:pt idx="18">
                  <c:v>0.12873148357019326</c:v>
                </c:pt>
                <c:pt idx="19">
                  <c:v>0.13519750237545813</c:v>
                </c:pt>
                <c:pt idx="20">
                  <c:v>0.14824524816778883</c:v>
                </c:pt>
                <c:pt idx="21">
                  <c:v>0.15792798483891346</c:v>
                </c:pt>
                <c:pt idx="22">
                  <c:v>0.16974450918870462</c:v>
                </c:pt>
                <c:pt idx="23">
                  <c:v>0.1729151426481346</c:v>
                </c:pt>
              </c:numCache>
            </c:numRef>
          </c:val>
          <c:smooth val="0"/>
          <c:extLst>
            <c:ext xmlns:c16="http://schemas.microsoft.com/office/drawing/2014/chart" uri="{C3380CC4-5D6E-409C-BE32-E72D297353CC}">
              <c16:uniqueId val="{00000001-3F29-1142-929D-75770AA400F6}"/>
            </c:ext>
          </c:extLst>
        </c:ser>
        <c:ser>
          <c:idx val="2"/>
          <c:order val="2"/>
          <c:tx>
            <c:strRef>
              <c:f>Evoluation_Relative_Impact!$A$4</c:f>
              <c:strCache>
                <c:ptCount val="1"/>
                <c:pt idx="0">
                  <c:v>Container &amp; Orchestration</c:v>
                </c:pt>
              </c:strCache>
            </c:strRef>
          </c:tx>
          <c:spPr>
            <a:ln w="3175"/>
          </c:spPr>
          <c:marker>
            <c:spPr>
              <a:ln w="3175"/>
            </c:spPr>
          </c:marker>
          <c:cat>
            <c:numRef>
              <c:f>Evoluation_Relative_Impact!$C$1:$Z$1</c:f>
              <c:numCache>
                <c:formatCode>mmm\-yy</c:formatCode>
                <c:ptCount val="24"/>
                <c:pt idx="0" formatCode="[$-409]d\-mmm\-yyyy;@">
                  <c:v>39630</c:v>
                </c:pt>
                <c:pt idx="1">
                  <c:v>39814</c:v>
                </c:pt>
                <c:pt idx="2">
                  <c:v>39995</c:v>
                </c:pt>
                <c:pt idx="3">
                  <c:v>40179</c:v>
                </c:pt>
                <c:pt idx="4">
                  <c:v>40330</c:v>
                </c:pt>
                <c:pt idx="5">
                  <c:v>40544</c:v>
                </c:pt>
                <c:pt idx="6">
                  <c:v>40725</c:v>
                </c:pt>
                <c:pt idx="7">
                  <c:v>40909</c:v>
                </c:pt>
                <c:pt idx="8">
                  <c:v>41091</c:v>
                </c:pt>
                <c:pt idx="9">
                  <c:v>41275</c:v>
                </c:pt>
                <c:pt idx="10">
                  <c:v>41456</c:v>
                </c:pt>
                <c:pt idx="11">
                  <c:v>41640</c:v>
                </c:pt>
                <c:pt idx="12">
                  <c:v>41821</c:v>
                </c:pt>
                <c:pt idx="13">
                  <c:v>42005</c:v>
                </c:pt>
                <c:pt idx="14">
                  <c:v>42186</c:v>
                </c:pt>
                <c:pt idx="15">
                  <c:v>42370</c:v>
                </c:pt>
                <c:pt idx="16">
                  <c:v>42552</c:v>
                </c:pt>
                <c:pt idx="17">
                  <c:v>42736</c:v>
                </c:pt>
                <c:pt idx="18">
                  <c:v>42917</c:v>
                </c:pt>
                <c:pt idx="19">
                  <c:v>43101</c:v>
                </c:pt>
                <c:pt idx="20">
                  <c:v>43282</c:v>
                </c:pt>
                <c:pt idx="21">
                  <c:v>43466</c:v>
                </c:pt>
                <c:pt idx="22">
                  <c:v>43647</c:v>
                </c:pt>
                <c:pt idx="23">
                  <c:v>43831</c:v>
                </c:pt>
              </c:numCache>
            </c:numRef>
          </c:cat>
          <c:val>
            <c:numRef>
              <c:f>Evoluation_Relative_Impact!$C$4:$Z$4</c:f>
              <c:numCache>
                <c:formatCode>0%</c:formatCode>
                <c:ptCount val="24"/>
                <c:pt idx="0">
                  <c:v>3.3898305084745763E-2</c:v>
                </c:pt>
                <c:pt idx="1">
                  <c:v>5.4054054054054057E-3</c:v>
                </c:pt>
                <c:pt idx="2">
                  <c:v>2.2026431718061675E-2</c:v>
                </c:pt>
                <c:pt idx="3">
                  <c:v>1.0869565217391304E-2</c:v>
                </c:pt>
                <c:pt idx="4">
                  <c:v>6.024096385542169E-3</c:v>
                </c:pt>
                <c:pt idx="5">
                  <c:v>1.6420361247947456E-2</c:v>
                </c:pt>
                <c:pt idx="6">
                  <c:v>1.3114754098360656E-2</c:v>
                </c:pt>
                <c:pt idx="7">
                  <c:v>1.544660846205507E-2</c:v>
                </c:pt>
                <c:pt idx="8">
                  <c:v>1.532377656945131E-2</c:v>
                </c:pt>
                <c:pt idx="9">
                  <c:v>1.3254786450662739E-2</c:v>
                </c:pt>
                <c:pt idx="10">
                  <c:v>1.7998779743746186E-2</c:v>
                </c:pt>
                <c:pt idx="11">
                  <c:v>1.5041363750313362E-2</c:v>
                </c:pt>
                <c:pt idx="12">
                  <c:v>2.9002320185614848E-2</c:v>
                </c:pt>
                <c:pt idx="13">
                  <c:v>4.4463373083475297E-2</c:v>
                </c:pt>
                <c:pt idx="14">
                  <c:v>0.10014513788098693</c:v>
                </c:pt>
                <c:pt idx="15">
                  <c:v>0.10240112994350282</c:v>
                </c:pt>
                <c:pt idx="16">
                  <c:v>0.10164597170083742</c:v>
                </c:pt>
                <c:pt idx="17">
                  <c:v>0.12898829565496231</c:v>
                </c:pt>
                <c:pt idx="18">
                  <c:v>0.15903451387322354</c:v>
                </c:pt>
                <c:pt idx="19">
                  <c:v>0.19919913126102892</c:v>
                </c:pt>
                <c:pt idx="20">
                  <c:v>0.2388130846690103</c:v>
                </c:pt>
                <c:pt idx="21">
                  <c:v>0.23268056432933248</c:v>
                </c:pt>
                <c:pt idx="22">
                  <c:v>0.22124607799193186</c:v>
                </c:pt>
                <c:pt idx="23">
                  <c:v>0.22398500365764448</c:v>
                </c:pt>
              </c:numCache>
            </c:numRef>
          </c:val>
          <c:smooth val="0"/>
          <c:extLst>
            <c:ext xmlns:c16="http://schemas.microsoft.com/office/drawing/2014/chart" uri="{C3380CC4-5D6E-409C-BE32-E72D297353CC}">
              <c16:uniqueId val="{00000002-3F29-1142-929D-75770AA400F6}"/>
            </c:ext>
          </c:extLst>
        </c:ser>
        <c:ser>
          <c:idx val="3"/>
          <c:order val="3"/>
          <c:tx>
            <c:strRef>
              <c:f>Evoluation_Relative_Impact!$A$5</c:f>
              <c:strCache>
                <c:ptCount val="1"/>
                <c:pt idx="0">
                  <c:v>Infra as a Code</c:v>
                </c:pt>
              </c:strCache>
            </c:strRef>
          </c:tx>
          <c:spPr>
            <a:ln w="3175"/>
          </c:spPr>
          <c:marker>
            <c:spPr>
              <a:ln w="3175"/>
            </c:spPr>
          </c:marker>
          <c:cat>
            <c:numRef>
              <c:f>Evoluation_Relative_Impact!$C$1:$Z$1</c:f>
              <c:numCache>
                <c:formatCode>mmm\-yy</c:formatCode>
                <c:ptCount val="24"/>
                <c:pt idx="0" formatCode="[$-409]d\-mmm\-yyyy;@">
                  <c:v>39630</c:v>
                </c:pt>
                <c:pt idx="1">
                  <c:v>39814</c:v>
                </c:pt>
                <c:pt idx="2">
                  <c:v>39995</c:v>
                </c:pt>
                <c:pt idx="3">
                  <c:v>40179</c:v>
                </c:pt>
                <c:pt idx="4">
                  <c:v>40330</c:v>
                </c:pt>
                <c:pt idx="5">
                  <c:v>40544</c:v>
                </c:pt>
                <c:pt idx="6">
                  <c:v>40725</c:v>
                </c:pt>
                <c:pt idx="7">
                  <c:v>40909</c:v>
                </c:pt>
                <c:pt idx="8">
                  <c:v>41091</c:v>
                </c:pt>
                <c:pt idx="9">
                  <c:v>41275</c:v>
                </c:pt>
                <c:pt idx="10">
                  <c:v>41456</c:v>
                </c:pt>
                <c:pt idx="11">
                  <c:v>41640</c:v>
                </c:pt>
                <c:pt idx="12">
                  <c:v>41821</c:v>
                </c:pt>
                <c:pt idx="13">
                  <c:v>42005</c:v>
                </c:pt>
                <c:pt idx="14">
                  <c:v>42186</c:v>
                </c:pt>
                <c:pt idx="15">
                  <c:v>42370</c:v>
                </c:pt>
                <c:pt idx="16">
                  <c:v>42552</c:v>
                </c:pt>
                <c:pt idx="17">
                  <c:v>42736</c:v>
                </c:pt>
                <c:pt idx="18">
                  <c:v>42917</c:v>
                </c:pt>
                <c:pt idx="19">
                  <c:v>43101</c:v>
                </c:pt>
                <c:pt idx="20">
                  <c:v>43282</c:v>
                </c:pt>
                <c:pt idx="21">
                  <c:v>43466</c:v>
                </c:pt>
                <c:pt idx="22">
                  <c:v>43647</c:v>
                </c:pt>
                <c:pt idx="23">
                  <c:v>43831</c:v>
                </c:pt>
              </c:numCache>
            </c:numRef>
          </c:cat>
          <c:val>
            <c:numRef>
              <c:f>Evoluation_Relative_Impact!$C$5:$Z$5</c:f>
              <c:numCache>
                <c:formatCode>0%</c:formatCode>
                <c:ptCount val="24"/>
                <c:pt idx="0">
                  <c:v>0.10169491525423729</c:v>
                </c:pt>
                <c:pt idx="1">
                  <c:v>7.0270270270270274E-2</c:v>
                </c:pt>
                <c:pt idx="2">
                  <c:v>6.1674008810572688E-2</c:v>
                </c:pt>
                <c:pt idx="3">
                  <c:v>6.8840579710144928E-2</c:v>
                </c:pt>
                <c:pt idx="4">
                  <c:v>0.12951807228915663</c:v>
                </c:pt>
                <c:pt idx="5">
                  <c:v>0.18390804597701149</c:v>
                </c:pt>
                <c:pt idx="6">
                  <c:v>0.17595628415300546</c:v>
                </c:pt>
                <c:pt idx="7">
                  <c:v>0.21356615177971794</c:v>
                </c:pt>
                <c:pt idx="8">
                  <c:v>0.26149283242708848</c:v>
                </c:pt>
                <c:pt idx="9">
                  <c:v>0.30338733431516934</c:v>
                </c:pt>
                <c:pt idx="10">
                  <c:v>0.31360585723001833</c:v>
                </c:pt>
                <c:pt idx="11">
                  <c:v>0.37202306342441716</c:v>
                </c:pt>
                <c:pt idx="12">
                  <c:v>0.3726218097447796</c:v>
                </c:pt>
                <c:pt idx="13">
                  <c:v>0.35775127768313458</c:v>
                </c:pt>
                <c:pt idx="14">
                  <c:v>0.29937986541760125</c:v>
                </c:pt>
                <c:pt idx="15">
                  <c:v>0.29449152542372881</c:v>
                </c:pt>
                <c:pt idx="16">
                  <c:v>0.30416786986235439</c:v>
                </c:pt>
                <c:pt idx="17">
                  <c:v>0.30575597242263908</c:v>
                </c:pt>
                <c:pt idx="18">
                  <c:v>0.29122490412812996</c:v>
                </c:pt>
                <c:pt idx="19">
                  <c:v>0.27141305823265915</c:v>
                </c:pt>
                <c:pt idx="20">
                  <c:v>0.26491092176607284</c:v>
                </c:pt>
                <c:pt idx="21">
                  <c:v>0.28642872183617601</c:v>
                </c:pt>
                <c:pt idx="22">
                  <c:v>0.28314657104437474</c:v>
                </c:pt>
                <c:pt idx="23">
                  <c:v>0.27569495245062181</c:v>
                </c:pt>
              </c:numCache>
            </c:numRef>
          </c:val>
          <c:smooth val="0"/>
          <c:extLst>
            <c:ext xmlns:c16="http://schemas.microsoft.com/office/drawing/2014/chart" uri="{C3380CC4-5D6E-409C-BE32-E72D297353CC}">
              <c16:uniqueId val="{00000003-3F29-1142-929D-75770AA400F6}"/>
            </c:ext>
          </c:extLst>
        </c:ser>
        <c:ser>
          <c:idx val="4"/>
          <c:order val="4"/>
          <c:tx>
            <c:strRef>
              <c:f>Evoluation_Relative_Impact!$A$6</c:f>
              <c:strCache>
                <c:ptCount val="1"/>
                <c:pt idx="0">
                  <c:v>Quality Assurance</c:v>
                </c:pt>
              </c:strCache>
            </c:strRef>
          </c:tx>
          <c:spPr>
            <a:ln w="3175"/>
          </c:spPr>
          <c:marker>
            <c:spPr>
              <a:ln w="3175"/>
            </c:spPr>
          </c:marker>
          <c:cat>
            <c:numRef>
              <c:f>Evoluation_Relative_Impact!$C$1:$Z$1</c:f>
              <c:numCache>
                <c:formatCode>mmm\-yy</c:formatCode>
                <c:ptCount val="24"/>
                <c:pt idx="0" formatCode="[$-409]d\-mmm\-yyyy;@">
                  <c:v>39630</c:v>
                </c:pt>
                <c:pt idx="1">
                  <c:v>39814</c:v>
                </c:pt>
                <c:pt idx="2">
                  <c:v>39995</c:v>
                </c:pt>
                <c:pt idx="3">
                  <c:v>40179</c:v>
                </c:pt>
                <c:pt idx="4">
                  <c:v>40330</c:v>
                </c:pt>
                <c:pt idx="5">
                  <c:v>40544</c:v>
                </c:pt>
                <c:pt idx="6">
                  <c:v>40725</c:v>
                </c:pt>
                <c:pt idx="7">
                  <c:v>40909</c:v>
                </c:pt>
                <c:pt idx="8">
                  <c:v>41091</c:v>
                </c:pt>
                <c:pt idx="9">
                  <c:v>41275</c:v>
                </c:pt>
                <c:pt idx="10">
                  <c:v>41456</c:v>
                </c:pt>
                <c:pt idx="11">
                  <c:v>41640</c:v>
                </c:pt>
                <c:pt idx="12">
                  <c:v>41821</c:v>
                </c:pt>
                <c:pt idx="13">
                  <c:v>42005</c:v>
                </c:pt>
                <c:pt idx="14">
                  <c:v>42186</c:v>
                </c:pt>
                <c:pt idx="15">
                  <c:v>42370</c:v>
                </c:pt>
                <c:pt idx="16">
                  <c:v>42552</c:v>
                </c:pt>
                <c:pt idx="17">
                  <c:v>42736</c:v>
                </c:pt>
                <c:pt idx="18">
                  <c:v>42917</c:v>
                </c:pt>
                <c:pt idx="19">
                  <c:v>43101</c:v>
                </c:pt>
                <c:pt idx="20">
                  <c:v>43282</c:v>
                </c:pt>
                <c:pt idx="21">
                  <c:v>43466</c:v>
                </c:pt>
                <c:pt idx="22">
                  <c:v>43647</c:v>
                </c:pt>
                <c:pt idx="23">
                  <c:v>43831</c:v>
                </c:pt>
              </c:numCache>
            </c:numRef>
          </c:cat>
          <c:val>
            <c:numRef>
              <c:f>Evoluation_Relative_Impact!$C$6:$Z$6</c:f>
              <c:numCache>
                <c:formatCode>0%</c:formatCode>
                <c:ptCount val="24"/>
                <c:pt idx="0">
                  <c:v>0.1864406779661017</c:v>
                </c:pt>
                <c:pt idx="1">
                  <c:v>0.14594594594594595</c:v>
                </c:pt>
                <c:pt idx="2">
                  <c:v>0.19823788546255505</c:v>
                </c:pt>
                <c:pt idx="3">
                  <c:v>0.17753623188405798</c:v>
                </c:pt>
                <c:pt idx="4">
                  <c:v>0.14156626506024098</c:v>
                </c:pt>
                <c:pt idx="5">
                  <c:v>0.16912972085385877</c:v>
                </c:pt>
                <c:pt idx="6">
                  <c:v>0.17377049180327869</c:v>
                </c:pt>
                <c:pt idx="7">
                  <c:v>0.16856950973807924</c:v>
                </c:pt>
                <c:pt idx="8">
                  <c:v>0.15274345032130499</c:v>
                </c:pt>
                <c:pt idx="9">
                  <c:v>0.1406480117820324</c:v>
                </c:pt>
                <c:pt idx="10">
                  <c:v>0.13392312385600977</c:v>
                </c:pt>
                <c:pt idx="11">
                  <c:v>0.11180747054399599</c:v>
                </c:pt>
                <c:pt idx="12">
                  <c:v>9.0719257540603254E-2</c:v>
                </c:pt>
                <c:pt idx="13">
                  <c:v>8.8586030664395229E-2</c:v>
                </c:pt>
                <c:pt idx="14">
                  <c:v>7.5867528697717374E-2</c:v>
                </c:pt>
                <c:pt idx="15">
                  <c:v>7.3648103309120264E-2</c:v>
                </c:pt>
                <c:pt idx="16">
                  <c:v>7.0459139474444127E-2</c:v>
                </c:pt>
                <c:pt idx="17">
                  <c:v>6.5335898669232007E-2</c:v>
                </c:pt>
                <c:pt idx="18">
                  <c:v>6.4140160914354469E-2</c:v>
                </c:pt>
                <c:pt idx="19">
                  <c:v>5.4228315460838873E-2</c:v>
                </c:pt>
                <c:pt idx="20">
                  <c:v>4.373473157361616E-2</c:v>
                </c:pt>
                <c:pt idx="21">
                  <c:v>4.2008843967150981E-2</c:v>
                </c:pt>
                <c:pt idx="22">
                  <c:v>4.374719856566562E-2</c:v>
                </c:pt>
                <c:pt idx="23">
                  <c:v>3.927395757132407E-2</c:v>
                </c:pt>
              </c:numCache>
            </c:numRef>
          </c:val>
          <c:smooth val="0"/>
          <c:extLst>
            <c:ext xmlns:c16="http://schemas.microsoft.com/office/drawing/2014/chart" uri="{C3380CC4-5D6E-409C-BE32-E72D297353CC}">
              <c16:uniqueId val="{00000004-3F29-1142-929D-75770AA400F6}"/>
            </c:ext>
          </c:extLst>
        </c:ser>
        <c:dLbls>
          <c:showLegendKey val="0"/>
          <c:showVal val="0"/>
          <c:showCatName val="0"/>
          <c:showSerName val="0"/>
          <c:showPercent val="0"/>
          <c:showBubbleSize val="0"/>
        </c:dLbls>
        <c:marker val="1"/>
        <c:smooth val="0"/>
        <c:axId val="33959296"/>
        <c:axId val="124471552"/>
      </c:lineChart>
      <c:dateAx>
        <c:axId val="33959296"/>
        <c:scaling>
          <c:orientation val="minMax"/>
          <c:min val="39630"/>
        </c:scaling>
        <c:delete val="0"/>
        <c:axPos val="b"/>
        <c:numFmt formatCode="[$-409]mmm\-yy;@" sourceLinked="0"/>
        <c:majorTickMark val="none"/>
        <c:minorTickMark val="none"/>
        <c:tickLblPos val="nextTo"/>
        <c:crossAx val="124471552"/>
        <c:crosses val="autoZero"/>
        <c:auto val="1"/>
        <c:lblOffset val="100"/>
        <c:baseTimeUnit val="months"/>
        <c:majorUnit val="6"/>
        <c:majorTimeUnit val="months"/>
      </c:dateAx>
      <c:valAx>
        <c:axId val="124471552"/>
        <c:scaling>
          <c:orientation val="minMax"/>
        </c:scaling>
        <c:delete val="0"/>
        <c:axPos val="l"/>
        <c:majorGridlines/>
        <c:title>
          <c:tx>
            <c:rich>
              <a:bodyPr/>
              <a:lstStyle/>
              <a:p>
                <a:pPr>
                  <a:defRPr b="0"/>
                </a:pPr>
                <a:r>
                  <a:rPr lang="en-US" b="0"/>
                  <a:t># of questions</a:t>
                </a:r>
              </a:p>
            </c:rich>
          </c:tx>
          <c:overlay val="0"/>
        </c:title>
        <c:numFmt formatCode="0%" sourceLinked="1"/>
        <c:majorTickMark val="none"/>
        <c:minorTickMark val="none"/>
        <c:tickLblPos val="nextTo"/>
        <c:crossAx val="3395929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Temporal_evoluation!$A$2</c:f>
              <c:strCache>
                <c:ptCount val="1"/>
                <c:pt idx="0">
                  <c:v>CI/CD Tool</c:v>
                </c:pt>
              </c:strCache>
            </c:strRef>
          </c:tx>
          <c:spPr>
            <a:ln w="3175"/>
          </c:spPr>
          <c:marker>
            <c:spPr>
              <a:ln w="3175"/>
            </c:spPr>
          </c:marker>
          <c:cat>
            <c:numRef>
              <c:f>Temporal_evoluation!$C$1:$Z$1</c:f>
              <c:numCache>
                <c:formatCode>mmm\-yy</c:formatCode>
                <c:ptCount val="24"/>
                <c:pt idx="0" formatCode="[$-409]d\-mmm\-yyyy;@">
                  <c:v>39630</c:v>
                </c:pt>
                <c:pt idx="1">
                  <c:v>39814</c:v>
                </c:pt>
                <c:pt idx="2">
                  <c:v>39995</c:v>
                </c:pt>
                <c:pt idx="3">
                  <c:v>40179</c:v>
                </c:pt>
                <c:pt idx="4">
                  <c:v>40330</c:v>
                </c:pt>
                <c:pt idx="5">
                  <c:v>40544</c:v>
                </c:pt>
                <c:pt idx="6">
                  <c:v>40725</c:v>
                </c:pt>
                <c:pt idx="7">
                  <c:v>40909</c:v>
                </c:pt>
                <c:pt idx="8">
                  <c:v>41091</c:v>
                </c:pt>
                <c:pt idx="9">
                  <c:v>41275</c:v>
                </c:pt>
                <c:pt idx="10">
                  <c:v>41456</c:v>
                </c:pt>
                <c:pt idx="11">
                  <c:v>41640</c:v>
                </c:pt>
                <c:pt idx="12">
                  <c:v>41821</c:v>
                </c:pt>
                <c:pt idx="13">
                  <c:v>42005</c:v>
                </c:pt>
                <c:pt idx="14">
                  <c:v>42186</c:v>
                </c:pt>
                <c:pt idx="15">
                  <c:v>42370</c:v>
                </c:pt>
                <c:pt idx="16">
                  <c:v>42552</c:v>
                </c:pt>
                <c:pt idx="17">
                  <c:v>42736</c:v>
                </c:pt>
                <c:pt idx="18">
                  <c:v>42917</c:v>
                </c:pt>
                <c:pt idx="19">
                  <c:v>43101</c:v>
                </c:pt>
                <c:pt idx="20">
                  <c:v>43282</c:v>
                </c:pt>
                <c:pt idx="21">
                  <c:v>43466</c:v>
                </c:pt>
                <c:pt idx="22">
                  <c:v>43647</c:v>
                </c:pt>
                <c:pt idx="23">
                  <c:v>43831</c:v>
                </c:pt>
              </c:numCache>
            </c:numRef>
          </c:cat>
          <c:val>
            <c:numRef>
              <c:f>Temporal_evoluation!$C$2:$Z$2</c:f>
              <c:numCache>
                <c:formatCode>General</c:formatCode>
                <c:ptCount val="24"/>
                <c:pt idx="0">
                  <c:v>32</c:v>
                </c:pt>
                <c:pt idx="1">
                  <c:v>62</c:v>
                </c:pt>
                <c:pt idx="2">
                  <c:v>88</c:v>
                </c:pt>
                <c:pt idx="3">
                  <c:v>91</c:v>
                </c:pt>
                <c:pt idx="4">
                  <c:v>150</c:v>
                </c:pt>
                <c:pt idx="5">
                  <c:v>275</c:v>
                </c:pt>
                <c:pt idx="6">
                  <c:v>437</c:v>
                </c:pt>
                <c:pt idx="7">
                  <c:v>720</c:v>
                </c:pt>
                <c:pt idx="8">
                  <c:v>932</c:v>
                </c:pt>
                <c:pt idx="9">
                  <c:v>1206</c:v>
                </c:pt>
                <c:pt idx="10">
                  <c:v>1459</c:v>
                </c:pt>
                <c:pt idx="11">
                  <c:v>1603</c:v>
                </c:pt>
                <c:pt idx="12">
                  <c:v>1741</c:v>
                </c:pt>
                <c:pt idx="13">
                  <c:v>2198</c:v>
                </c:pt>
                <c:pt idx="14">
                  <c:v>2496</c:v>
                </c:pt>
                <c:pt idx="15">
                  <c:v>3295</c:v>
                </c:pt>
                <c:pt idx="16">
                  <c:v>3735</c:v>
                </c:pt>
                <c:pt idx="17">
                  <c:v>4645</c:v>
                </c:pt>
                <c:pt idx="18">
                  <c:v>4746</c:v>
                </c:pt>
                <c:pt idx="19">
                  <c:v>5009</c:v>
                </c:pt>
                <c:pt idx="20">
                  <c:v>5107</c:v>
                </c:pt>
                <c:pt idx="21">
                  <c:v>5337</c:v>
                </c:pt>
                <c:pt idx="22">
                  <c:v>6294</c:v>
                </c:pt>
                <c:pt idx="23">
                  <c:v>6302</c:v>
                </c:pt>
              </c:numCache>
            </c:numRef>
          </c:val>
          <c:smooth val="0"/>
          <c:extLst>
            <c:ext xmlns:c16="http://schemas.microsoft.com/office/drawing/2014/chart" uri="{C3380CC4-5D6E-409C-BE32-E72D297353CC}">
              <c16:uniqueId val="{00000000-EA4C-5B46-B042-D4488EBF9185}"/>
            </c:ext>
          </c:extLst>
        </c:ser>
        <c:ser>
          <c:idx val="1"/>
          <c:order val="1"/>
          <c:tx>
            <c:strRef>
              <c:f>Temporal_evoluation!$A$3</c:f>
              <c:strCache>
                <c:ptCount val="1"/>
                <c:pt idx="0">
                  <c:v>Cloud CI/CD</c:v>
                </c:pt>
              </c:strCache>
            </c:strRef>
          </c:tx>
          <c:spPr>
            <a:ln w="3175"/>
          </c:spPr>
          <c:marker>
            <c:spPr>
              <a:ln w="3175"/>
            </c:spPr>
          </c:marker>
          <c:cat>
            <c:numRef>
              <c:f>Temporal_evoluation!$C$1:$Z$1</c:f>
              <c:numCache>
                <c:formatCode>mmm\-yy</c:formatCode>
                <c:ptCount val="24"/>
                <c:pt idx="0" formatCode="[$-409]d\-mmm\-yyyy;@">
                  <c:v>39630</c:v>
                </c:pt>
                <c:pt idx="1">
                  <c:v>39814</c:v>
                </c:pt>
                <c:pt idx="2">
                  <c:v>39995</c:v>
                </c:pt>
                <c:pt idx="3">
                  <c:v>40179</c:v>
                </c:pt>
                <c:pt idx="4">
                  <c:v>40330</c:v>
                </c:pt>
                <c:pt idx="5">
                  <c:v>40544</c:v>
                </c:pt>
                <c:pt idx="6">
                  <c:v>40725</c:v>
                </c:pt>
                <c:pt idx="7">
                  <c:v>40909</c:v>
                </c:pt>
                <c:pt idx="8">
                  <c:v>41091</c:v>
                </c:pt>
                <c:pt idx="9">
                  <c:v>41275</c:v>
                </c:pt>
                <c:pt idx="10">
                  <c:v>41456</c:v>
                </c:pt>
                <c:pt idx="11">
                  <c:v>41640</c:v>
                </c:pt>
                <c:pt idx="12">
                  <c:v>41821</c:v>
                </c:pt>
                <c:pt idx="13">
                  <c:v>42005</c:v>
                </c:pt>
                <c:pt idx="14">
                  <c:v>42186</c:v>
                </c:pt>
                <c:pt idx="15">
                  <c:v>42370</c:v>
                </c:pt>
                <c:pt idx="16">
                  <c:v>42552</c:v>
                </c:pt>
                <c:pt idx="17">
                  <c:v>42736</c:v>
                </c:pt>
                <c:pt idx="18">
                  <c:v>42917</c:v>
                </c:pt>
                <c:pt idx="19">
                  <c:v>43101</c:v>
                </c:pt>
                <c:pt idx="20">
                  <c:v>43282</c:v>
                </c:pt>
                <c:pt idx="21">
                  <c:v>43466</c:v>
                </c:pt>
                <c:pt idx="22">
                  <c:v>43647</c:v>
                </c:pt>
                <c:pt idx="23">
                  <c:v>43831</c:v>
                </c:pt>
              </c:numCache>
            </c:numRef>
          </c:cat>
          <c:val>
            <c:numRef>
              <c:f>Temporal_evoluation!$C$3:$Z$3</c:f>
              <c:numCache>
                <c:formatCode>General</c:formatCode>
                <c:ptCount val="24"/>
                <c:pt idx="0">
                  <c:v>48</c:v>
                </c:pt>
                <c:pt idx="1">
                  <c:v>82</c:v>
                </c:pt>
                <c:pt idx="2">
                  <c:v>75</c:v>
                </c:pt>
                <c:pt idx="3">
                  <c:v>114</c:v>
                </c:pt>
                <c:pt idx="4">
                  <c:v>90</c:v>
                </c:pt>
                <c:pt idx="5">
                  <c:v>109</c:v>
                </c:pt>
                <c:pt idx="6">
                  <c:v>146</c:v>
                </c:pt>
                <c:pt idx="7">
                  <c:v>177</c:v>
                </c:pt>
                <c:pt idx="8">
                  <c:v>222</c:v>
                </c:pt>
                <c:pt idx="9">
                  <c:v>268</c:v>
                </c:pt>
                <c:pt idx="10">
                  <c:v>293</c:v>
                </c:pt>
                <c:pt idx="11">
                  <c:v>396</c:v>
                </c:pt>
                <c:pt idx="12">
                  <c:v>447</c:v>
                </c:pt>
                <c:pt idx="13">
                  <c:v>791</c:v>
                </c:pt>
                <c:pt idx="14">
                  <c:v>1480</c:v>
                </c:pt>
                <c:pt idx="15">
                  <c:v>1953</c:v>
                </c:pt>
                <c:pt idx="16">
                  <c:v>1706</c:v>
                </c:pt>
                <c:pt idx="17">
                  <c:v>1591</c:v>
                </c:pt>
                <c:pt idx="18">
                  <c:v>1712</c:v>
                </c:pt>
                <c:pt idx="19">
                  <c:v>1992</c:v>
                </c:pt>
                <c:pt idx="20">
                  <c:v>2488</c:v>
                </c:pt>
                <c:pt idx="21">
                  <c:v>3000</c:v>
                </c:pt>
                <c:pt idx="22">
                  <c:v>3787</c:v>
                </c:pt>
                <c:pt idx="23">
                  <c:v>3782</c:v>
                </c:pt>
              </c:numCache>
            </c:numRef>
          </c:val>
          <c:smooth val="0"/>
          <c:extLst>
            <c:ext xmlns:c16="http://schemas.microsoft.com/office/drawing/2014/chart" uri="{C3380CC4-5D6E-409C-BE32-E72D297353CC}">
              <c16:uniqueId val="{00000001-EA4C-5B46-B042-D4488EBF9185}"/>
            </c:ext>
          </c:extLst>
        </c:ser>
        <c:ser>
          <c:idx val="2"/>
          <c:order val="2"/>
          <c:tx>
            <c:strRef>
              <c:f>Temporal_evoluation!$A$4</c:f>
              <c:strCache>
                <c:ptCount val="1"/>
                <c:pt idx="0">
                  <c:v>Container &amp; Orchestration</c:v>
                </c:pt>
              </c:strCache>
            </c:strRef>
          </c:tx>
          <c:spPr>
            <a:ln w="3175"/>
          </c:spPr>
          <c:marker>
            <c:spPr>
              <a:ln w="3175"/>
            </c:spPr>
          </c:marker>
          <c:cat>
            <c:numRef>
              <c:f>Temporal_evoluation!$C$1:$Z$1</c:f>
              <c:numCache>
                <c:formatCode>mmm\-yy</c:formatCode>
                <c:ptCount val="24"/>
                <c:pt idx="0" formatCode="[$-409]d\-mmm\-yyyy;@">
                  <c:v>39630</c:v>
                </c:pt>
                <c:pt idx="1">
                  <c:v>39814</c:v>
                </c:pt>
                <c:pt idx="2">
                  <c:v>39995</c:v>
                </c:pt>
                <c:pt idx="3">
                  <c:v>40179</c:v>
                </c:pt>
                <c:pt idx="4">
                  <c:v>40330</c:v>
                </c:pt>
                <c:pt idx="5">
                  <c:v>40544</c:v>
                </c:pt>
                <c:pt idx="6">
                  <c:v>40725</c:v>
                </c:pt>
                <c:pt idx="7">
                  <c:v>40909</c:v>
                </c:pt>
                <c:pt idx="8">
                  <c:v>41091</c:v>
                </c:pt>
                <c:pt idx="9">
                  <c:v>41275</c:v>
                </c:pt>
                <c:pt idx="10">
                  <c:v>41456</c:v>
                </c:pt>
                <c:pt idx="11">
                  <c:v>41640</c:v>
                </c:pt>
                <c:pt idx="12">
                  <c:v>41821</c:v>
                </c:pt>
                <c:pt idx="13">
                  <c:v>42005</c:v>
                </c:pt>
                <c:pt idx="14">
                  <c:v>42186</c:v>
                </c:pt>
                <c:pt idx="15">
                  <c:v>42370</c:v>
                </c:pt>
                <c:pt idx="16">
                  <c:v>42552</c:v>
                </c:pt>
                <c:pt idx="17">
                  <c:v>42736</c:v>
                </c:pt>
                <c:pt idx="18">
                  <c:v>42917</c:v>
                </c:pt>
                <c:pt idx="19">
                  <c:v>43101</c:v>
                </c:pt>
                <c:pt idx="20">
                  <c:v>43282</c:v>
                </c:pt>
                <c:pt idx="21">
                  <c:v>43466</c:v>
                </c:pt>
                <c:pt idx="22">
                  <c:v>43647</c:v>
                </c:pt>
                <c:pt idx="23">
                  <c:v>43831</c:v>
                </c:pt>
              </c:numCache>
            </c:numRef>
          </c:cat>
          <c:val>
            <c:numRef>
              <c:f>Temporal_evoluation!$C$4:$Z$4</c:f>
              <c:numCache>
                <c:formatCode>General</c:formatCode>
                <c:ptCount val="24"/>
                <c:pt idx="0">
                  <c:v>4</c:v>
                </c:pt>
                <c:pt idx="1">
                  <c:v>1</c:v>
                </c:pt>
                <c:pt idx="2">
                  <c:v>5</c:v>
                </c:pt>
                <c:pt idx="3">
                  <c:v>3</c:v>
                </c:pt>
                <c:pt idx="4">
                  <c:v>2</c:v>
                </c:pt>
                <c:pt idx="5">
                  <c:v>10</c:v>
                </c:pt>
                <c:pt idx="6">
                  <c:v>12</c:v>
                </c:pt>
                <c:pt idx="7">
                  <c:v>23</c:v>
                </c:pt>
                <c:pt idx="8">
                  <c:v>31</c:v>
                </c:pt>
                <c:pt idx="9">
                  <c:v>36</c:v>
                </c:pt>
                <c:pt idx="10">
                  <c:v>59</c:v>
                </c:pt>
                <c:pt idx="11">
                  <c:v>60</c:v>
                </c:pt>
                <c:pt idx="12">
                  <c:v>125</c:v>
                </c:pt>
                <c:pt idx="13">
                  <c:v>261</c:v>
                </c:pt>
                <c:pt idx="14">
                  <c:v>759</c:v>
                </c:pt>
                <c:pt idx="15">
                  <c:v>1015</c:v>
                </c:pt>
                <c:pt idx="16">
                  <c:v>1056</c:v>
                </c:pt>
                <c:pt idx="17">
                  <c:v>1609</c:v>
                </c:pt>
                <c:pt idx="18">
                  <c:v>2115</c:v>
                </c:pt>
                <c:pt idx="19">
                  <c:v>2935</c:v>
                </c:pt>
                <c:pt idx="20">
                  <c:v>4008</c:v>
                </c:pt>
                <c:pt idx="21">
                  <c:v>4420</c:v>
                </c:pt>
                <c:pt idx="22">
                  <c:v>4936</c:v>
                </c:pt>
                <c:pt idx="23">
                  <c:v>4899</c:v>
                </c:pt>
              </c:numCache>
            </c:numRef>
          </c:val>
          <c:smooth val="0"/>
          <c:extLst>
            <c:ext xmlns:c16="http://schemas.microsoft.com/office/drawing/2014/chart" uri="{C3380CC4-5D6E-409C-BE32-E72D297353CC}">
              <c16:uniqueId val="{00000002-EA4C-5B46-B042-D4488EBF9185}"/>
            </c:ext>
          </c:extLst>
        </c:ser>
        <c:ser>
          <c:idx val="3"/>
          <c:order val="3"/>
          <c:tx>
            <c:strRef>
              <c:f>Temporal_evoluation!$A$5</c:f>
              <c:strCache>
                <c:ptCount val="1"/>
                <c:pt idx="0">
                  <c:v>Infra as a Code</c:v>
                </c:pt>
              </c:strCache>
            </c:strRef>
          </c:tx>
          <c:spPr>
            <a:ln w="3175"/>
          </c:spPr>
          <c:marker>
            <c:spPr>
              <a:ln w="3175"/>
            </c:spPr>
          </c:marker>
          <c:cat>
            <c:numRef>
              <c:f>Temporal_evoluation!$C$1:$Z$1</c:f>
              <c:numCache>
                <c:formatCode>mmm\-yy</c:formatCode>
                <c:ptCount val="24"/>
                <c:pt idx="0" formatCode="[$-409]d\-mmm\-yyyy;@">
                  <c:v>39630</c:v>
                </c:pt>
                <c:pt idx="1">
                  <c:v>39814</c:v>
                </c:pt>
                <c:pt idx="2">
                  <c:v>39995</c:v>
                </c:pt>
                <c:pt idx="3">
                  <c:v>40179</c:v>
                </c:pt>
                <c:pt idx="4">
                  <c:v>40330</c:v>
                </c:pt>
                <c:pt idx="5">
                  <c:v>40544</c:v>
                </c:pt>
                <c:pt idx="6">
                  <c:v>40725</c:v>
                </c:pt>
                <c:pt idx="7">
                  <c:v>40909</c:v>
                </c:pt>
                <c:pt idx="8">
                  <c:v>41091</c:v>
                </c:pt>
                <c:pt idx="9">
                  <c:v>41275</c:v>
                </c:pt>
                <c:pt idx="10">
                  <c:v>41456</c:v>
                </c:pt>
                <c:pt idx="11">
                  <c:v>41640</c:v>
                </c:pt>
                <c:pt idx="12">
                  <c:v>41821</c:v>
                </c:pt>
                <c:pt idx="13">
                  <c:v>42005</c:v>
                </c:pt>
                <c:pt idx="14">
                  <c:v>42186</c:v>
                </c:pt>
                <c:pt idx="15">
                  <c:v>42370</c:v>
                </c:pt>
                <c:pt idx="16">
                  <c:v>42552</c:v>
                </c:pt>
                <c:pt idx="17">
                  <c:v>42736</c:v>
                </c:pt>
                <c:pt idx="18">
                  <c:v>42917</c:v>
                </c:pt>
                <c:pt idx="19">
                  <c:v>43101</c:v>
                </c:pt>
                <c:pt idx="20">
                  <c:v>43282</c:v>
                </c:pt>
                <c:pt idx="21">
                  <c:v>43466</c:v>
                </c:pt>
                <c:pt idx="22">
                  <c:v>43647</c:v>
                </c:pt>
                <c:pt idx="23">
                  <c:v>43831</c:v>
                </c:pt>
              </c:numCache>
            </c:numRef>
          </c:cat>
          <c:val>
            <c:numRef>
              <c:f>Temporal_evoluation!$C$5:$Z$5</c:f>
              <c:numCache>
                <c:formatCode>General</c:formatCode>
                <c:ptCount val="24"/>
                <c:pt idx="0">
                  <c:v>12</c:v>
                </c:pt>
                <c:pt idx="1">
                  <c:v>13</c:v>
                </c:pt>
                <c:pt idx="2">
                  <c:v>14</c:v>
                </c:pt>
                <c:pt idx="3">
                  <c:v>19</c:v>
                </c:pt>
                <c:pt idx="4">
                  <c:v>43</c:v>
                </c:pt>
                <c:pt idx="5">
                  <c:v>112</c:v>
                </c:pt>
                <c:pt idx="6">
                  <c:v>161</c:v>
                </c:pt>
                <c:pt idx="7">
                  <c:v>318</c:v>
                </c:pt>
                <c:pt idx="8">
                  <c:v>529</c:v>
                </c:pt>
                <c:pt idx="9">
                  <c:v>824</c:v>
                </c:pt>
                <c:pt idx="10">
                  <c:v>1028</c:v>
                </c:pt>
                <c:pt idx="11">
                  <c:v>1484</c:v>
                </c:pt>
                <c:pt idx="12">
                  <c:v>1606</c:v>
                </c:pt>
                <c:pt idx="13">
                  <c:v>2100</c:v>
                </c:pt>
                <c:pt idx="14">
                  <c:v>2269</c:v>
                </c:pt>
                <c:pt idx="15">
                  <c:v>2919</c:v>
                </c:pt>
                <c:pt idx="16">
                  <c:v>3160</c:v>
                </c:pt>
                <c:pt idx="17">
                  <c:v>3814</c:v>
                </c:pt>
                <c:pt idx="18">
                  <c:v>3873</c:v>
                </c:pt>
                <c:pt idx="19">
                  <c:v>3999</c:v>
                </c:pt>
                <c:pt idx="20">
                  <c:v>4446</c:v>
                </c:pt>
                <c:pt idx="21">
                  <c:v>5441</c:v>
                </c:pt>
                <c:pt idx="22">
                  <c:v>6317</c:v>
                </c:pt>
                <c:pt idx="23">
                  <c:v>6030</c:v>
                </c:pt>
              </c:numCache>
            </c:numRef>
          </c:val>
          <c:smooth val="0"/>
          <c:extLst>
            <c:ext xmlns:c16="http://schemas.microsoft.com/office/drawing/2014/chart" uri="{C3380CC4-5D6E-409C-BE32-E72D297353CC}">
              <c16:uniqueId val="{00000003-EA4C-5B46-B042-D4488EBF9185}"/>
            </c:ext>
          </c:extLst>
        </c:ser>
        <c:ser>
          <c:idx val="4"/>
          <c:order val="4"/>
          <c:tx>
            <c:strRef>
              <c:f>Temporal_evoluation!$A$6</c:f>
              <c:strCache>
                <c:ptCount val="1"/>
                <c:pt idx="0">
                  <c:v>Quality Assurance</c:v>
                </c:pt>
              </c:strCache>
            </c:strRef>
          </c:tx>
          <c:spPr>
            <a:ln w="3175"/>
          </c:spPr>
          <c:marker>
            <c:spPr>
              <a:ln w="3175"/>
            </c:spPr>
          </c:marker>
          <c:cat>
            <c:numRef>
              <c:f>Temporal_evoluation!$C$1:$Z$1</c:f>
              <c:numCache>
                <c:formatCode>mmm\-yy</c:formatCode>
                <c:ptCount val="24"/>
                <c:pt idx="0" formatCode="[$-409]d\-mmm\-yyyy;@">
                  <c:v>39630</c:v>
                </c:pt>
                <c:pt idx="1">
                  <c:v>39814</c:v>
                </c:pt>
                <c:pt idx="2">
                  <c:v>39995</c:v>
                </c:pt>
                <c:pt idx="3">
                  <c:v>40179</c:v>
                </c:pt>
                <c:pt idx="4">
                  <c:v>40330</c:v>
                </c:pt>
                <c:pt idx="5">
                  <c:v>40544</c:v>
                </c:pt>
                <c:pt idx="6">
                  <c:v>40725</c:v>
                </c:pt>
                <c:pt idx="7">
                  <c:v>40909</c:v>
                </c:pt>
                <c:pt idx="8">
                  <c:v>41091</c:v>
                </c:pt>
                <c:pt idx="9">
                  <c:v>41275</c:v>
                </c:pt>
                <c:pt idx="10">
                  <c:v>41456</c:v>
                </c:pt>
                <c:pt idx="11">
                  <c:v>41640</c:v>
                </c:pt>
                <c:pt idx="12">
                  <c:v>41821</c:v>
                </c:pt>
                <c:pt idx="13">
                  <c:v>42005</c:v>
                </c:pt>
                <c:pt idx="14">
                  <c:v>42186</c:v>
                </c:pt>
                <c:pt idx="15">
                  <c:v>42370</c:v>
                </c:pt>
                <c:pt idx="16">
                  <c:v>42552</c:v>
                </c:pt>
                <c:pt idx="17">
                  <c:v>42736</c:v>
                </c:pt>
                <c:pt idx="18">
                  <c:v>42917</c:v>
                </c:pt>
                <c:pt idx="19">
                  <c:v>43101</c:v>
                </c:pt>
                <c:pt idx="20">
                  <c:v>43282</c:v>
                </c:pt>
                <c:pt idx="21">
                  <c:v>43466</c:v>
                </c:pt>
                <c:pt idx="22">
                  <c:v>43647</c:v>
                </c:pt>
                <c:pt idx="23">
                  <c:v>43831</c:v>
                </c:pt>
              </c:numCache>
            </c:numRef>
          </c:cat>
          <c:val>
            <c:numRef>
              <c:f>Temporal_evoluation!$C$6:$Z$6</c:f>
              <c:numCache>
                <c:formatCode>General</c:formatCode>
                <c:ptCount val="24"/>
                <c:pt idx="0">
                  <c:v>22</c:v>
                </c:pt>
                <c:pt idx="1">
                  <c:v>27</c:v>
                </c:pt>
                <c:pt idx="2">
                  <c:v>45</c:v>
                </c:pt>
                <c:pt idx="3">
                  <c:v>49</c:v>
                </c:pt>
                <c:pt idx="4">
                  <c:v>47</c:v>
                </c:pt>
                <c:pt idx="5">
                  <c:v>103</c:v>
                </c:pt>
                <c:pt idx="6">
                  <c:v>159</c:v>
                </c:pt>
                <c:pt idx="7">
                  <c:v>251</c:v>
                </c:pt>
                <c:pt idx="8">
                  <c:v>309</c:v>
                </c:pt>
                <c:pt idx="9">
                  <c:v>382</c:v>
                </c:pt>
                <c:pt idx="10">
                  <c:v>439</c:v>
                </c:pt>
                <c:pt idx="11">
                  <c:v>446</c:v>
                </c:pt>
                <c:pt idx="12">
                  <c:v>391</c:v>
                </c:pt>
                <c:pt idx="13">
                  <c:v>520</c:v>
                </c:pt>
                <c:pt idx="14">
                  <c:v>575</c:v>
                </c:pt>
                <c:pt idx="15">
                  <c:v>730</c:v>
                </c:pt>
                <c:pt idx="16">
                  <c:v>732</c:v>
                </c:pt>
                <c:pt idx="17">
                  <c:v>815</c:v>
                </c:pt>
                <c:pt idx="18">
                  <c:v>853</c:v>
                </c:pt>
                <c:pt idx="19">
                  <c:v>799</c:v>
                </c:pt>
                <c:pt idx="20">
                  <c:v>734</c:v>
                </c:pt>
                <c:pt idx="21">
                  <c:v>798</c:v>
                </c:pt>
                <c:pt idx="22">
                  <c:v>976</c:v>
                </c:pt>
                <c:pt idx="23">
                  <c:v>859</c:v>
                </c:pt>
              </c:numCache>
            </c:numRef>
          </c:val>
          <c:smooth val="0"/>
          <c:extLst>
            <c:ext xmlns:c16="http://schemas.microsoft.com/office/drawing/2014/chart" uri="{C3380CC4-5D6E-409C-BE32-E72D297353CC}">
              <c16:uniqueId val="{00000004-EA4C-5B46-B042-D4488EBF9185}"/>
            </c:ext>
          </c:extLst>
        </c:ser>
        <c:dLbls>
          <c:showLegendKey val="0"/>
          <c:showVal val="0"/>
          <c:showCatName val="0"/>
          <c:showSerName val="0"/>
          <c:showPercent val="0"/>
          <c:showBubbleSize val="0"/>
        </c:dLbls>
        <c:marker val="1"/>
        <c:smooth val="0"/>
        <c:axId val="33959296"/>
        <c:axId val="124471552"/>
      </c:lineChart>
      <c:dateAx>
        <c:axId val="33959296"/>
        <c:scaling>
          <c:orientation val="minMax"/>
          <c:min val="39630"/>
        </c:scaling>
        <c:delete val="0"/>
        <c:axPos val="b"/>
        <c:numFmt formatCode="[$-409]mmm\-yy;@" sourceLinked="0"/>
        <c:majorTickMark val="none"/>
        <c:minorTickMark val="none"/>
        <c:tickLblPos val="nextTo"/>
        <c:crossAx val="124471552"/>
        <c:crosses val="autoZero"/>
        <c:auto val="1"/>
        <c:lblOffset val="100"/>
        <c:baseTimeUnit val="months"/>
        <c:majorUnit val="6"/>
        <c:majorTimeUnit val="months"/>
      </c:dateAx>
      <c:valAx>
        <c:axId val="124471552"/>
        <c:scaling>
          <c:orientation val="minMax"/>
        </c:scaling>
        <c:delete val="0"/>
        <c:axPos val="l"/>
        <c:majorGridlines/>
        <c:title>
          <c:tx>
            <c:rich>
              <a:bodyPr/>
              <a:lstStyle/>
              <a:p>
                <a:pPr>
                  <a:defRPr b="0"/>
                </a:pPr>
                <a:r>
                  <a:rPr lang="en-US" b="0"/>
                  <a:t># of questions</a:t>
                </a:r>
              </a:p>
            </c:rich>
          </c:tx>
          <c:overlay val="0"/>
        </c:title>
        <c:numFmt formatCode="General" sourceLinked="1"/>
        <c:majorTickMark val="none"/>
        <c:minorTickMark val="none"/>
        <c:tickLblPos val="nextTo"/>
        <c:crossAx val="3395929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4"/>
          <c:order val="4"/>
          <c:tx>
            <c:strRef>
              <c:f>Temporal_evoluation!$A$6</c:f>
              <c:strCache>
                <c:ptCount val="1"/>
                <c:pt idx="0">
                  <c:v>Quality Assurance</c:v>
                </c:pt>
              </c:strCache>
            </c:strRef>
          </c:tx>
          <c:spPr>
            <a:solidFill>
              <a:schemeClr val="accent5"/>
            </a:solidFill>
            <a:ln>
              <a:noFill/>
            </a:ln>
            <a:effectLst/>
          </c:spPr>
          <c:invertIfNegative val="0"/>
          <c:cat>
            <c:numRef>
              <c:f>Temporal_evoluation!$C$1:$Z$1</c:f>
              <c:numCache>
                <c:formatCode>mmm\-yy</c:formatCode>
                <c:ptCount val="24"/>
                <c:pt idx="0" formatCode="[$-409]d\-mmm\-yyyy;@">
                  <c:v>39630</c:v>
                </c:pt>
                <c:pt idx="1">
                  <c:v>39814</c:v>
                </c:pt>
                <c:pt idx="2">
                  <c:v>39995</c:v>
                </c:pt>
                <c:pt idx="3">
                  <c:v>40179</c:v>
                </c:pt>
                <c:pt idx="4">
                  <c:v>40330</c:v>
                </c:pt>
                <c:pt idx="5">
                  <c:v>40544</c:v>
                </c:pt>
                <c:pt idx="6">
                  <c:v>40725</c:v>
                </c:pt>
                <c:pt idx="7">
                  <c:v>40909</c:v>
                </c:pt>
                <c:pt idx="8">
                  <c:v>41091</c:v>
                </c:pt>
                <c:pt idx="9">
                  <c:v>41275</c:v>
                </c:pt>
                <c:pt idx="10">
                  <c:v>41456</c:v>
                </c:pt>
                <c:pt idx="11">
                  <c:v>41640</c:v>
                </c:pt>
                <c:pt idx="12">
                  <c:v>41821</c:v>
                </c:pt>
                <c:pt idx="13">
                  <c:v>42005</c:v>
                </c:pt>
                <c:pt idx="14">
                  <c:v>42186</c:v>
                </c:pt>
                <c:pt idx="15">
                  <c:v>42370</c:v>
                </c:pt>
                <c:pt idx="16">
                  <c:v>42552</c:v>
                </c:pt>
                <c:pt idx="17">
                  <c:v>42736</c:v>
                </c:pt>
                <c:pt idx="18">
                  <c:v>42917</c:v>
                </c:pt>
                <c:pt idx="19">
                  <c:v>43101</c:v>
                </c:pt>
                <c:pt idx="20">
                  <c:v>43282</c:v>
                </c:pt>
                <c:pt idx="21">
                  <c:v>43466</c:v>
                </c:pt>
                <c:pt idx="22">
                  <c:v>43647</c:v>
                </c:pt>
                <c:pt idx="23">
                  <c:v>43831</c:v>
                </c:pt>
              </c:numCache>
            </c:numRef>
          </c:cat>
          <c:val>
            <c:numRef>
              <c:f>Temporal_evoluation!$C$6:$Z$6</c:f>
              <c:numCache>
                <c:formatCode>General</c:formatCode>
                <c:ptCount val="24"/>
                <c:pt idx="0">
                  <c:v>22</c:v>
                </c:pt>
                <c:pt idx="1">
                  <c:v>27</c:v>
                </c:pt>
                <c:pt idx="2">
                  <c:v>45</c:v>
                </c:pt>
                <c:pt idx="3">
                  <c:v>49</c:v>
                </c:pt>
                <c:pt idx="4">
                  <c:v>47</c:v>
                </c:pt>
                <c:pt idx="5">
                  <c:v>103</c:v>
                </c:pt>
                <c:pt idx="6">
                  <c:v>159</c:v>
                </c:pt>
                <c:pt idx="7">
                  <c:v>251</c:v>
                </c:pt>
                <c:pt idx="8">
                  <c:v>309</c:v>
                </c:pt>
                <c:pt idx="9">
                  <c:v>382</c:v>
                </c:pt>
                <c:pt idx="10">
                  <c:v>439</c:v>
                </c:pt>
                <c:pt idx="11">
                  <c:v>446</c:v>
                </c:pt>
                <c:pt idx="12">
                  <c:v>391</c:v>
                </c:pt>
                <c:pt idx="13">
                  <c:v>520</c:v>
                </c:pt>
                <c:pt idx="14">
                  <c:v>575</c:v>
                </c:pt>
                <c:pt idx="15">
                  <c:v>730</c:v>
                </c:pt>
                <c:pt idx="16">
                  <c:v>732</c:v>
                </c:pt>
                <c:pt idx="17">
                  <c:v>815</c:v>
                </c:pt>
                <c:pt idx="18">
                  <c:v>853</c:v>
                </c:pt>
                <c:pt idx="19">
                  <c:v>799</c:v>
                </c:pt>
                <c:pt idx="20">
                  <c:v>734</c:v>
                </c:pt>
                <c:pt idx="21">
                  <c:v>798</c:v>
                </c:pt>
                <c:pt idx="22">
                  <c:v>976</c:v>
                </c:pt>
                <c:pt idx="23">
                  <c:v>859</c:v>
                </c:pt>
              </c:numCache>
            </c:numRef>
          </c:val>
          <c:extLst>
            <c:ext xmlns:c16="http://schemas.microsoft.com/office/drawing/2014/chart" uri="{C3380CC4-5D6E-409C-BE32-E72D297353CC}">
              <c16:uniqueId val="{00000000-1093-6A42-87D5-3987E7C3AC58}"/>
            </c:ext>
          </c:extLst>
        </c:ser>
        <c:ser>
          <c:idx val="0"/>
          <c:order val="0"/>
          <c:tx>
            <c:strRef>
              <c:f>Temporal_evoluation!$A$2</c:f>
              <c:strCache>
                <c:ptCount val="1"/>
                <c:pt idx="0">
                  <c:v>CI/CD Tool</c:v>
                </c:pt>
              </c:strCache>
            </c:strRef>
          </c:tx>
          <c:spPr>
            <a:solidFill>
              <a:schemeClr val="accent1"/>
            </a:solidFill>
            <a:ln>
              <a:noFill/>
            </a:ln>
            <a:effectLst/>
          </c:spPr>
          <c:invertIfNegative val="0"/>
          <c:cat>
            <c:numRef>
              <c:f>Temporal_evoluation!$C$1:$Z$1</c:f>
              <c:numCache>
                <c:formatCode>mmm\-yy</c:formatCode>
                <c:ptCount val="24"/>
                <c:pt idx="0" formatCode="[$-409]d\-mmm\-yyyy;@">
                  <c:v>39630</c:v>
                </c:pt>
                <c:pt idx="1">
                  <c:v>39814</c:v>
                </c:pt>
                <c:pt idx="2">
                  <c:v>39995</c:v>
                </c:pt>
                <c:pt idx="3">
                  <c:v>40179</c:v>
                </c:pt>
                <c:pt idx="4">
                  <c:v>40330</c:v>
                </c:pt>
                <c:pt idx="5">
                  <c:v>40544</c:v>
                </c:pt>
                <c:pt idx="6">
                  <c:v>40725</c:v>
                </c:pt>
                <c:pt idx="7">
                  <c:v>40909</c:v>
                </c:pt>
                <c:pt idx="8">
                  <c:v>41091</c:v>
                </c:pt>
                <c:pt idx="9">
                  <c:v>41275</c:v>
                </c:pt>
                <c:pt idx="10">
                  <c:v>41456</c:v>
                </c:pt>
                <c:pt idx="11">
                  <c:v>41640</c:v>
                </c:pt>
                <c:pt idx="12">
                  <c:v>41821</c:v>
                </c:pt>
                <c:pt idx="13">
                  <c:v>42005</c:v>
                </c:pt>
                <c:pt idx="14">
                  <c:v>42186</c:v>
                </c:pt>
                <c:pt idx="15">
                  <c:v>42370</c:v>
                </c:pt>
                <c:pt idx="16">
                  <c:v>42552</c:v>
                </c:pt>
                <c:pt idx="17">
                  <c:v>42736</c:v>
                </c:pt>
                <c:pt idx="18">
                  <c:v>42917</c:v>
                </c:pt>
                <c:pt idx="19">
                  <c:v>43101</c:v>
                </c:pt>
                <c:pt idx="20">
                  <c:v>43282</c:v>
                </c:pt>
                <c:pt idx="21">
                  <c:v>43466</c:v>
                </c:pt>
                <c:pt idx="22">
                  <c:v>43647</c:v>
                </c:pt>
                <c:pt idx="23">
                  <c:v>43831</c:v>
                </c:pt>
              </c:numCache>
            </c:numRef>
          </c:cat>
          <c:val>
            <c:numRef>
              <c:f>Temporal_evoluation!$C$2:$Z$2</c:f>
              <c:numCache>
                <c:formatCode>General</c:formatCode>
                <c:ptCount val="24"/>
                <c:pt idx="0">
                  <c:v>32</c:v>
                </c:pt>
                <c:pt idx="1">
                  <c:v>62</c:v>
                </c:pt>
                <c:pt idx="2">
                  <c:v>88</c:v>
                </c:pt>
                <c:pt idx="3">
                  <c:v>91</c:v>
                </c:pt>
                <c:pt idx="4">
                  <c:v>150</c:v>
                </c:pt>
                <c:pt idx="5">
                  <c:v>275</c:v>
                </c:pt>
                <c:pt idx="6">
                  <c:v>437</c:v>
                </c:pt>
                <c:pt idx="7">
                  <c:v>720</c:v>
                </c:pt>
                <c:pt idx="8">
                  <c:v>932</c:v>
                </c:pt>
                <c:pt idx="9">
                  <c:v>1206</c:v>
                </c:pt>
                <c:pt idx="10">
                  <c:v>1459</c:v>
                </c:pt>
                <c:pt idx="11">
                  <c:v>1603</c:v>
                </c:pt>
                <c:pt idx="12">
                  <c:v>1741</c:v>
                </c:pt>
                <c:pt idx="13">
                  <c:v>2198</c:v>
                </c:pt>
                <c:pt idx="14">
                  <c:v>2496</c:v>
                </c:pt>
                <c:pt idx="15">
                  <c:v>3295</c:v>
                </c:pt>
                <c:pt idx="16">
                  <c:v>3735</c:v>
                </c:pt>
                <c:pt idx="17">
                  <c:v>4645</c:v>
                </c:pt>
                <c:pt idx="18">
                  <c:v>4746</c:v>
                </c:pt>
                <c:pt idx="19">
                  <c:v>5009</c:v>
                </c:pt>
                <c:pt idx="20">
                  <c:v>5107</c:v>
                </c:pt>
                <c:pt idx="21">
                  <c:v>5337</c:v>
                </c:pt>
                <c:pt idx="22">
                  <c:v>6294</c:v>
                </c:pt>
                <c:pt idx="23">
                  <c:v>6302</c:v>
                </c:pt>
              </c:numCache>
            </c:numRef>
          </c:val>
          <c:extLst>
            <c:ext xmlns:c16="http://schemas.microsoft.com/office/drawing/2014/chart" uri="{C3380CC4-5D6E-409C-BE32-E72D297353CC}">
              <c16:uniqueId val="{00000001-1093-6A42-87D5-3987E7C3AC58}"/>
            </c:ext>
          </c:extLst>
        </c:ser>
        <c:ser>
          <c:idx val="1"/>
          <c:order val="1"/>
          <c:tx>
            <c:strRef>
              <c:f>Temporal_evoluation!$A$3</c:f>
              <c:strCache>
                <c:ptCount val="1"/>
                <c:pt idx="0">
                  <c:v>Cloud CI/CD</c:v>
                </c:pt>
              </c:strCache>
            </c:strRef>
          </c:tx>
          <c:spPr>
            <a:solidFill>
              <a:schemeClr val="accent2"/>
            </a:solidFill>
            <a:ln>
              <a:noFill/>
            </a:ln>
            <a:effectLst/>
          </c:spPr>
          <c:invertIfNegative val="0"/>
          <c:cat>
            <c:numRef>
              <c:f>Temporal_evoluation!$C$1:$Z$1</c:f>
              <c:numCache>
                <c:formatCode>mmm\-yy</c:formatCode>
                <c:ptCount val="24"/>
                <c:pt idx="0" formatCode="[$-409]d\-mmm\-yyyy;@">
                  <c:v>39630</c:v>
                </c:pt>
                <c:pt idx="1">
                  <c:v>39814</c:v>
                </c:pt>
                <c:pt idx="2">
                  <c:v>39995</c:v>
                </c:pt>
                <c:pt idx="3">
                  <c:v>40179</c:v>
                </c:pt>
                <c:pt idx="4">
                  <c:v>40330</c:v>
                </c:pt>
                <c:pt idx="5">
                  <c:v>40544</c:v>
                </c:pt>
                <c:pt idx="6">
                  <c:v>40725</c:v>
                </c:pt>
                <c:pt idx="7">
                  <c:v>40909</c:v>
                </c:pt>
                <c:pt idx="8">
                  <c:v>41091</c:v>
                </c:pt>
                <c:pt idx="9">
                  <c:v>41275</c:v>
                </c:pt>
                <c:pt idx="10">
                  <c:v>41456</c:v>
                </c:pt>
                <c:pt idx="11">
                  <c:v>41640</c:v>
                </c:pt>
                <c:pt idx="12">
                  <c:v>41821</c:v>
                </c:pt>
                <c:pt idx="13">
                  <c:v>42005</c:v>
                </c:pt>
                <c:pt idx="14">
                  <c:v>42186</c:v>
                </c:pt>
                <c:pt idx="15">
                  <c:v>42370</c:v>
                </c:pt>
                <c:pt idx="16">
                  <c:v>42552</c:v>
                </c:pt>
                <c:pt idx="17">
                  <c:v>42736</c:v>
                </c:pt>
                <c:pt idx="18">
                  <c:v>42917</c:v>
                </c:pt>
                <c:pt idx="19">
                  <c:v>43101</c:v>
                </c:pt>
                <c:pt idx="20">
                  <c:v>43282</c:v>
                </c:pt>
                <c:pt idx="21">
                  <c:v>43466</c:v>
                </c:pt>
                <c:pt idx="22">
                  <c:v>43647</c:v>
                </c:pt>
                <c:pt idx="23">
                  <c:v>43831</c:v>
                </c:pt>
              </c:numCache>
            </c:numRef>
          </c:cat>
          <c:val>
            <c:numRef>
              <c:f>Temporal_evoluation!$C$3:$Z$3</c:f>
              <c:numCache>
                <c:formatCode>General</c:formatCode>
                <c:ptCount val="24"/>
                <c:pt idx="0">
                  <c:v>48</c:v>
                </c:pt>
                <c:pt idx="1">
                  <c:v>82</c:v>
                </c:pt>
                <c:pt idx="2">
                  <c:v>75</c:v>
                </c:pt>
                <c:pt idx="3">
                  <c:v>114</c:v>
                </c:pt>
                <c:pt idx="4">
                  <c:v>90</c:v>
                </c:pt>
                <c:pt idx="5">
                  <c:v>109</c:v>
                </c:pt>
                <c:pt idx="6">
                  <c:v>146</c:v>
                </c:pt>
                <c:pt idx="7">
                  <c:v>177</c:v>
                </c:pt>
                <c:pt idx="8">
                  <c:v>222</c:v>
                </c:pt>
                <c:pt idx="9">
                  <c:v>268</c:v>
                </c:pt>
                <c:pt idx="10">
                  <c:v>293</c:v>
                </c:pt>
                <c:pt idx="11">
                  <c:v>396</c:v>
                </c:pt>
                <c:pt idx="12">
                  <c:v>447</c:v>
                </c:pt>
                <c:pt idx="13">
                  <c:v>791</c:v>
                </c:pt>
                <c:pt idx="14">
                  <c:v>1480</c:v>
                </c:pt>
                <c:pt idx="15">
                  <c:v>1953</c:v>
                </c:pt>
                <c:pt idx="16">
                  <c:v>1706</c:v>
                </c:pt>
                <c:pt idx="17">
                  <c:v>1591</c:v>
                </c:pt>
                <c:pt idx="18">
                  <c:v>1712</c:v>
                </c:pt>
                <c:pt idx="19">
                  <c:v>1992</c:v>
                </c:pt>
                <c:pt idx="20">
                  <c:v>2488</c:v>
                </c:pt>
                <c:pt idx="21">
                  <c:v>3000</c:v>
                </c:pt>
                <c:pt idx="22">
                  <c:v>3787</c:v>
                </c:pt>
                <c:pt idx="23">
                  <c:v>3782</c:v>
                </c:pt>
              </c:numCache>
            </c:numRef>
          </c:val>
          <c:extLst>
            <c:ext xmlns:c16="http://schemas.microsoft.com/office/drawing/2014/chart" uri="{C3380CC4-5D6E-409C-BE32-E72D297353CC}">
              <c16:uniqueId val="{00000002-1093-6A42-87D5-3987E7C3AC58}"/>
            </c:ext>
          </c:extLst>
        </c:ser>
        <c:ser>
          <c:idx val="2"/>
          <c:order val="2"/>
          <c:tx>
            <c:strRef>
              <c:f>Temporal_evoluation!$A$4</c:f>
              <c:strCache>
                <c:ptCount val="1"/>
                <c:pt idx="0">
                  <c:v>Container &amp; Orchestration</c:v>
                </c:pt>
              </c:strCache>
            </c:strRef>
          </c:tx>
          <c:spPr>
            <a:solidFill>
              <a:schemeClr val="accent3"/>
            </a:solidFill>
            <a:ln>
              <a:noFill/>
            </a:ln>
            <a:effectLst/>
          </c:spPr>
          <c:invertIfNegative val="0"/>
          <c:cat>
            <c:numRef>
              <c:f>Temporal_evoluation!$C$1:$Z$1</c:f>
              <c:numCache>
                <c:formatCode>mmm\-yy</c:formatCode>
                <c:ptCount val="24"/>
                <c:pt idx="0" formatCode="[$-409]d\-mmm\-yyyy;@">
                  <c:v>39630</c:v>
                </c:pt>
                <c:pt idx="1">
                  <c:v>39814</c:v>
                </c:pt>
                <c:pt idx="2">
                  <c:v>39995</c:v>
                </c:pt>
                <c:pt idx="3">
                  <c:v>40179</c:v>
                </c:pt>
                <c:pt idx="4">
                  <c:v>40330</c:v>
                </c:pt>
                <c:pt idx="5">
                  <c:v>40544</c:v>
                </c:pt>
                <c:pt idx="6">
                  <c:v>40725</c:v>
                </c:pt>
                <c:pt idx="7">
                  <c:v>40909</c:v>
                </c:pt>
                <c:pt idx="8">
                  <c:v>41091</c:v>
                </c:pt>
                <c:pt idx="9">
                  <c:v>41275</c:v>
                </c:pt>
                <c:pt idx="10">
                  <c:v>41456</c:v>
                </c:pt>
                <c:pt idx="11">
                  <c:v>41640</c:v>
                </c:pt>
                <c:pt idx="12">
                  <c:v>41821</c:v>
                </c:pt>
                <c:pt idx="13">
                  <c:v>42005</c:v>
                </c:pt>
                <c:pt idx="14">
                  <c:v>42186</c:v>
                </c:pt>
                <c:pt idx="15">
                  <c:v>42370</c:v>
                </c:pt>
                <c:pt idx="16">
                  <c:v>42552</c:v>
                </c:pt>
                <c:pt idx="17">
                  <c:v>42736</c:v>
                </c:pt>
                <c:pt idx="18">
                  <c:v>42917</c:v>
                </c:pt>
                <c:pt idx="19">
                  <c:v>43101</c:v>
                </c:pt>
                <c:pt idx="20">
                  <c:v>43282</c:v>
                </c:pt>
                <c:pt idx="21">
                  <c:v>43466</c:v>
                </c:pt>
                <c:pt idx="22">
                  <c:v>43647</c:v>
                </c:pt>
                <c:pt idx="23">
                  <c:v>43831</c:v>
                </c:pt>
              </c:numCache>
            </c:numRef>
          </c:cat>
          <c:val>
            <c:numRef>
              <c:f>Temporal_evoluation!$C$4:$Z$4</c:f>
              <c:numCache>
                <c:formatCode>General</c:formatCode>
                <c:ptCount val="24"/>
                <c:pt idx="0">
                  <c:v>4</c:v>
                </c:pt>
                <c:pt idx="1">
                  <c:v>1</c:v>
                </c:pt>
                <c:pt idx="2">
                  <c:v>5</c:v>
                </c:pt>
                <c:pt idx="3">
                  <c:v>3</c:v>
                </c:pt>
                <c:pt idx="4">
                  <c:v>2</c:v>
                </c:pt>
                <c:pt idx="5">
                  <c:v>10</c:v>
                </c:pt>
                <c:pt idx="6">
                  <c:v>12</c:v>
                </c:pt>
                <c:pt idx="7">
                  <c:v>23</c:v>
                </c:pt>
                <c:pt idx="8">
                  <c:v>31</c:v>
                </c:pt>
                <c:pt idx="9">
                  <c:v>36</c:v>
                </c:pt>
                <c:pt idx="10">
                  <c:v>59</c:v>
                </c:pt>
                <c:pt idx="11">
                  <c:v>60</c:v>
                </c:pt>
                <c:pt idx="12">
                  <c:v>125</c:v>
                </c:pt>
                <c:pt idx="13">
                  <c:v>261</c:v>
                </c:pt>
                <c:pt idx="14">
                  <c:v>759</c:v>
                </c:pt>
                <c:pt idx="15">
                  <c:v>1015</c:v>
                </c:pt>
                <c:pt idx="16">
                  <c:v>1056</c:v>
                </c:pt>
                <c:pt idx="17">
                  <c:v>1609</c:v>
                </c:pt>
                <c:pt idx="18">
                  <c:v>2115</c:v>
                </c:pt>
                <c:pt idx="19">
                  <c:v>2935</c:v>
                </c:pt>
                <c:pt idx="20">
                  <c:v>4008</c:v>
                </c:pt>
                <c:pt idx="21">
                  <c:v>4420</c:v>
                </c:pt>
                <c:pt idx="22">
                  <c:v>4936</c:v>
                </c:pt>
                <c:pt idx="23">
                  <c:v>4899</c:v>
                </c:pt>
              </c:numCache>
            </c:numRef>
          </c:val>
          <c:extLst>
            <c:ext xmlns:c16="http://schemas.microsoft.com/office/drawing/2014/chart" uri="{C3380CC4-5D6E-409C-BE32-E72D297353CC}">
              <c16:uniqueId val="{00000003-1093-6A42-87D5-3987E7C3AC58}"/>
            </c:ext>
          </c:extLst>
        </c:ser>
        <c:ser>
          <c:idx val="3"/>
          <c:order val="3"/>
          <c:tx>
            <c:strRef>
              <c:f>Temporal_evoluation!$A$5</c:f>
              <c:strCache>
                <c:ptCount val="1"/>
                <c:pt idx="0">
                  <c:v>Infra as a Code</c:v>
                </c:pt>
              </c:strCache>
            </c:strRef>
          </c:tx>
          <c:spPr>
            <a:solidFill>
              <a:schemeClr val="accent4"/>
            </a:solidFill>
            <a:ln>
              <a:noFill/>
            </a:ln>
            <a:effectLst/>
          </c:spPr>
          <c:invertIfNegative val="0"/>
          <c:cat>
            <c:numRef>
              <c:f>Temporal_evoluation!$C$1:$Z$1</c:f>
              <c:numCache>
                <c:formatCode>mmm\-yy</c:formatCode>
                <c:ptCount val="24"/>
                <c:pt idx="0" formatCode="[$-409]d\-mmm\-yyyy;@">
                  <c:v>39630</c:v>
                </c:pt>
                <c:pt idx="1">
                  <c:v>39814</c:v>
                </c:pt>
                <c:pt idx="2">
                  <c:v>39995</c:v>
                </c:pt>
                <c:pt idx="3">
                  <c:v>40179</c:v>
                </c:pt>
                <c:pt idx="4">
                  <c:v>40330</c:v>
                </c:pt>
                <c:pt idx="5">
                  <c:v>40544</c:v>
                </c:pt>
                <c:pt idx="6">
                  <c:v>40725</c:v>
                </c:pt>
                <c:pt idx="7">
                  <c:v>40909</c:v>
                </c:pt>
                <c:pt idx="8">
                  <c:v>41091</c:v>
                </c:pt>
                <c:pt idx="9">
                  <c:v>41275</c:v>
                </c:pt>
                <c:pt idx="10">
                  <c:v>41456</c:v>
                </c:pt>
                <c:pt idx="11">
                  <c:v>41640</c:v>
                </c:pt>
                <c:pt idx="12">
                  <c:v>41821</c:v>
                </c:pt>
                <c:pt idx="13">
                  <c:v>42005</c:v>
                </c:pt>
                <c:pt idx="14">
                  <c:v>42186</c:v>
                </c:pt>
                <c:pt idx="15">
                  <c:v>42370</c:v>
                </c:pt>
                <c:pt idx="16">
                  <c:v>42552</c:v>
                </c:pt>
                <c:pt idx="17">
                  <c:v>42736</c:v>
                </c:pt>
                <c:pt idx="18">
                  <c:v>42917</c:v>
                </c:pt>
                <c:pt idx="19">
                  <c:v>43101</c:v>
                </c:pt>
                <c:pt idx="20">
                  <c:v>43282</c:v>
                </c:pt>
                <c:pt idx="21">
                  <c:v>43466</c:v>
                </c:pt>
                <c:pt idx="22">
                  <c:v>43647</c:v>
                </c:pt>
                <c:pt idx="23">
                  <c:v>43831</c:v>
                </c:pt>
              </c:numCache>
            </c:numRef>
          </c:cat>
          <c:val>
            <c:numRef>
              <c:f>Temporal_evoluation!$C$5:$Z$5</c:f>
              <c:numCache>
                <c:formatCode>General</c:formatCode>
                <c:ptCount val="24"/>
                <c:pt idx="0">
                  <c:v>12</c:v>
                </c:pt>
                <c:pt idx="1">
                  <c:v>13</c:v>
                </c:pt>
                <c:pt idx="2">
                  <c:v>14</c:v>
                </c:pt>
                <c:pt idx="3">
                  <c:v>19</c:v>
                </c:pt>
                <c:pt idx="4">
                  <c:v>43</c:v>
                </c:pt>
                <c:pt idx="5">
                  <c:v>112</c:v>
                </c:pt>
                <c:pt idx="6">
                  <c:v>161</c:v>
                </c:pt>
                <c:pt idx="7">
                  <c:v>318</c:v>
                </c:pt>
                <c:pt idx="8">
                  <c:v>529</c:v>
                </c:pt>
                <c:pt idx="9">
                  <c:v>824</c:v>
                </c:pt>
                <c:pt idx="10">
                  <c:v>1028</c:v>
                </c:pt>
                <c:pt idx="11">
                  <c:v>1484</c:v>
                </c:pt>
                <c:pt idx="12">
                  <c:v>1606</c:v>
                </c:pt>
                <c:pt idx="13">
                  <c:v>2100</c:v>
                </c:pt>
                <c:pt idx="14">
                  <c:v>2269</c:v>
                </c:pt>
                <c:pt idx="15">
                  <c:v>2919</c:v>
                </c:pt>
                <c:pt idx="16">
                  <c:v>3160</c:v>
                </c:pt>
                <c:pt idx="17">
                  <c:v>3814</c:v>
                </c:pt>
                <c:pt idx="18">
                  <c:v>3873</c:v>
                </c:pt>
                <c:pt idx="19">
                  <c:v>3999</c:v>
                </c:pt>
                <c:pt idx="20">
                  <c:v>4446</c:v>
                </c:pt>
                <c:pt idx="21">
                  <c:v>5441</c:v>
                </c:pt>
                <c:pt idx="22">
                  <c:v>6317</c:v>
                </c:pt>
                <c:pt idx="23">
                  <c:v>6030</c:v>
                </c:pt>
              </c:numCache>
            </c:numRef>
          </c:val>
          <c:extLst>
            <c:ext xmlns:c16="http://schemas.microsoft.com/office/drawing/2014/chart" uri="{C3380CC4-5D6E-409C-BE32-E72D297353CC}">
              <c16:uniqueId val="{00000004-1093-6A42-87D5-3987E7C3AC58}"/>
            </c:ext>
          </c:extLst>
        </c:ser>
        <c:dLbls>
          <c:showLegendKey val="0"/>
          <c:showVal val="0"/>
          <c:showCatName val="0"/>
          <c:showSerName val="0"/>
          <c:showPercent val="0"/>
          <c:showBubbleSize val="0"/>
        </c:dLbls>
        <c:gapWidth val="150"/>
        <c:overlap val="100"/>
        <c:axId val="1735537823"/>
        <c:axId val="1735539471"/>
      </c:barChart>
      <c:dateAx>
        <c:axId val="1735537823"/>
        <c:scaling>
          <c:orientation val="minMax"/>
        </c:scaling>
        <c:delete val="0"/>
        <c:axPos val="b"/>
        <c:numFmt formatCode="[$-409]d\-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1735539471"/>
        <c:crosses val="autoZero"/>
        <c:auto val="1"/>
        <c:lblOffset val="100"/>
        <c:baseTimeUnit val="months"/>
      </c:dateAx>
      <c:valAx>
        <c:axId val="1735539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1735537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BD"/>
        </a:p>
      </c:txPr>
    </c:title>
    <c:autoTitleDeleted val="0"/>
    <c:plotArea>
      <c:layout/>
      <c:bubbleChart>
        <c:varyColors val="0"/>
        <c:ser>
          <c:idx val="0"/>
          <c:order val="0"/>
          <c:tx>
            <c:strRef>
              <c:f>'Popularity Difficulty'!$A$2</c:f>
              <c:strCache>
                <c:ptCount val="1"/>
                <c:pt idx="0">
                  <c:v>Azure DevOps Build Project</c:v>
                </c:pt>
              </c:strCache>
            </c:strRef>
          </c:tx>
          <c:spPr>
            <a:solidFill>
              <a:schemeClr val="accent1">
                <a:alpha val="75000"/>
              </a:schemeClr>
            </a:solidFill>
            <a:ln>
              <a:noFill/>
            </a:ln>
            <a:effectLst/>
          </c:spPr>
          <c:invertIfNegative val="0"/>
          <c:dLbls>
            <c:dLbl>
              <c:idx val="0"/>
              <c:layout>
                <c:manualLayout>
                  <c:x val="-4.1450777202072537E-3"/>
                  <c:y val="2.4719101123595506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9-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Difficulty'!$B$2</c:f>
              <c:numCache>
                <c:formatCode>_ * #,##0_)_ ;_ * \(#,##0\)_ ;_ * "-"??_)_ ;_ @_ </c:formatCode>
                <c:ptCount val="1"/>
                <c:pt idx="0">
                  <c:v>46.375753149534418</c:v>
                </c:pt>
              </c:numCache>
            </c:numRef>
          </c:xVal>
          <c:yVal>
            <c:numRef>
              <c:f>'Popularity Difficulty'!$C$2</c:f>
              <c:numCache>
                <c:formatCode>_ * #,##0_)_ ;_ * \(#,##0\)_ ;_ * "-"??_)_ ;_ @_ </c:formatCode>
                <c:ptCount val="1"/>
                <c:pt idx="0">
                  <c:v>1391.26</c:v>
                </c:pt>
              </c:numCache>
            </c:numRef>
          </c:yVal>
          <c:bubbleSize>
            <c:numRef>
              <c:f>'Popularity Difficulty'!$D$2</c:f>
              <c:numCache>
                <c:formatCode>_ * #,##0_)_ ;_ * \(#,##0\)_ ;_ * "-"??_)_ ;_ @_ </c:formatCode>
                <c:ptCount val="1"/>
                <c:pt idx="0">
                  <c:v>5477</c:v>
                </c:pt>
              </c:numCache>
            </c:numRef>
          </c:bubbleSize>
          <c:bubble3D val="1"/>
          <c:extLst>
            <c:ext xmlns:c16="http://schemas.microsoft.com/office/drawing/2014/chart" uri="{C3380CC4-5D6E-409C-BE32-E72D297353CC}">
              <c16:uniqueId val="{0000000D-6711-4649-83F9-100A92A89B32}"/>
            </c:ext>
          </c:extLst>
        </c:ser>
        <c:ser>
          <c:idx val="1"/>
          <c:order val="1"/>
          <c:tx>
            <c:strRef>
              <c:f>'Popularity Difficulty'!$A$3</c:f>
              <c:strCache>
                <c:ptCount val="1"/>
                <c:pt idx="0">
                  <c:v>Azure DevOps Deployment</c:v>
                </c:pt>
              </c:strCache>
            </c:strRef>
          </c:tx>
          <c:spPr>
            <a:solidFill>
              <a:schemeClr val="accent2">
                <a:alpha val="75000"/>
              </a:schemeClr>
            </a:solidFill>
            <a:ln>
              <a:noFill/>
            </a:ln>
            <a:effectLst/>
          </c:spPr>
          <c:invertIfNegative val="0"/>
          <c:dLbls>
            <c:dLbl>
              <c:idx val="0"/>
              <c:layout>
                <c:manualLayout>
                  <c:x val="-0.19851518560179979"/>
                  <c:y val="1.7977528089887559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F-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BD"/>
              </a:p>
            </c:txPr>
            <c:dLblPos val="ct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Difficulty'!$B$3</c:f>
              <c:numCache>
                <c:formatCode>_ * #,##0_)_ ;_ * \(#,##0\)_ ;_ * "-"??_)_ ;_ @_ </c:formatCode>
                <c:ptCount val="1"/>
                <c:pt idx="0">
                  <c:v>56.761513640363745</c:v>
                </c:pt>
              </c:numCache>
            </c:numRef>
          </c:xVal>
          <c:yVal>
            <c:numRef>
              <c:f>'Popularity Difficulty'!$C$3</c:f>
              <c:numCache>
                <c:formatCode>_ * #,##0_)_ ;_ * \(#,##0\)_ ;_ * "-"??_)_ ;_ @_ </c:formatCode>
                <c:ptCount val="1"/>
                <c:pt idx="0">
                  <c:v>932.96</c:v>
                </c:pt>
              </c:numCache>
            </c:numRef>
          </c:yVal>
          <c:bubbleSize>
            <c:numRef>
              <c:f>'Popularity Difficulty'!$D$3</c:f>
              <c:numCache>
                <c:formatCode>_ * #,##0_)_ ;_ * \(#,##0\)_ ;_ * "-"??_)_ ;_ @_ </c:formatCode>
                <c:ptCount val="1"/>
                <c:pt idx="0">
                  <c:v>6818</c:v>
                </c:pt>
              </c:numCache>
            </c:numRef>
          </c:bubbleSize>
          <c:bubble3D val="1"/>
          <c:extLst>
            <c:ext xmlns:c16="http://schemas.microsoft.com/office/drawing/2014/chart" uri="{C3380CC4-5D6E-409C-BE32-E72D297353CC}">
              <c16:uniqueId val="{0000000E-6711-4649-83F9-100A92A89B32}"/>
            </c:ext>
          </c:extLst>
        </c:ser>
        <c:ser>
          <c:idx val="2"/>
          <c:order val="2"/>
          <c:tx>
            <c:strRef>
              <c:f>'Popularity Difficulty'!$A$4</c:f>
              <c:strCache>
                <c:ptCount val="1"/>
                <c:pt idx="0">
                  <c:v>Azure DevOps Development Pipeline</c:v>
                </c:pt>
              </c:strCache>
            </c:strRef>
          </c:tx>
          <c:spPr>
            <a:solidFill>
              <a:schemeClr val="accent3">
                <a:alpha val="75000"/>
              </a:schemeClr>
            </a:solidFill>
            <a:ln>
              <a:noFill/>
            </a:ln>
            <a:effectLst/>
          </c:spPr>
          <c:invertIfNegative val="0"/>
          <c:dLbls>
            <c:dLbl>
              <c:idx val="0"/>
              <c:layout>
                <c:manualLayout>
                  <c:x val="-0.12331606217616581"/>
                  <c:y val="0.10786516853932585"/>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A-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Difficulty'!$B$4</c:f>
              <c:numCache>
                <c:formatCode>_ * #,##0_)_ ;_ * \(#,##0\)_ ;_ * "-"??_)_ ;_ @_ </c:formatCode>
                <c:ptCount val="1"/>
                <c:pt idx="0">
                  <c:v>45.806238289430176</c:v>
                </c:pt>
              </c:numCache>
            </c:numRef>
          </c:xVal>
          <c:yVal>
            <c:numRef>
              <c:f>'Popularity Difficulty'!$C$4</c:f>
              <c:numCache>
                <c:formatCode>_ * #,##0_)_ ;_ * \(#,##0\)_ ;_ * "-"??_)_ ;_ @_ </c:formatCode>
                <c:ptCount val="1"/>
                <c:pt idx="0">
                  <c:v>607.44000000000005</c:v>
                </c:pt>
              </c:numCache>
            </c:numRef>
          </c:yVal>
          <c:bubbleSize>
            <c:numRef>
              <c:f>'Popularity Difficulty'!$D$4</c:f>
              <c:numCache>
                <c:formatCode>_ * #,##0_)_ ;_ * \(#,##0\)_ ;_ * "-"??_)_ ;_ @_ </c:formatCode>
                <c:ptCount val="1"/>
                <c:pt idx="0">
                  <c:v>9073</c:v>
                </c:pt>
              </c:numCache>
            </c:numRef>
          </c:bubbleSize>
          <c:bubble3D val="1"/>
          <c:extLst>
            <c:ext xmlns:c16="http://schemas.microsoft.com/office/drawing/2014/chart" uri="{C3380CC4-5D6E-409C-BE32-E72D297353CC}">
              <c16:uniqueId val="{00000010-6711-4649-83F9-100A92A89B32}"/>
            </c:ext>
          </c:extLst>
        </c:ser>
        <c:ser>
          <c:idx val="3"/>
          <c:order val="3"/>
          <c:tx>
            <c:strRef>
              <c:f>'Popularity Difficulty'!$A$5</c:f>
              <c:strCache>
                <c:ptCount val="1"/>
                <c:pt idx="0">
                  <c:v>Cloud Infra Automation</c:v>
                </c:pt>
              </c:strCache>
            </c:strRef>
          </c:tx>
          <c:spPr>
            <a:solidFill>
              <a:schemeClr val="accent4">
                <a:alpha val="75000"/>
              </a:schemeClr>
            </a:solidFill>
            <a:ln>
              <a:noFill/>
            </a:ln>
            <a:effectLst/>
          </c:spPr>
          <c:invertIfNegative val="0"/>
          <c:dLbls>
            <c:dLbl>
              <c:idx val="0"/>
              <c:layout>
                <c:manualLayout>
                  <c:x val="-8.0511144988455394E-2"/>
                  <c:y val="0.15505617977528091"/>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7-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BD"/>
              </a:p>
            </c:txPr>
            <c:dLblPos val="ct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Difficulty'!$B$5</c:f>
              <c:numCache>
                <c:formatCode>_ * #,##0_)_ ;_ * \(#,##0\)_ ;_ * "-"??_)_ ;_ @_ </c:formatCode>
                <c:ptCount val="1"/>
                <c:pt idx="0">
                  <c:v>57.363210478972036</c:v>
                </c:pt>
              </c:numCache>
            </c:numRef>
          </c:xVal>
          <c:yVal>
            <c:numRef>
              <c:f>'Popularity Difficulty'!$C$5</c:f>
              <c:numCache>
                <c:formatCode>_ * #,##0_)_ ;_ * \(#,##0\)_ ;_ * "-"??_)_ ;_ @_ </c:formatCode>
                <c:ptCount val="1"/>
                <c:pt idx="0">
                  <c:v>1087.365</c:v>
                </c:pt>
              </c:numCache>
            </c:numRef>
          </c:yVal>
          <c:bubbleSize>
            <c:numRef>
              <c:f>'Popularity Difficulty'!$D$5</c:f>
              <c:numCache>
                <c:formatCode>_ * #,##0_)_ ;_ * \(#,##0\)_ ;_ * "-"??_)_ ;_ @_ </c:formatCode>
                <c:ptCount val="1"/>
                <c:pt idx="0">
                  <c:v>10831</c:v>
                </c:pt>
              </c:numCache>
            </c:numRef>
          </c:bubbleSize>
          <c:bubble3D val="1"/>
          <c:extLst>
            <c:ext xmlns:c16="http://schemas.microsoft.com/office/drawing/2014/chart" uri="{C3380CC4-5D6E-409C-BE32-E72D297353CC}">
              <c16:uniqueId val="{00000011-6711-4649-83F9-100A92A89B32}"/>
            </c:ext>
          </c:extLst>
        </c:ser>
        <c:ser>
          <c:idx val="4"/>
          <c:order val="4"/>
          <c:tx>
            <c:strRef>
              <c:f>'Popularity Difficulty'!$A$6</c:f>
              <c:strCache>
                <c:ptCount val="1"/>
                <c:pt idx="0">
                  <c:v>Configuration Automation</c:v>
                </c:pt>
              </c:strCache>
            </c:strRef>
          </c:tx>
          <c:spPr>
            <a:solidFill>
              <a:schemeClr val="accent5">
                <a:alpha val="75000"/>
              </a:schemeClr>
            </a:solidFill>
            <a:ln>
              <a:noFill/>
            </a:ln>
            <a:effectLst/>
          </c:spPr>
          <c:invertIfNegative val="0"/>
          <c:dLbls>
            <c:dLbl>
              <c:idx val="0"/>
              <c:layout>
                <c:manualLayout>
                  <c:x val="-0.10466321243523323"/>
                  <c:y val="-0.1303370786516854"/>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D-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Difficulty'!$B$6</c:f>
              <c:numCache>
                <c:formatCode>_ * #,##0_)_ ;_ * \(#,##0\)_ ;_ * "-"??_)_ ;_ @_ </c:formatCode>
                <c:ptCount val="1"/>
                <c:pt idx="0">
                  <c:v>51.598694675722783</c:v>
                </c:pt>
              </c:numCache>
            </c:numRef>
          </c:xVal>
          <c:yVal>
            <c:numRef>
              <c:f>'Popularity Difficulty'!$C$6</c:f>
              <c:numCache>
                <c:formatCode>_ * #,##0_)_ ;_ * \(#,##0\)_ ;_ * "-"??_)_ ;_ @_ </c:formatCode>
                <c:ptCount val="1"/>
                <c:pt idx="0">
                  <c:v>2177.42</c:v>
                </c:pt>
              </c:numCache>
            </c:numRef>
          </c:yVal>
          <c:bubbleSize>
            <c:numRef>
              <c:f>'Popularity Difficulty'!$D$6</c:f>
              <c:numCache>
                <c:formatCode>_ * #,##0_)_ ;_ * \(#,##0\)_ ;_ * "-"??_)_ ;_ @_ </c:formatCode>
                <c:ptCount val="1"/>
                <c:pt idx="0">
                  <c:v>15040</c:v>
                </c:pt>
              </c:numCache>
            </c:numRef>
          </c:bubbleSize>
          <c:bubble3D val="1"/>
          <c:extLst>
            <c:ext xmlns:c16="http://schemas.microsoft.com/office/drawing/2014/chart" uri="{C3380CC4-5D6E-409C-BE32-E72D297353CC}">
              <c16:uniqueId val="{00000013-6711-4649-83F9-100A92A89B32}"/>
            </c:ext>
          </c:extLst>
        </c:ser>
        <c:ser>
          <c:idx val="5"/>
          <c:order val="5"/>
          <c:tx>
            <c:strRef>
              <c:f>'Popularity Difficulty'!$A$7</c:f>
              <c:strCache>
                <c:ptCount val="1"/>
                <c:pt idx="0">
                  <c:v>Docker</c:v>
                </c:pt>
              </c:strCache>
            </c:strRef>
          </c:tx>
          <c:spPr>
            <a:solidFill>
              <a:schemeClr val="accent6">
                <a:alpha val="75000"/>
              </a:schemeClr>
            </a:solidFill>
            <a:ln>
              <a:noFill/>
            </a:ln>
            <a:effectLst/>
          </c:spPr>
          <c:invertIfNegative val="0"/>
          <c:dLbls>
            <c:dLbl>
              <c:idx val="0"/>
              <c:layout>
                <c:manualLayout>
                  <c:x val="-0.11294476348351186"/>
                  <c:y val="-0.13258426966292136"/>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2-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BD"/>
              </a:p>
            </c:txPr>
            <c:dLblPos val="l"/>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Difficulty'!$B$7</c:f>
              <c:numCache>
                <c:formatCode>_ * #,##0_)_ ;_ * \(#,##0\)_ ;_ * "-"??_)_ ;_ @_ </c:formatCode>
                <c:ptCount val="1"/>
                <c:pt idx="0">
                  <c:v>59.135481288773263</c:v>
                </c:pt>
              </c:numCache>
            </c:numRef>
          </c:xVal>
          <c:yVal>
            <c:numRef>
              <c:f>'Popularity Difficulty'!$C$7</c:f>
              <c:numCache>
                <c:formatCode>_ * #,##0_)_ ;_ * \(#,##0\)_ ;_ * "-"??_)_ ;_ @_ </c:formatCode>
                <c:ptCount val="1"/>
                <c:pt idx="0">
                  <c:v>1434.59</c:v>
                </c:pt>
              </c:numCache>
            </c:numRef>
          </c:yVal>
          <c:bubbleSize>
            <c:numRef>
              <c:f>'Popularity Difficulty'!$D$7</c:f>
              <c:numCache>
                <c:formatCode>_ * #,##0_)_ ;_ * \(#,##0\)_ ;_ * "-"??_)_ ;_ @_ </c:formatCode>
                <c:ptCount val="1"/>
                <c:pt idx="0">
                  <c:v>4997</c:v>
                </c:pt>
              </c:numCache>
            </c:numRef>
          </c:bubbleSize>
          <c:bubble3D val="1"/>
          <c:extLst>
            <c:ext xmlns:c16="http://schemas.microsoft.com/office/drawing/2014/chart" uri="{C3380CC4-5D6E-409C-BE32-E72D297353CC}">
              <c16:uniqueId val="{00000014-6711-4649-83F9-100A92A89B32}"/>
            </c:ext>
          </c:extLst>
        </c:ser>
        <c:ser>
          <c:idx val="6"/>
          <c:order val="6"/>
          <c:tx>
            <c:strRef>
              <c:f>'Popularity Difficulty'!$A$8</c:f>
              <c:strCache>
                <c:ptCount val="1"/>
                <c:pt idx="0">
                  <c:v>Exception Handling</c:v>
                </c:pt>
              </c:strCache>
            </c:strRef>
          </c:tx>
          <c:spPr>
            <a:solidFill>
              <a:schemeClr val="accent1">
                <a:lumMod val="60000"/>
                <a:alpha val="75000"/>
              </a:schemeClr>
            </a:solidFill>
            <a:ln>
              <a:noFill/>
            </a:ln>
            <a:effectLst/>
          </c:spPr>
          <c:invertIfNegative val="0"/>
          <c:dLbls>
            <c:dLbl>
              <c:idx val="0"/>
              <c:layout>
                <c:manualLayout>
                  <c:x val="2.0725388601036268E-3"/>
                  <c:y val="-2.24719101123595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E-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Difficulty'!$B$8</c:f>
              <c:numCache>
                <c:formatCode>_ * #,##0_)_ ;_ * \(#,##0\)_ ;_ * "-"??_)_ ;_ @_ </c:formatCode>
                <c:ptCount val="1"/>
                <c:pt idx="0">
                  <c:v>65.554553651938676</c:v>
                </c:pt>
              </c:numCache>
            </c:numRef>
          </c:xVal>
          <c:yVal>
            <c:numRef>
              <c:f>'Popularity Difficulty'!$C$8</c:f>
              <c:numCache>
                <c:formatCode>_ * #,##0_)_ ;_ * \(#,##0\)_ ;_ * "-"??_)_ ;_ @_ </c:formatCode>
                <c:ptCount val="1"/>
                <c:pt idx="0">
                  <c:v>1970.01</c:v>
                </c:pt>
              </c:numCache>
            </c:numRef>
          </c:yVal>
          <c:bubbleSize>
            <c:numRef>
              <c:f>'Popularity Difficulty'!$D$8</c:f>
              <c:numCache>
                <c:formatCode>_ * #,##0_)_ ;_ * \(#,##0\)_ ;_ * "-"??_)_ ;_ @_ </c:formatCode>
                <c:ptCount val="1"/>
                <c:pt idx="0">
                  <c:v>3327</c:v>
                </c:pt>
              </c:numCache>
            </c:numRef>
          </c:bubbleSize>
          <c:bubble3D val="1"/>
          <c:extLst>
            <c:ext xmlns:c16="http://schemas.microsoft.com/office/drawing/2014/chart" uri="{C3380CC4-5D6E-409C-BE32-E72D297353CC}">
              <c16:uniqueId val="{00000015-6711-4649-83F9-100A92A89B32}"/>
            </c:ext>
          </c:extLst>
        </c:ser>
        <c:ser>
          <c:idx val="7"/>
          <c:order val="7"/>
          <c:tx>
            <c:strRef>
              <c:f>'Popularity Difficulty'!$A$9</c:f>
              <c:strCache>
                <c:ptCount val="1"/>
                <c:pt idx="0">
                  <c:v>File Management</c:v>
                </c:pt>
              </c:strCache>
            </c:strRef>
          </c:tx>
          <c:spPr>
            <a:solidFill>
              <a:schemeClr val="accent2">
                <a:lumMod val="60000"/>
                <a:alpha val="75000"/>
              </a:schemeClr>
            </a:solidFill>
            <a:ln>
              <a:noFill/>
            </a:ln>
            <a:effectLst/>
          </c:spPr>
          <c:invertIfNegative val="0"/>
          <c:dLbls>
            <c:dLbl>
              <c:idx val="0"/>
              <c:layout>
                <c:manualLayout>
                  <c:x val="-0.15560090063484755"/>
                  <c:y val="-6.5793290764910473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1-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BD"/>
              </a:p>
            </c:txPr>
            <c:dLblPos val="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Difficulty'!$B$9</c:f>
              <c:numCache>
                <c:formatCode>_ * #,##0_)_ ;_ * \(#,##0\)_ ;_ * "-"??_)_ ;_ @_ </c:formatCode>
                <c:ptCount val="1"/>
                <c:pt idx="0">
                  <c:v>58.130762782900248</c:v>
                </c:pt>
              </c:numCache>
            </c:numRef>
          </c:xVal>
          <c:yVal>
            <c:numRef>
              <c:f>'Popularity Difficulty'!$C$9</c:f>
              <c:numCache>
                <c:formatCode>_ * #,##0_)_ ;_ * \(#,##0\)_ ;_ * "-"??_)_ ;_ @_ </c:formatCode>
                <c:ptCount val="1"/>
                <c:pt idx="0">
                  <c:v>2805.36</c:v>
                </c:pt>
              </c:numCache>
            </c:numRef>
          </c:yVal>
          <c:bubbleSize>
            <c:numRef>
              <c:f>'Popularity Difficulty'!$D$9</c:f>
              <c:numCache>
                <c:formatCode>_ * #,##0_)_ ;_ * \(#,##0\)_ ;_ * "-"??_)_ ;_ @_ </c:formatCode>
                <c:ptCount val="1"/>
                <c:pt idx="0">
                  <c:v>4772</c:v>
                </c:pt>
              </c:numCache>
            </c:numRef>
          </c:bubbleSize>
          <c:bubble3D val="1"/>
          <c:extLst>
            <c:ext xmlns:c16="http://schemas.microsoft.com/office/drawing/2014/chart" uri="{C3380CC4-5D6E-409C-BE32-E72D297353CC}">
              <c16:uniqueId val="{00000016-6711-4649-83F9-100A92A89B32}"/>
            </c:ext>
          </c:extLst>
        </c:ser>
        <c:ser>
          <c:idx val="8"/>
          <c:order val="8"/>
          <c:tx>
            <c:strRef>
              <c:f>'Popularity Difficulty'!$A$10</c:f>
              <c:strCache>
                <c:ptCount val="1"/>
                <c:pt idx="0">
                  <c:v>Functional Test Automation</c:v>
                </c:pt>
              </c:strCache>
            </c:strRef>
          </c:tx>
          <c:spPr>
            <a:solidFill>
              <a:schemeClr val="accent3">
                <a:lumMod val="60000"/>
                <a:alpha val="75000"/>
              </a:schemeClr>
            </a:solidFill>
            <a:ln>
              <a:noFill/>
            </a:ln>
            <a:effectLst/>
          </c:spPr>
          <c:invertIfNegative val="0"/>
          <c:dLbls>
            <c:dLbl>
              <c:idx val="0"/>
              <c:layout>
                <c:manualLayout>
                  <c:x val="1.0362694300518135E-2"/>
                  <c:y val="3.8202247191011153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4-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Difficulty'!$B$10</c:f>
              <c:numCache>
                <c:formatCode>_ * #,##0_)_ ;_ * \(#,##0\)_ ;_ * "-"??_)_ ;_ @_ </c:formatCode>
                <c:ptCount val="1"/>
                <c:pt idx="0">
                  <c:v>63.932980599647266</c:v>
                </c:pt>
              </c:numCache>
            </c:numRef>
          </c:xVal>
          <c:yVal>
            <c:numRef>
              <c:f>'Popularity Difficulty'!$C$10</c:f>
              <c:numCache>
                <c:formatCode>_ * #,##0_)_ ;_ * \(#,##0\)_ ;_ * "-"??_)_ ;_ @_ </c:formatCode>
                <c:ptCount val="1"/>
                <c:pt idx="0">
                  <c:v>1399.63</c:v>
                </c:pt>
              </c:numCache>
            </c:numRef>
          </c:yVal>
          <c:bubbleSize>
            <c:numRef>
              <c:f>'Popularity Difficulty'!$D$10</c:f>
              <c:numCache>
                <c:formatCode>_ * #,##0_)_ ;_ * \(#,##0\)_ ;_ * "-"??_)_ ;_ @_ </c:formatCode>
                <c:ptCount val="1"/>
                <c:pt idx="0">
                  <c:v>5670</c:v>
                </c:pt>
              </c:numCache>
            </c:numRef>
          </c:bubbleSize>
          <c:bubble3D val="1"/>
          <c:extLst>
            <c:ext xmlns:c16="http://schemas.microsoft.com/office/drawing/2014/chart" uri="{C3380CC4-5D6E-409C-BE32-E72D297353CC}">
              <c16:uniqueId val="{00000017-6711-4649-83F9-100A92A89B32}"/>
            </c:ext>
          </c:extLst>
        </c:ser>
        <c:ser>
          <c:idx val="9"/>
          <c:order val="9"/>
          <c:tx>
            <c:strRef>
              <c:f>'Popularity Difficulty'!$A$11</c:f>
              <c:strCache>
                <c:ptCount val="1"/>
                <c:pt idx="0">
                  <c:v>Gitlab CI/CD</c:v>
                </c:pt>
              </c:strCache>
            </c:strRef>
          </c:tx>
          <c:spPr>
            <a:solidFill>
              <a:schemeClr val="accent4">
                <a:lumMod val="60000"/>
                <a:alpha val="75000"/>
              </a:schemeClr>
            </a:solidFill>
            <a:ln>
              <a:noFill/>
            </a:ln>
            <a:effectLst/>
          </c:spPr>
          <c:invertIfNegative val="0"/>
          <c:dLbls>
            <c:dLbl>
              <c:idx val="0"/>
              <c:layout>
                <c:manualLayout>
                  <c:x val="-8.7869945533124147E-2"/>
                  <c:y val="-0.14157303370786517"/>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3-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BD"/>
              </a:p>
            </c:txPr>
            <c:dLblPos val="ct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Difficulty'!$B$11</c:f>
              <c:numCache>
                <c:formatCode>_ * #,##0_)_ ;_ * \(#,##0\)_ ;_ * "-"??_)_ ;_ @_ </c:formatCode>
                <c:ptCount val="1"/>
                <c:pt idx="0">
                  <c:v>60.100518806744489</c:v>
                </c:pt>
              </c:numCache>
            </c:numRef>
          </c:xVal>
          <c:yVal>
            <c:numRef>
              <c:f>'Popularity Difficulty'!$C$11</c:f>
              <c:numCache>
                <c:formatCode>_ * #,##0_)_ ;_ * \(#,##0\)_ ;_ * "-"??_)_ ;_ @_ </c:formatCode>
                <c:ptCount val="1"/>
                <c:pt idx="0">
                  <c:v>1415.8</c:v>
                </c:pt>
              </c:numCache>
            </c:numRef>
          </c:yVal>
          <c:bubbleSize>
            <c:numRef>
              <c:f>'Popularity Difficulty'!$D$11</c:f>
              <c:numCache>
                <c:formatCode>_ * #,##0_)_ ;_ * \(#,##0\)_ ;_ * "-"??_)_ ;_ @_ </c:formatCode>
                <c:ptCount val="1"/>
                <c:pt idx="0">
                  <c:v>6168</c:v>
                </c:pt>
              </c:numCache>
            </c:numRef>
          </c:bubbleSize>
          <c:bubble3D val="1"/>
          <c:extLst>
            <c:ext xmlns:c16="http://schemas.microsoft.com/office/drawing/2014/chart" uri="{C3380CC4-5D6E-409C-BE32-E72D297353CC}">
              <c16:uniqueId val="{00000018-6711-4649-83F9-100A92A89B32}"/>
            </c:ext>
          </c:extLst>
        </c:ser>
        <c:ser>
          <c:idx val="10"/>
          <c:order val="10"/>
          <c:tx>
            <c:strRef>
              <c:f>'Popularity Difficulty'!$A$12</c:f>
              <c:strCache>
                <c:ptCount val="1"/>
                <c:pt idx="0">
                  <c:v>IBM Cloud</c:v>
                </c:pt>
              </c:strCache>
            </c:strRef>
          </c:tx>
          <c:spPr>
            <a:solidFill>
              <a:schemeClr val="accent5">
                <a:lumMod val="60000"/>
                <a:alpha val="75000"/>
              </a:schemeClr>
            </a:solidFill>
            <a:ln>
              <a:noFill/>
            </a:ln>
            <a:effectLst/>
          </c:spPr>
          <c:invertIfNegative val="0"/>
          <c:dLbls>
            <c:dLbl>
              <c:idx val="0"/>
              <c:layout>
                <c:manualLayout>
                  <c:x val="-9.3264248704663967E-3"/>
                  <c:y val="6.292134831460674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8-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Difficulty'!$B$12</c:f>
              <c:numCache>
                <c:formatCode>_ * #,##0_)_ ;_ * \(#,##0\)_ ;_ * "-"??_)_ ;_ @_ </c:formatCode>
                <c:ptCount val="1"/>
                <c:pt idx="0">
                  <c:v>59.513192121887776</c:v>
                </c:pt>
              </c:numCache>
            </c:numRef>
          </c:xVal>
          <c:yVal>
            <c:numRef>
              <c:f>'Popularity Difficulty'!$C$12</c:f>
              <c:numCache>
                <c:formatCode>_ * #,##0_)_ ;_ * \(#,##0\)_ ;_ * "-"??_)_ ;_ @_ </c:formatCode>
                <c:ptCount val="1"/>
                <c:pt idx="0">
                  <c:v>421.06</c:v>
                </c:pt>
              </c:numCache>
            </c:numRef>
          </c:yVal>
          <c:bubbleSize>
            <c:numRef>
              <c:f>'Popularity Difficulty'!$D$12</c:f>
              <c:numCache>
                <c:formatCode>_ * #,##0_)_ ;_ * \(#,##0\)_ ;_ * "-"??_)_ ;_ @_ </c:formatCode>
                <c:ptCount val="1"/>
                <c:pt idx="0">
                  <c:v>5382</c:v>
                </c:pt>
              </c:numCache>
            </c:numRef>
          </c:bubbleSize>
          <c:bubble3D val="1"/>
          <c:extLst>
            <c:ext xmlns:c16="http://schemas.microsoft.com/office/drawing/2014/chart" uri="{C3380CC4-5D6E-409C-BE32-E72D297353CC}">
              <c16:uniqueId val="{0000001A-6711-4649-83F9-100A92A89B32}"/>
            </c:ext>
          </c:extLst>
        </c:ser>
        <c:ser>
          <c:idx val="11"/>
          <c:order val="11"/>
          <c:tx>
            <c:strRef>
              <c:f>'Popularity Difficulty'!$A$13</c:f>
              <c:strCache>
                <c:ptCount val="1"/>
                <c:pt idx="0">
                  <c:v>Jenkins Build from Git Branch</c:v>
                </c:pt>
              </c:strCache>
            </c:strRef>
          </c:tx>
          <c:spPr>
            <a:solidFill>
              <a:schemeClr val="accent6">
                <a:lumMod val="60000"/>
                <a:alpha val="75000"/>
              </a:schemeClr>
            </a:solidFill>
            <a:ln>
              <a:noFill/>
            </a:ln>
            <a:effectLst/>
          </c:spPr>
          <c:invertIfNegative val="0"/>
          <c:dLbls>
            <c:dLbl>
              <c:idx val="0"/>
              <c:layout>
                <c:manualLayout>
                  <c:x val="-8.074525584539699E-2"/>
                  <c:y val="6.4298787391853282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F-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BD"/>
              </a:p>
            </c:txPr>
            <c:dLblPos val="ct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Difficulty'!$B$13</c:f>
              <c:numCache>
                <c:formatCode>_ * #,##0_)_ ;_ * \(#,##0\)_ ;_ * "-"??_)_ ;_ @_ </c:formatCode>
                <c:ptCount val="1"/>
                <c:pt idx="0">
                  <c:v>62.115563839701771</c:v>
                </c:pt>
              </c:numCache>
            </c:numRef>
          </c:xVal>
          <c:yVal>
            <c:numRef>
              <c:f>'Popularity Difficulty'!$C$13</c:f>
              <c:numCache>
                <c:formatCode>_ * #,##0_)_ ;_ * \(#,##0\)_ ;_ * "-"??_)_ ;_ @_ </c:formatCode>
                <c:ptCount val="1"/>
                <c:pt idx="0">
                  <c:v>2065.02</c:v>
                </c:pt>
              </c:numCache>
            </c:numRef>
          </c:yVal>
          <c:bubbleSize>
            <c:numRef>
              <c:f>'Popularity Difficulty'!$D$13</c:f>
              <c:numCache>
                <c:formatCode>_ * #,##0_)_ ;_ * \(#,##0\)_ ;_ * "-"??_)_ ;_ @_ </c:formatCode>
                <c:ptCount val="1"/>
                <c:pt idx="0">
                  <c:v>8584</c:v>
                </c:pt>
              </c:numCache>
            </c:numRef>
          </c:bubbleSize>
          <c:bubble3D val="1"/>
          <c:extLst>
            <c:ext xmlns:c16="http://schemas.microsoft.com/office/drawing/2014/chart" uri="{C3380CC4-5D6E-409C-BE32-E72D297353CC}">
              <c16:uniqueId val="{0000001B-6711-4649-83F9-100A92A89B32}"/>
            </c:ext>
          </c:extLst>
        </c:ser>
        <c:ser>
          <c:idx val="12"/>
          <c:order val="12"/>
          <c:tx>
            <c:strRef>
              <c:f>'Popularity Difficulty'!$A$14</c:f>
              <c:strCache>
                <c:ptCount val="1"/>
                <c:pt idx="0">
                  <c:v>Jenkins Build Mobile Application</c:v>
                </c:pt>
              </c:strCache>
            </c:strRef>
          </c:tx>
          <c:spPr>
            <a:solidFill>
              <a:schemeClr val="accent1">
                <a:lumMod val="80000"/>
                <a:lumOff val="20000"/>
                <a:alpha val="75000"/>
              </a:schemeClr>
            </a:solidFill>
            <a:ln>
              <a:noFill/>
            </a:ln>
            <a:effectLst/>
          </c:spPr>
          <c:invertIfNegative val="0"/>
          <c:dLbls>
            <c:dLbl>
              <c:idx val="0"/>
              <c:layout>
                <c:manualLayout>
                  <c:x val="3.945973745588692E-2"/>
                  <c:y val="0.13989387444511411"/>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D-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BD"/>
              </a:p>
            </c:txPr>
            <c:dLblPos val="r"/>
            <c:showLegendKey val="1"/>
            <c:showVal val="0"/>
            <c:showCatName val="0"/>
            <c:showSerName val="1"/>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Difficulty'!$B$14</c:f>
              <c:numCache>
                <c:formatCode>_ * #,##0_)_ ;_ * \(#,##0\)_ ;_ * "-"??_)_ ;_ @_ </c:formatCode>
                <c:ptCount val="1"/>
                <c:pt idx="0">
                  <c:v>61.13493896403827</c:v>
                </c:pt>
              </c:numCache>
            </c:numRef>
          </c:xVal>
          <c:yVal>
            <c:numRef>
              <c:f>'Popularity Difficulty'!$C$14</c:f>
              <c:numCache>
                <c:formatCode>_ * #,##0_)_ ;_ * \(#,##0\)_ ;_ * "-"??_)_ ;_ @_ </c:formatCode>
                <c:ptCount val="1"/>
                <c:pt idx="0">
                  <c:v>1543.45</c:v>
                </c:pt>
              </c:numCache>
            </c:numRef>
          </c:yVal>
          <c:bubbleSize>
            <c:numRef>
              <c:f>'Popularity Difficulty'!$D$14</c:f>
              <c:numCache>
                <c:formatCode>_ * #,##0_)_ ;_ * \(#,##0\)_ ;_ * "-"??_)_ ;_ @_ </c:formatCode>
                <c:ptCount val="1"/>
                <c:pt idx="0">
                  <c:v>3031</c:v>
                </c:pt>
              </c:numCache>
            </c:numRef>
          </c:bubbleSize>
          <c:bubble3D val="1"/>
          <c:extLst>
            <c:ext xmlns:c16="http://schemas.microsoft.com/office/drawing/2014/chart" uri="{C3380CC4-5D6E-409C-BE32-E72D297353CC}">
              <c16:uniqueId val="{0000001C-6711-4649-83F9-100A92A89B32}"/>
            </c:ext>
          </c:extLst>
        </c:ser>
        <c:ser>
          <c:idx val="13"/>
          <c:order val="13"/>
          <c:tx>
            <c:strRef>
              <c:f>'Popularity Difficulty'!$A$15</c:f>
              <c:strCache>
                <c:ptCount val="1"/>
                <c:pt idx="0">
                  <c:v>Jenkins Build Projects</c:v>
                </c:pt>
              </c:strCache>
            </c:strRef>
          </c:tx>
          <c:spPr>
            <a:solidFill>
              <a:schemeClr val="accent2">
                <a:lumMod val="80000"/>
                <a:lumOff val="20000"/>
                <a:alpha val="75000"/>
              </a:schemeClr>
            </a:solidFill>
            <a:ln>
              <a:noFill/>
            </a:ln>
            <a:effectLst/>
          </c:spPr>
          <c:invertIfNegative val="0"/>
          <c:dLbls>
            <c:dLbl>
              <c:idx val="0"/>
              <c:layout>
                <c:manualLayout>
                  <c:x val="-3.0976041858392363E-2"/>
                  <c:y val="-0.17053475675737204"/>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0-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Difficulty'!$B$15</c:f>
              <c:numCache>
                <c:formatCode>_ * #,##0_)_ ;_ * \(#,##0\)_ ;_ * "-"??_)_ ;_ @_ </c:formatCode>
                <c:ptCount val="1"/>
                <c:pt idx="0">
                  <c:v>63.338954468802697</c:v>
                </c:pt>
              </c:numCache>
            </c:numRef>
          </c:xVal>
          <c:yVal>
            <c:numRef>
              <c:f>'Popularity Difficulty'!$C$15</c:f>
              <c:numCache>
                <c:formatCode>_ * #,##0_)_ ;_ * \(#,##0\)_ ;_ * "-"??_)_ ;_ @_ </c:formatCode>
                <c:ptCount val="1"/>
                <c:pt idx="0">
                  <c:v>2035.07</c:v>
                </c:pt>
              </c:numCache>
            </c:numRef>
          </c:yVal>
          <c:bubbleSize>
            <c:numRef>
              <c:f>'Popularity Difficulty'!$D$15</c:f>
              <c:numCache>
                <c:formatCode>_ * #,##0_)_ ;_ * \(#,##0\)_ ;_ * "-"??_)_ ;_ @_ </c:formatCode>
                <c:ptCount val="1"/>
                <c:pt idx="0">
                  <c:v>5930</c:v>
                </c:pt>
              </c:numCache>
            </c:numRef>
          </c:bubbleSize>
          <c:bubble3D val="1"/>
          <c:extLst>
            <c:ext xmlns:c16="http://schemas.microsoft.com/office/drawing/2014/chart" uri="{C3380CC4-5D6E-409C-BE32-E72D297353CC}">
              <c16:uniqueId val="{0000001E-6711-4649-83F9-100A92A89B32}"/>
            </c:ext>
          </c:extLst>
        </c:ser>
        <c:ser>
          <c:idx val="14"/>
          <c:order val="14"/>
          <c:tx>
            <c:strRef>
              <c:f>'Popularity Difficulty'!$A$16</c:f>
              <c:strCache>
                <c:ptCount val="1"/>
                <c:pt idx="0">
                  <c:v>Jenkins Distributed Architecture</c:v>
                </c:pt>
              </c:strCache>
            </c:strRef>
          </c:tx>
          <c:spPr>
            <a:solidFill>
              <a:schemeClr val="accent3">
                <a:lumMod val="80000"/>
                <a:lumOff val="20000"/>
                <a:alpha val="75000"/>
              </a:schemeClr>
            </a:solidFill>
            <a:ln>
              <a:noFill/>
            </a:ln>
            <a:effectLst/>
          </c:spPr>
          <c:invertIfNegative val="0"/>
          <c:dLbls>
            <c:dLbl>
              <c:idx val="0"/>
              <c:layout>
                <c:manualLayout>
                  <c:x val="-1.0708946633627212E-2"/>
                  <c:y val="-6.198044924852165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6-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Difficulty'!$B$16</c:f>
              <c:numCache>
                <c:formatCode>_ * #,##0_)_ ;_ * \(#,##0\)_ ;_ * "-"??_)_ ;_ @_ </c:formatCode>
                <c:ptCount val="1"/>
                <c:pt idx="0">
                  <c:v>64.675767918088738</c:v>
                </c:pt>
              </c:numCache>
            </c:numRef>
          </c:xVal>
          <c:yVal>
            <c:numRef>
              <c:f>'Popularity Difficulty'!$C$16</c:f>
              <c:numCache>
                <c:formatCode>_ * #,##0_)_ ;_ * \(#,##0\)_ ;_ * "-"??_)_ ;_ @_ </c:formatCode>
                <c:ptCount val="1"/>
                <c:pt idx="0">
                  <c:v>2332.35</c:v>
                </c:pt>
              </c:numCache>
            </c:numRef>
          </c:yVal>
          <c:bubbleSize>
            <c:numRef>
              <c:f>'Popularity Difficulty'!$D$16</c:f>
              <c:numCache>
                <c:formatCode>_ * #,##0_)_ ;_ * \(#,##0\)_ ;_ * "-"??_)_ ;_ @_ </c:formatCode>
                <c:ptCount val="1"/>
                <c:pt idx="0">
                  <c:v>5274</c:v>
                </c:pt>
              </c:numCache>
            </c:numRef>
          </c:bubbleSize>
          <c:bubble3D val="1"/>
          <c:extLst>
            <c:ext xmlns:c16="http://schemas.microsoft.com/office/drawing/2014/chart" uri="{C3380CC4-5D6E-409C-BE32-E72D297353CC}">
              <c16:uniqueId val="{00000025-6711-4649-83F9-100A92A89B32}"/>
            </c:ext>
          </c:extLst>
        </c:ser>
        <c:ser>
          <c:idx val="15"/>
          <c:order val="15"/>
          <c:tx>
            <c:strRef>
              <c:f>'Popularity Difficulty'!$A$17</c:f>
              <c:strCache>
                <c:ptCount val="1"/>
                <c:pt idx="0">
                  <c:v>Jenkins Pipeline</c:v>
                </c:pt>
              </c:strCache>
            </c:strRef>
          </c:tx>
          <c:spPr>
            <a:solidFill>
              <a:schemeClr val="accent4">
                <a:lumMod val="80000"/>
                <a:lumOff val="20000"/>
                <a:alpha val="75000"/>
              </a:schemeClr>
            </a:solidFill>
            <a:ln>
              <a:noFill/>
            </a:ln>
            <a:effectLst/>
          </c:spPr>
          <c:invertIfNegative val="0"/>
          <c:dLbls>
            <c:dLbl>
              <c:idx val="0"/>
              <c:layout>
                <c:manualLayout>
                  <c:x val="-6.3873125776583356E-2"/>
                  <c:y val="-0.1069719539773485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C-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Difficulty'!$B$17</c:f>
              <c:numCache>
                <c:formatCode>_ * #,##0_)_ ;_ * \(#,##0\)_ ;_ * "-"??_)_ ;_ @_ </c:formatCode>
                <c:ptCount val="1"/>
                <c:pt idx="0">
                  <c:v>61.684000000000005</c:v>
                </c:pt>
              </c:numCache>
            </c:numRef>
          </c:xVal>
          <c:yVal>
            <c:numRef>
              <c:f>'Popularity Difficulty'!$C$17</c:f>
              <c:numCache>
                <c:formatCode>_ * #,##0_)_ ;_ * \(#,##0\)_ ;_ * "-"??_)_ ;_ @_ </c:formatCode>
                <c:ptCount val="1"/>
                <c:pt idx="0">
                  <c:v>2502.9359999999997</c:v>
                </c:pt>
              </c:numCache>
            </c:numRef>
          </c:yVal>
          <c:bubbleSize>
            <c:numRef>
              <c:f>'Popularity Difficulty'!$D$17</c:f>
              <c:numCache>
                <c:formatCode>_ * #,##0_)_ ;_ * \(#,##0\)_ ;_ * "-"??_)_ ;_ @_ </c:formatCode>
                <c:ptCount val="1"/>
                <c:pt idx="0">
                  <c:v>23232</c:v>
                </c:pt>
              </c:numCache>
            </c:numRef>
          </c:bubbleSize>
          <c:bubble3D val="1"/>
          <c:extLst>
            <c:ext xmlns:c16="http://schemas.microsoft.com/office/drawing/2014/chart" uri="{C3380CC4-5D6E-409C-BE32-E72D297353CC}">
              <c16:uniqueId val="{0000002B-6711-4649-83F9-100A92A89B32}"/>
            </c:ext>
          </c:extLst>
        </c:ser>
        <c:ser>
          <c:idx val="16"/>
          <c:order val="16"/>
          <c:tx>
            <c:strRef>
              <c:f>'Popularity Difficulty'!$A$18</c:f>
              <c:strCache>
                <c:ptCount val="1"/>
                <c:pt idx="0">
                  <c:v>Kubernetes Cluster</c:v>
                </c:pt>
              </c:strCache>
            </c:strRef>
          </c:tx>
          <c:spPr>
            <a:solidFill>
              <a:schemeClr val="accent5">
                <a:lumMod val="80000"/>
                <a:lumOff val="20000"/>
                <a:alpha val="75000"/>
              </a:schemeClr>
            </a:solidFill>
            <a:ln>
              <a:noFill/>
            </a:ln>
            <a:effectLst/>
          </c:spPr>
          <c:invertIfNegative val="0"/>
          <c:dLbls>
            <c:dLbl>
              <c:idx val="0"/>
              <c:layout>
                <c:manualLayout>
                  <c:x val="-5.0016727183712674E-3"/>
                  <c:y val="0.1146067415730336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0-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Difficulty'!$B$18</c:f>
              <c:numCache>
                <c:formatCode>_ * #,##0_)_ ;_ * \(#,##0\)_ ;_ * "-"??_)_ ;_ @_ </c:formatCode>
                <c:ptCount val="1"/>
                <c:pt idx="0">
                  <c:v>59.9168303107312</c:v>
                </c:pt>
              </c:numCache>
            </c:numRef>
          </c:xVal>
          <c:yVal>
            <c:numRef>
              <c:f>'Popularity Difficulty'!$C$18</c:f>
              <c:numCache>
                <c:formatCode>_ * #,##0_)_ ;_ * \(#,##0\)_ ;_ * "-"??_)_ ;_ @_ </c:formatCode>
                <c:ptCount val="1"/>
                <c:pt idx="0">
                  <c:v>1020.49</c:v>
                </c:pt>
              </c:numCache>
            </c:numRef>
          </c:yVal>
          <c:bubbleSize>
            <c:numRef>
              <c:f>'Popularity Difficulty'!$D$18</c:f>
              <c:numCache>
                <c:formatCode>_ * #,##0_)_ ;_ * \(#,##0\)_ ;_ * "-"??_)_ ;_ @_ </c:formatCode>
                <c:ptCount val="1"/>
                <c:pt idx="0">
                  <c:v>8657</c:v>
                </c:pt>
              </c:numCache>
            </c:numRef>
          </c:bubbleSize>
          <c:bubble3D val="1"/>
          <c:extLst>
            <c:ext xmlns:c16="http://schemas.microsoft.com/office/drawing/2014/chart" uri="{C3380CC4-5D6E-409C-BE32-E72D297353CC}">
              <c16:uniqueId val="{0000002F-6711-4649-83F9-100A92A89B32}"/>
            </c:ext>
          </c:extLst>
        </c:ser>
        <c:ser>
          <c:idx val="17"/>
          <c:order val="17"/>
          <c:tx>
            <c:strRef>
              <c:f>'Popularity Difficulty'!$A$19</c:f>
              <c:strCache>
                <c:ptCount val="1"/>
                <c:pt idx="0">
                  <c:v>Kubernetes POD</c:v>
                </c:pt>
              </c:strCache>
            </c:strRef>
          </c:tx>
          <c:spPr>
            <a:solidFill>
              <a:schemeClr val="accent6">
                <a:lumMod val="80000"/>
                <a:lumOff val="20000"/>
                <a:alpha val="75000"/>
              </a:schemeClr>
            </a:solidFill>
            <a:ln>
              <a:noFill/>
            </a:ln>
            <a:effectLst/>
          </c:spPr>
          <c:invertIfNegative val="0"/>
          <c:dLbls>
            <c:dLbl>
              <c:idx val="0"/>
              <c:layout>
                <c:manualLayout>
                  <c:x val="-0.19743406251850099"/>
                  <c:y val="-1.7977528089887642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2-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BD"/>
              </a:p>
            </c:txPr>
            <c:dLblPos val="l"/>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Difficulty'!$B$19</c:f>
              <c:numCache>
                <c:formatCode>_ * #,##0_)_ ;_ * \(#,##0\)_ ;_ * "-"??_)_ ;_ @_ </c:formatCode>
                <c:ptCount val="1"/>
                <c:pt idx="0">
                  <c:v>57.213930348258707</c:v>
                </c:pt>
              </c:numCache>
            </c:numRef>
          </c:xVal>
          <c:yVal>
            <c:numRef>
              <c:f>'Popularity Difficulty'!$C$19</c:f>
              <c:numCache>
                <c:formatCode>_ * #,##0_)_ ;_ * \(#,##0\)_ ;_ * "-"??_)_ ;_ @_ </c:formatCode>
                <c:ptCount val="1"/>
                <c:pt idx="0">
                  <c:v>1381.11</c:v>
                </c:pt>
              </c:numCache>
            </c:numRef>
          </c:yVal>
          <c:bubbleSize>
            <c:numRef>
              <c:f>'Popularity Difficulty'!$D$19</c:f>
              <c:numCache>
                <c:formatCode>_ * #,##0_)_ ;_ * \(#,##0\)_ ;_ * "-"??_)_ ;_ @_ </c:formatCode>
                <c:ptCount val="1"/>
                <c:pt idx="0">
                  <c:v>8442</c:v>
                </c:pt>
              </c:numCache>
            </c:numRef>
          </c:bubbleSize>
          <c:bubble3D val="1"/>
          <c:extLst>
            <c:ext xmlns:c16="http://schemas.microsoft.com/office/drawing/2014/chart" uri="{C3380CC4-5D6E-409C-BE32-E72D297353CC}">
              <c16:uniqueId val="{00000031-6711-4649-83F9-100A92A89B32}"/>
            </c:ext>
          </c:extLst>
        </c:ser>
        <c:ser>
          <c:idx val="18"/>
          <c:order val="18"/>
          <c:tx>
            <c:strRef>
              <c:f>'Popularity Difficulty'!$A$20</c:f>
              <c:strCache>
                <c:ptCount val="1"/>
                <c:pt idx="0">
                  <c:v>Kubernetes Traffic Management</c:v>
                </c:pt>
              </c:strCache>
            </c:strRef>
          </c:tx>
          <c:spPr>
            <a:solidFill>
              <a:schemeClr val="accent1">
                <a:lumMod val="80000"/>
                <a:alpha val="75000"/>
              </a:schemeClr>
            </a:solidFill>
            <a:ln>
              <a:noFill/>
            </a:ln>
            <a:effectLst/>
          </c:spPr>
          <c:invertIfNegative val="0"/>
          <c:dLbls>
            <c:dLbl>
              <c:idx val="0"/>
              <c:layout>
                <c:manualLayout>
                  <c:x val="-7.5161404677880116E-3"/>
                  <c:y val="5.9140695524934388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E-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Difficulty'!$B$20</c:f>
              <c:numCache>
                <c:formatCode>_ * #,##0_)_ ;_ * \(#,##0\)_ ;_ * "-"??_)_ ;_ @_ </c:formatCode>
                <c:ptCount val="1"/>
                <c:pt idx="0">
                  <c:v>61.847964376590333</c:v>
                </c:pt>
              </c:numCache>
            </c:numRef>
          </c:xVal>
          <c:yVal>
            <c:numRef>
              <c:f>'Popularity Difficulty'!$C$20</c:f>
              <c:numCache>
                <c:formatCode>_ * #,##0_)_ ;_ * \(#,##0\)_ ;_ * "-"??_)_ ;_ @_ </c:formatCode>
                <c:ptCount val="1"/>
                <c:pt idx="0">
                  <c:v>921.61</c:v>
                </c:pt>
              </c:numCache>
            </c:numRef>
          </c:yVal>
          <c:bubbleSize>
            <c:numRef>
              <c:f>'Popularity Difficulty'!$D$20</c:f>
              <c:numCache>
                <c:formatCode>_ * #,##0_)_ ;_ * \(#,##0\)_ ;_ * "-"??_)_ ;_ @_ </c:formatCode>
                <c:ptCount val="1"/>
                <c:pt idx="0">
                  <c:v>6288</c:v>
                </c:pt>
              </c:numCache>
            </c:numRef>
          </c:bubbleSize>
          <c:bubble3D val="1"/>
          <c:extLst>
            <c:ext xmlns:c16="http://schemas.microsoft.com/office/drawing/2014/chart" uri="{C3380CC4-5D6E-409C-BE32-E72D297353CC}">
              <c16:uniqueId val="{00000033-6711-4649-83F9-100A92A89B32}"/>
            </c:ext>
          </c:extLst>
        </c:ser>
        <c:ser>
          <c:idx val="19"/>
          <c:order val="19"/>
          <c:tx>
            <c:strRef>
              <c:f>'Popularity Difficulty'!$A$21</c:f>
              <c:strCache>
                <c:ptCount val="1"/>
                <c:pt idx="0">
                  <c:v>Non-functional Test Automation</c:v>
                </c:pt>
              </c:strCache>
            </c:strRef>
          </c:tx>
          <c:spPr>
            <a:solidFill>
              <a:schemeClr val="accent2">
                <a:lumMod val="80000"/>
                <a:alpha val="75000"/>
              </a:schemeClr>
            </a:solidFill>
            <a:ln>
              <a:noFill/>
            </a:ln>
            <a:effectLst/>
          </c:spPr>
          <c:invertIfNegative val="0"/>
          <c:dLbls>
            <c:dLbl>
              <c:idx val="0"/>
              <c:layout>
                <c:manualLayout>
                  <c:x val="7.5161404677880116E-3"/>
                  <c:y val="0.1007582220054439"/>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D-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Difficulty'!$B$21</c:f>
              <c:numCache>
                <c:formatCode>_ * #,##0_)_ ;_ * \(#,##0\)_ ;_ * "-"??_)_ ;_ @_ </c:formatCode>
                <c:ptCount val="1"/>
                <c:pt idx="0">
                  <c:v>63.717306622148023</c:v>
                </c:pt>
              </c:numCache>
            </c:numRef>
          </c:xVal>
          <c:yVal>
            <c:numRef>
              <c:f>'Popularity Difficulty'!$C$21</c:f>
              <c:numCache>
                <c:formatCode>_ * #,##0_)_ ;_ * \(#,##0\)_ ;_ * "-"??_)_ ;_ @_ </c:formatCode>
                <c:ptCount val="1"/>
                <c:pt idx="0">
                  <c:v>2061.62</c:v>
                </c:pt>
              </c:numCache>
            </c:numRef>
          </c:yVal>
          <c:bubbleSize>
            <c:numRef>
              <c:f>'Popularity Difficulty'!$D$21</c:f>
              <c:numCache>
                <c:formatCode>_ * #,##0_)_ ;_ * \(#,##0\)_ ;_ * "-"??_)_ ;_ @_ </c:formatCode>
                <c:ptCount val="1"/>
                <c:pt idx="0">
                  <c:v>5391</c:v>
                </c:pt>
              </c:numCache>
            </c:numRef>
          </c:bubbleSize>
          <c:bubble3D val="1"/>
          <c:extLst>
            <c:ext xmlns:c16="http://schemas.microsoft.com/office/drawing/2014/chart" uri="{C3380CC4-5D6E-409C-BE32-E72D297353CC}">
              <c16:uniqueId val="{00000034-6711-4649-83F9-100A92A89B32}"/>
            </c:ext>
          </c:extLst>
        </c:ser>
        <c:ser>
          <c:idx val="20"/>
          <c:order val="20"/>
          <c:tx>
            <c:strRef>
              <c:f>'Popularity Difficulty'!$A$22</c:f>
              <c:strCache>
                <c:ptCount val="1"/>
                <c:pt idx="0">
                  <c:v>Repository/git Management</c:v>
                </c:pt>
              </c:strCache>
            </c:strRef>
          </c:tx>
          <c:spPr>
            <a:solidFill>
              <a:schemeClr val="accent3">
                <a:lumMod val="80000"/>
                <a:alpha val="75000"/>
              </a:schemeClr>
            </a:solidFill>
            <a:ln>
              <a:noFill/>
            </a:ln>
            <a:effectLst/>
          </c:spPr>
          <c:invertIfNegative val="0"/>
          <c:dLbls>
            <c:dLbl>
              <c:idx val="0"/>
              <c:layout>
                <c:manualLayout>
                  <c:x val="-8.0286518538841528E-2"/>
                  <c:y val="-9.793664285293289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A-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Difficulty'!$B$22</c:f>
              <c:numCache>
                <c:formatCode>_ * #,##0_)_ ;_ * \(#,##0\)_ ;_ * "-"??_)_ ;_ @_ </c:formatCode>
                <c:ptCount val="1"/>
                <c:pt idx="0">
                  <c:v>58.69451697127937</c:v>
                </c:pt>
              </c:numCache>
            </c:numRef>
          </c:xVal>
          <c:yVal>
            <c:numRef>
              <c:f>'Popularity Difficulty'!$C$22</c:f>
              <c:numCache>
                <c:formatCode>_ * #,##0_)_ ;_ * \(#,##0\)_ ;_ * "-"??_)_ ;_ @_ </c:formatCode>
                <c:ptCount val="1"/>
                <c:pt idx="0">
                  <c:v>2739.8</c:v>
                </c:pt>
              </c:numCache>
            </c:numRef>
          </c:yVal>
          <c:bubbleSize>
            <c:numRef>
              <c:f>'Popularity Difficulty'!$D$22</c:f>
              <c:numCache>
                <c:formatCode>_ * #,##0_)_ ;_ * \(#,##0\)_ ;_ * "-"??_)_ ;_ @_ </c:formatCode>
                <c:ptCount val="1"/>
                <c:pt idx="0">
                  <c:v>5745</c:v>
                </c:pt>
              </c:numCache>
            </c:numRef>
          </c:bubbleSize>
          <c:bubble3D val="1"/>
          <c:extLst>
            <c:ext xmlns:c16="http://schemas.microsoft.com/office/drawing/2014/chart" uri="{C3380CC4-5D6E-409C-BE32-E72D297353CC}">
              <c16:uniqueId val="{00000035-6711-4649-83F9-100A92A89B32}"/>
            </c:ext>
          </c:extLst>
        </c:ser>
        <c:ser>
          <c:idx val="21"/>
          <c:order val="21"/>
          <c:tx>
            <c:strRef>
              <c:f>'Popularity Difficulty'!$A$23</c:f>
              <c:strCache>
                <c:ptCount val="1"/>
                <c:pt idx="0">
                  <c:v>Script Execution</c:v>
                </c:pt>
              </c:strCache>
            </c:strRef>
          </c:tx>
          <c:spPr>
            <a:solidFill>
              <a:schemeClr val="accent4">
                <a:lumMod val="80000"/>
                <a:alpha val="75000"/>
              </a:schemeClr>
            </a:solidFill>
            <a:ln>
              <a:noFill/>
            </a:ln>
            <a:effectLst/>
          </c:spPr>
          <c:invertIfNegative val="0"/>
          <c:dLbls>
            <c:dLbl>
              <c:idx val="0"/>
              <c:layout>
                <c:manualLayout>
                  <c:x val="-1.7850833610996528E-2"/>
                  <c:y val="-9.1996637483231392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B-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Difficulty'!$B$23</c:f>
              <c:numCache>
                <c:formatCode>_ * #,##0_)_ ;_ * \(#,##0\)_ ;_ * "-"??_)_ ;_ @_ </c:formatCode>
                <c:ptCount val="1"/>
                <c:pt idx="0">
                  <c:v>59.050712867713408</c:v>
                </c:pt>
              </c:numCache>
            </c:numRef>
          </c:xVal>
          <c:yVal>
            <c:numRef>
              <c:f>'Popularity Difficulty'!$C$23</c:f>
              <c:numCache>
                <c:formatCode>_ * #,##0_)_ ;_ * \(#,##0\)_ ;_ * "-"??_)_ ;_ @_ </c:formatCode>
                <c:ptCount val="1"/>
                <c:pt idx="0">
                  <c:v>2603.13</c:v>
                </c:pt>
              </c:numCache>
            </c:numRef>
          </c:yVal>
          <c:bubbleSize>
            <c:numRef>
              <c:f>'Popularity Difficulty'!$D$23</c:f>
              <c:numCache>
                <c:formatCode>_ * #,##0_)_ ;_ * \(#,##0\)_ ;_ * "-"??_)_ ;_ @_ </c:formatCode>
                <c:ptCount val="1"/>
                <c:pt idx="0">
                  <c:v>5541</c:v>
                </c:pt>
              </c:numCache>
            </c:numRef>
          </c:bubbleSize>
          <c:bubble3D val="1"/>
          <c:extLst>
            <c:ext xmlns:c16="http://schemas.microsoft.com/office/drawing/2014/chart" uri="{C3380CC4-5D6E-409C-BE32-E72D297353CC}">
              <c16:uniqueId val="{00000036-6711-4649-83F9-100A92A89B32}"/>
            </c:ext>
          </c:extLst>
        </c:ser>
        <c:ser>
          <c:idx val="22"/>
          <c:order val="22"/>
          <c:tx>
            <c:strRef>
              <c:f>'Popularity Difficulty'!$A$24</c:f>
              <c:strCache>
                <c:ptCount val="1"/>
                <c:pt idx="0">
                  <c:v>Script Syntax</c:v>
                </c:pt>
              </c:strCache>
            </c:strRef>
          </c:tx>
          <c:spPr>
            <a:solidFill>
              <a:schemeClr val="accent5">
                <a:lumMod val="80000"/>
                <a:alpha val="75000"/>
              </a:schemeClr>
            </a:solidFill>
            <a:ln>
              <a:noFill/>
            </a:ln>
            <a:effectLst/>
          </c:spPr>
          <c:invertIfNegative val="0"/>
          <c:dLbls>
            <c:dLbl>
              <c:idx val="0"/>
              <c:layout>
                <c:manualLayout>
                  <c:x val="-1.6911316052523027E-2"/>
                  <c:y val="-0.105139014266550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9-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Difficulty'!$B$24</c:f>
              <c:numCache>
                <c:formatCode>_ * #,##0_)_ ;_ * \(#,##0\)_ ;_ * "-"??_)_ ;_ @_ </c:formatCode>
                <c:ptCount val="1"/>
                <c:pt idx="0">
                  <c:v>44.928409947249435</c:v>
                </c:pt>
              </c:numCache>
            </c:numRef>
          </c:xVal>
          <c:yVal>
            <c:numRef>
              <c:f>'Popularity Difficulty'!$C$24</c:f>
              <c:numCache>
                <c:formatCode>_ * #,##0_)_ ;_ * \(#,##0\)_ ;_ * "-"??_)_ ;_ @_ </c:formatCode>
                <c:ptCount val="1"/>
                <c:pt idx="0">
                  <c:v>2018.2</c:v>
                </c:pt>
              </c:numCache>
            </c:numRef>
          </c:yVal>
          <c:bubbleSize>
            <c:numRef>
              <c:f>'Popularity Difficulty'!$D$24</c:f>
              <c:numCache>
                <c:formatCode>_ * #,##0_)_ ;_ * \(#,##0\)_ ;_ * "-"??_)_ ;_ @_ </c:formatCode>
                <c:ptCount val="1"/>
                <c:pt idx="0">
                  <c:v>6635</c:v>
                </c:pt>
              </c:numCache>
            </c:numRef>
          </c:bubbleSize>
          <c:bubble3D val="1"/>
          <c:extLst>
            <c:ext xmlns:c16="http://schemas.microsoft.com/office/drawing/2014/chart" uri="{C3380CC4-5D6E-409C-BE32-E72D297353CC}">
              <c16:uniqueId val="{00000037-6711-4649-83F9-100A92A89B32}"/>
            </c:ext>
          </c:extLst>
        </c:ser>
        <c:ser>
          <c:idx val="23"/>
          <c:order val="23"/>
          <c:tx>
            <c:strRef>
              <c:f>'Popularity Difficulty'!$A$25</c:f>
              <c:strCache>
                <c:ptCount val="1"/>
                <c:pt idx="0">
                  <c:v>User Permission</c:v>
                </c:pt>
              </c:strCache>
            </c:strRef>
          </c:tx>
          <c:spPr>
            <a:solidFill>
              <a:schemeClr val="accent6">
                <a:lumMod val="80000"/>
                <a:alpha val="75000"/>
              </a:schemeClr>
            </a:solidFill>
            <a:ln>
              <a:noFill/>
            </a:ln>
            <a:effectLst/>
          </c:spPr>
          <c:invertIfNegative val="0"/>
          <c:dLbls>
            <c:dLbl>
              <c:idx val="0"/>
              <c:layout>
                <c:manualLayout>
                  <c:x val="-0.17944785366843877"/>
                  <c:y val="-1.7523169044425028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C-6711-4649-83F9-100A92A89B32}"/>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Difficulty'!$B$25</c:f>
              <c:numCache>
                <c:formatCode>_ * #,##0_)_ ;_ * \(#,##0\)_ ;_ * "-"??_)_ ;_ @_ </c:formatCode>
                <c:ptCount val="1"/>
                <c:pt idx="0">
                  <c:v>58.61440291704649</c:v>
                </c:pt>
              </c:numCache>
            </c:numRef>
          </c:xVal>
          <c:yVal>
            <c:numRef>
              <c:f>'Popularity Difficulty'!$C$25</c:f>
              <c:numCache>
                <c:formatCode>_ * #,##0_)_ ;_ * \(#,##0\)_ ;_ * "-"??_)_ ;_ @_ </c:formatCode>
                <c:ptCount val="1"/>
                <c:pt idx="0">
                  <c:v>2508.8200000000002</c:v>
                </c:pt>
              </c:numCache>
            </c:numRef>
          </c:yVal>
          <c:bubbleSize>
            <c:numRef>
              <c:f>'Popularity Difficulty'!$D$25</c:f>
              <c:numCache>
                <c:formatCode>_ * #,##0_)_ ;_ * \(#,##0\)_ ;_ * "-"??_)_ ;_ @_ </c:formatCode>
                <c:ptCount val="1"/>
                <c:pt idx="0">
                  <c:v>4388</c:v>
                </c:pt>
              </c:numCache>
            </c:numRef>
          </c:bubbleSize>
          <c:bubble3D val="1"/>
          <c:extLst>
            <c:ext xmlns:c16="http://schemas.microsoft.com/office/drawing/2014/chart" uri="{C3380CC4-5D6E-409C-BE32-E72D297353CC}">
              <c16:uniqueId val="{00000038-6711-4649-83F9-100A92A89B32}"/>
            </c:ext>
          </c:extLst>
        </c:ser>
        <c:dLbls>
          <c:dLblPos val="r"/>
          <c:showLegendKey val="0"/>
          <c:showVal val="1"/>
          <c:showCatName val="1"/>
          <c:showSerName val="0"/>
          <c:showPercent val="0"/>
          <c:showBubbleSize val="0"/>
        </c:dLbls>
        <c:bubbleScale val="70"/>
        <c:showNegBubbles val="0"/>
        <c:axId val="1719769343"/>
        <c:axId val="2127769712"/>
      </c:bubbleChart>
      <c:valAx>
        <c:axId val="1719769343"/>
        <c:scaling>
          <c:orientation val="minMax"/>
          <c:max val="68"/>
          <c:min val="44"/>
        </c:scaling>
        <c:delete val="0"/>
        <c:axPos val="b"/>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GB"/>
                  <a:t>Difficulty</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BD"/>
            </a:p>
          </c:txPr>
        </c:title>
        <c:numFmt formatCode="_ * #,##0_)_ ;_ * \(#,##0\)_ ;_ * &quot;-&quot;??_)_ ;_ @_ "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BD"/>
          </a:p>
        </c:txPr>
        <c:crossAx val="2127769712"/>
        <c:crosses val="autoZero"/>
        <c:crossBetween val="midCat"/>
        <c:majorUnit val="5"/>
      </c:valAx>
      <c:valAx>
        <c:axId val="212776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GB"/>
                  <a:t>Average VIew</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BD"/>
            </a:p>
          </c:txPr>
        </c:title>
        <c:numFmt formatCode="_ * #,##0_)_ ;_ * \(#,##0\)_ ;_ * &quot;-&quot;??_)_ ;_ @_ "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BD"/>
          </a:p>
        </c:txPr>
        <c:crossAx val="17197693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BD"/>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Popularity Difficulty Tradeoff</a:t>
            </a:r>
            <a:r>
              <a:rPr lang="en-GB" baseline="0"/>
              <a:t> </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BD"/>
        </a:p>
      </c:txPr>
    </c:title>
    <c:autoTitleDeleted val="0"/>
    <c:plotArea>
      <c:layout/>
      <c:bubbleChart>
        <c:varyColors val="0"/>
        <c:ser>
          <c:idx val="0"/>
          <c:order val="0"/>
          <c:tx>
            <c:strRef>
              <c:f>'Popularity Difficulty 3 yrs'!$A$2</c:f>
              <c:strCache>
                <c:ptCount val="1"/>
                <c:pt idx="0">
                  <c:v>Azure DevOps Build Project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4.1450777202072537E-3"/>
                  <c:y val="2.4719101123595506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yrs'!$B$2</c:f>
              <c:numCache>
                <c:formatCode>_ * #,##0_)_ ;_ * \(#,##0\)_ ;_ * "-"??_)_ ;_ @_ </c:formatCode>
                <c:ptCount val="1"/>
                <c:pt idx="0">
                  <c:v>46.375753149534418</c:v>
                </c:pt>
              </c:numCache>
            </c:numRef>
          </c:xVal>
          <c:yVal>
            <c:numRef>
              <c:f>'Popularity Difficulty 3 yrs'!$C$2</c:f>
              <c:numCache>
                <c:formatCode>_ * #,##0_)_ ;_ * \(#,##0\)_ ;_ * "-"??_)_ ;_ @_ </c:formatCode>
                <c:ptCount val="1"/>
                <c:pt idx="0">
                  <c:v>1391.26</c:v>
                </c:pt>
              </c:numCache>
            </c:numRef>
          </c:yVal>
          <c:bubbleSize>
            <c:numRef>
              <c:f>'Popularity Difficulty 3 yrs'!$D$2</c:f>
              <c:numCache>
                <c:formatCode>_ * #,##0_)_ ;_ * \(#,##0\)_ ;_ * "-"??_)_ ;_ @_ </c:formatCode>
                <c:ptCount val="1"/>
                <c:pt idx="0">
                  <c:v>3068</c:v>
                </c:pt>
              </c:numCache>
            </c:numRef>
          </c:bubbleSize>
          <c:bubble3D val="1"/>
          <c:extLst>
            <c:ext xmlns:c16="http://schemas.microsoft.com/office/drawing/2014/chart" uri="{C3380CC4-5D6E-409C-BE32-E72D297353CC}">
              <c16:uniqueId val="{00000001-A23B-B541-BF36-DAD5B36D429C}"/>
            </c:ext>
          </c:extLst>
        </c:ser>
        <c:ser>
          <c:idx val="1"/>
          <c:order val="1"/>
          <c:tx>
            <c:strRef>
              <c:f>'Popularity Difficulty 3 yrs'!$A$3</c:f>
              <c:strCache>
                <c:ptCount val="1"/>
                <c:pt idx="0">
                  <c:v>Azure DevOps Deployment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0.19851518560179979"/>
                  <c:y val="1.7977528089887559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ct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yrs'!$B$3</c:f>
              <c:numCache>
                <c:formatCode>_ * #,##0_)_ ;_ * \(#,##0\)_ ;_ * "-"??_)_ ;_ @_ </c:formatCode>
                <c:ptCount val="1"/>
                <c:pt idx="0">
                  <c:v>56.761513640363745</c:v>
                </c:pt>
              </c:numCache>
            </c:numRef>
          </c:xVal>
          <c:yVal>
            <c:numRef>
              <c:f>'Popularity Difficulty 3 yrs'!$C$3</c:f>
              <c:numCache>
                <c:formatCode>_ * #,##0_)_ ;_ * \(#,##0\)_ ;_ * "-"??_)_ ;_ @_ </c:formatCode>
                <c:ptCount val="1"/>
                <c:pt idx="0">
                  <c:v>932.96</c:v>
                </c:pt>
              </c:numCache>
            </c:numRef>
          </c:yVal>
          <c:bubbleSize>
            <c:numRef>
              <c:f>'Popularity Difficulty 3 yrs'!$D$3</c:f>
              <c:numCache>
                <c:formatCode>_ * #,##0_)_ ;_ * \(#,##0\)_ ;_ * "-"??_)_ ;_ @_ </c:formatCode>
                <c:ptCount val="1"/>
                <c:pt idx="0">
                  <c:v>4423</c:v>
                </c:pt>
              </c:numCache>
            </c:numRef>
          </c:bubbleSize>
          <c:bubble3D val="1"/>
          <c:extLst>
            <c:ext xmlns:c16="http://schemas.microsoft.com/office/drawing/2014/chart" uri="{C3380CC4-5D6E-409C-BE32-E72D297353CC}">
              <c16:uniqueId val="{00000003-A23B-B541-BF36-DAD5B36D429C}"/>
            </c:ext>
          </c:extLst>
        </c:ser>
        <c:ser>
          <c:idx val="2"/>
          <c:order val="2"/>
          <c:tx>
            <c:strRef>
              <c:f>'Popularity Difficulty 3 yrs'!$A$4</c:f>
              <c:strCache>
                <c:ptCount val="1"/>
                <c:pt idx="0">
                  <c:v>Azure DevOps Development Pipeline</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0.12331606217616581"/>
                  <c:y val="0.10786516853932585"/>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yrs'!$B$4</c:f>
              <c:numCache>
                <c:formatCode>_ * #,##0_)_ ;_ * \(#,##0\)_ ;_ * "-"??_)_ ;_ @_ </c:formatCode>
                <c:ptCount val="1"/>
                <c:pt idx="0">
                  <c:v>45.806238289430176</c:v>
                </c:pt>
              </c:numCache>
            </c:numRef>
          </c:xVal>
          <c:yVal>
            <c:numRef>
              <c:f>'Popularity Difficulty 3 yrs'!$C$4</c:f>
              <c:numCache>
                <c:formatCode>_ * #,##0_)_ ;_ * \(#,##0\)_ ;_ * "-"??_)_ ;_ @_ </c:formatCode>
                <c:ptCount val="1"/>
                <c:pt idx="0">
                  <c:v>607.44000000000005</c:v>
                </c:pt>
              </c:numCache>
            </c:numRef>
          </c:yVal>
          <c:bubbleSize>
            <c:numRef>
              <c:f>'Popularity Difficulty 3 yrs'!$D$4</c:f>
              <c:numCache>
                <c:formatCode>_ * #,##0_)_ ;_ * \(#,##0\)_ ;_ * "-"??_)_ ;_ @_ </c:formatCode>
                <c:ptCount val="1"/>
                <c:pt idx="0">
                  <c:v>8310</c:v>
                </c:pt>
              </c:numCache>
            </c:numRef>
          </c:bubbleSize>
          <c:bubble3D val="1"/>
          <c:extLst>
            <c:ext xmlns:c16="http://schemas.microsoft.com/office/drawing/2014/chart" uri="{C3380CC4-5D6E-409C-BE32-E72D297353CC}">
              <c16:uniqueId val="{00000005-A23B-B541-BF36-DAD5B36D429C}"/>
            </c:ext>
          </c:extLst>
        </c:ser>
        <c:ser>
          <c:idx val="3"/>
          <c:order val="3"/>
          <c:tx>
            <c:strRef>
              <c:f>'Popularity Difficulty 3 yrs'!$A$5</c:f>
              <c:strCache>
                <c:ptCount val="1"/>
                <c:pt idx="0">
                  <c:v>Cloud Infra Automation</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8.0511144988455394E-2"/>
                  <c:y val="0.15505617977528091"/>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ct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yrs'!$B$5</c:f>
              <c:numCache>
                <c:formatCode>_ * #,##0_)_ ;_ * \(#,##0\)_ ;_ * "-"??_)_ ;_ @_ </c:formatCode>
                <c:ptCount val="1"/>
                <c:pt idx="0">
                  <c:v>57.363210478972036</c:v>
                </c:pt>
              </c:numCache>
            </c:numRef>
          </c:xVal>
          <c:yVal>
            <c:numRef>
              <c:f>'Popularity Difficulty 3 yrs'!$C$5</c:f>
              <c:numCache>
                <c:formatCode>_ * #,##0_)_ ;_ * \(#,##0\)_ ;_ * "-"??_)_ ;_ @_ </c:formatCode>
                <c:ptCount val="1"/>
                <c:pt idx="0">
                  <c:v>1087.365</c:v>
                </c:pt>
              </c:numCache>
            </c:numRef>
          </c:yVal>
          <c:bubbleSize>
            <c:numRef>
              <c:f>'Popularity Difficulty 3 yrs'!$D$5</c:f>
              <c:numCache>
                <c:formatCode>_ * #,##0_)_ ;_ * \(#,##0\)_ ;_ * "-"??_)_ ;_ @_ </c:formatCode>
                <c:ptCount val="1"/>
                <c:pt idx="0">
                  <c:v>9171</c:v>
                </c:pt>
              </c:numCache>
            </c:numRef>
          </c:bubbleSize>
          <c:bubble3D val="1"/>
          <c:extLst>
            <c:ext xmlns:c16="http://schemas.microsoft.com/office/drawing/2014/chart" uri="{C3380CC4-5D6E-409C-BE32-E72D297353CC}">
              <c16:uniqueId val="{00000007-A23B-B541-BF36-DAD5B36D429C}"/>
            </c:ext>
          </c:extLst>
        </c:ser>
        <c:ser>
          <c:idx val="4"/>
          <c:order val="4"/>
          <c:tx>
            <c:strRef>
              <c:f>'Popularity Difficulty 3 yrs'!$A$6</c:f>
              <c:strCache>
                <c:ptCount val="1"/>
                <c:pt idx="0">
                  <c:v>Configuration Automation</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0.10466321243523323"/>
                  <c:y val="-0.1303370786516854"/>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yrs'!$B$6</c:f>
              <c:numCache>
                <c:formatCode>_ * #,##0_)_ ;_ * \(#,##0\)_ ;_ * "-"??_)_ ;_ @_ </c:formatCode>
                <c:ptCount val="1"/>
                <c:pt idx="0">
                  <c:v>51.598694675722783</c:v>
                </c:pt>
              </c:numCache>
            </c:numRef>
          </c:xVal>
          <c:yVal>
            <c:numRef>
              <c:f>'Popularity Difficulty 3 yrs'!$C$6</c:f>
              <c:numCache>
                <c:formatCode>_ * #,##0_)_ ;_ * \(#,##0\)_ ;_ * "-"??_)_ ;_ @_ </c:formatCode>
                <c:ptCount val="1"/>
                <c:pt idx="0">
                  <c:v>2177.42</c:v>
                </c:pt>
              </c:numCache>
            </c:numRef>
          </c:yVal>
          <c:bubbleSize>
            <c:numRef>
              <c:f>'Popularity Difficulty 3 yrs'!$D$6</c:f>
              <c:numCache>
                <c:formatCode>_ * #,##0_)_ ;_ * \(#,##0\)_ ;_ * "-"??_)_ ;_ @_ </c:formatCode>
                <c:ptCount val="1"/>
                <c:pt idx="0">
                  <c:v>7641</c:v>
                </c:pt>
              </c:numCache>
            </c:numRef>
          </c:bubbleSize>
          <c:bubble3D val="1"/>
          <c:extLst>
            <c:ext xmlns:c16="http://schemas.microsoft.com/office/drawing/2014/chart" uri="{C3380CC4-5D6E-409C-BE32-E72D297353CC}">
              <c16:uniqueId val="{00000009-A23B-B541-BF36-DAD5B36D429C}"/>
            </c:ext>
          </c:extLst>
        </c:ser>
        <c:ser>
          <c:idx val="5"/>
          <c:order val="5"/>
          <c:tx>
            <c:strRef>
              <c:f>'Popularity Difficulty 3 yrs'!$A$7</c:f>
              <c:strCache>
                <c:ptCount val="1"/>
                <c:pt idx="0">
                  <c:v>Docker</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0.11294476348351186"/>
                  <c:y val="-0.13258426966292136"/>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l"/>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yrs'!$B$7</c:f>
              <c:numCache>
                <c:formatCode>_ * #,##0_)_ ;_ * \(#,##0\)_ ;_ * "-"??_)_ ;_ @_ </c:formatCode>
                <c:ptCount val="1"/>
                <c:pt idx="0">
                  <c:v>59.135481288773263</c:v>
                </c:pt>
              </c:numCache>
            </c:numRef>
          </c:xVal>
          <c:yVal>
            <c:numRef>
              <c:f>'Popularity Difficulty 3 yrs'!$C$7</c:f>
              <c:numCache>
                <c:formatCode>_ * #,##0_)_ ;_ * \(#,##0\)_ ;_ * "-"??_)_ ;_ @_ </c:formatCode>
                <c:ptCount val="1"/>
                <c:pt idx="0">
                  <c:v>1434.59</c:v>
                </c:pt>
              </c:numCache>
            </c:numRef>
          </c:yVal>
          <c:bubbleSize>
            <c:numRef>
              <c:f>'Popularity Difficulty 3 yrs'!$D$7</c:f>
              <c:numCache>
                <c:formatCode>_ * #,##0_)_ ;_ * \(#,##0\)_ ;_ * "-"??_)_ ;_ @_ </c:formatCode>
                <c:ptCount val="1"/>
                <c:pt idx="0">
                  <c:v>4227</c:v>
                </c:pt>
              </c:numCache>
            </c:numRef>
          </c:bubbleSize>
          <c:bubble3D val="1"/>
          <c:extLst>
            <c:ext xmlns:c16="http://schemas.microsoft.com/office/drawing/2014/chart" uri="{C3380CC4-5D6E-409C-BE32-E72D297353CC}">
              <c16:uniqueId val="{0000000B-A23B-B541-BF36-DAD5B36D429C}"/>
            </c:ext>
          </c:extLst>
        </c:ser>
        <c:ser>
          <c:idx val="6"/>
          <c:order val="6"/>
          <c:tx>
            <c:strRef>
              <c:f>'Popularity Difficulty 3 yrs'!$A$8</c:f>
              <c:strCache>
                <c:ptCount val="1"/>
                <c:pt idx="0">
                  <c:v>Exception Handling</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2.0725388601036268E-3"/>
                  <c:y val="-2.24719101123595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C-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yrs'!$B$8</c:f>
              <c:numCache>
                <c:formatCode>_ * #,##0_)_ ;_ * \(#,##0\)_ ;_ * "-"??_)_ ;_ @_ </c:formatCode>
                <c:ptCount val="1"/>
                <c:pt idx="0">
                  <c:v>65.554553651938676</c:v>
                </c:pt>
              </c:numCache>
            </c:numRef>
          </c:xVal>
          <c:yVal>
            <c:numRef>
              <c:f>'Popularity Difficulty 3 yrs'!$C$8</c:f>
              <c:numCache>
                <c:formatCode>_ * #,##0_)_ ;_ * \(#,##0\)_ ;_ * "-"??_)_ ;_ @_ </c:formatCode>
                <c:ptCount val="1"/>
                <c:pt idx="0">
                  <c:v>1970.01</c:v>
                </c:pt>
              </c:numCache>
            </c:numRef>
          </c:yVal>
          <c:bubbleSize>
            <c:numRef>
              <c:f>'Popularity Difficulty 3 yrs'!$D$8</c:f>
              <c:numCache>
                <c:formatCode>_ * #,##0_)_ ;_ * \(#,##0\)_ ;_ * "-"??_)_ ;_ @_ </c:formatCode>
                <c:ptCount val="1"/>
                <c:pt idx="0">
                  <c:v>2401</c:v>
                </c:pt>
              </c:numCache>
            </c:numRef>
          </c:bubbleSize>
          <c:bubble3D val="1"/>
          <c:extLst>
            <c:ext xmlns:c16="http://schemas.microsoft.com/office/drawing/2014/chart" uri="{C3380CC4-5D6E-409C-BE32-E72D297353CC}">
              <c16:uniqueId val="{0000000D-A23B-B541-BF36-DAD5B36D429C}"/>
            </c:ext>
          </c:extLst>
        </c:ser>
        <c:ser>
          <c:idx val="7"/>
          <c:order val="7"/>
          <c:tx>
            <c:strRef>
              <c:f>'Popularity Difficulty 3 yrs'!$A$9</c:f>
              <c:strCache>
                <c:ptCount val="1"/>
                <c:pt idx="0">
                  <c:v>File Management</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0.15560090063484755"/>
                  <c:y val="-6.5793290764910473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E-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yrs'!$B$9</c:f>
              <c:numCache>
                <c:formatCode>_ * #,##0_)_ ;_ * \(#,##0\)_ ;_ * "-"??_)_ ;_ @_ </c:formatCode>
                <c:ptCount val="1"/>
                <c:pt idx="0">
                  <c:v>58.130762782900248</c:v>
                </c:pt>
              </c:numCache>
            </c:numRef>
          </c:xVal>
          <c:yVal>
            <c:numRef>
              <c:f>'Popularity Difficulty 3 yrs'!$C$9</c:f>
              <c:numCache>
                <c:formatCode>_ * #,##0_)_ ;_ * \(#,##0\)_ ;_ * "-"??_)_ ;_ @_ </c:formatCode>
                <c:ptCount val="1"/>
                <c:pt idx="0">
                  <c:v>2805.36</c:v>
                </c:pt>
              </c:numCache>
            </c:numRef>
          </c:yVal>
          <c:bubbleSize>
            <c:numRef>
              <c:f>'Popularity Difficulty 3 yrs'!$D$9</c:f>
              <c:numCache>
                <c:formatCode>_ * #,##0_)_ ;_ * \(#,##0\)_ ;_ * "-"??_)_ ;_ @_ </c:formatCode>
                <c:ptCount val="1"/>
                <c:pt idx="0">
                  <c:v>3174</c:v>
                </c:pt>
              </c:numCache>
            </c:numRef>
          </c:bubbleSize>
          <c:bubble3D val="1"/>
          <c:extLst>
            <c:ext xmlns:c16="http://schemas.microsoft.com/office/drawing/2014/chart" uri="{C3380CC4-5D6E-409C-BE32-E72D297353CC}">
              <c16:uniqueId val="{0000000F-A23B-B541-BF36-DAD5B36D429C}"/>
            </c:ext>
          </c:extLst>
        </c:ser>
        <c:ser>
          <c:idx val="8"/>
          <c:order val="8"/>
          <c:tx>
            <c:strRef>
              <c:f>'Popularity Difficulty 3 yrs'!$A$10</c:f>
              <c:strCache>
                <c:ptCount val="1"/>
                <c:pt idx="0">
                  <c:v>Functional Test Automation</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1.0362694300518135E-2"/>
                  <c:y val="3.8202247191011153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yrs'!$B$10</c:f>
              <c:numCache>
                <c:formatCode>_ * #,##0_)_ ;_ * \(#,##0\)_ ;_ * "-"??_)_ ;_ @_ </c:formatCode>
                <c:ptCount val="1"/>
                <c:pt idx="0">
                  <c:v>63.932980599647266</c:v>
                </c:pt>
              </c:numCache>
            </c:numRef>
          </c:xVal>
          <c:yVal>
            <c:numRef>
              <c:f>'Popularity Difficulty 3 yrs'!$C$10</c:f>
              <c:numCache>
                <c:formatCode>_ * #,##0_)_ ;_ * \(#,##0\)_ ;_ * "-"??_)_ ;_ @_ </c:formatCode>
                <c:ptCount val="1"/>
                <c:pt idx="0">
                  <c:v>1399.63</c:v>
                </c:pt>
              </c:numCache>
            </c:numRef>
          </c:yVal>
          <c:bubbleSize>
            <c:numRef>
              <c:f>'Popularity Difficulty 3 yrs'!$D$10</c:f>
              <c:numCache>
                <c:formatCode>_ * #,##0_)_ ;_ * \(#,##0\)_ ;_ * "-"??_)_ ;_ @_ </c:formatCode>
                <c:ptCount val="1"/>
                <c:pt idx="0">
                  <c:v>2938</c:v>
                </c:pt>
              </c:numCache>
            </c:numRef>
          </c:bubbleSize>
          <c:bubble3D val="1"/>
          <c:extLst>
            <c:ext xmlns:c16="http://schemas.microsoft.com/office/drawing/2014/chart" uri="{C3380CC4-5D6E-409C-BE32-E72D297353CC}">
              <c16:uniqueId val="{00000011-A23B-B541-BF36-DAD5B36D429C}"/>
            </c:ext>
          </c:extLst>
        </c:ser>
        <c:ser>
          <c:idx val="9"/>
          <c:order val="9"/>
          <c:tx>
            <c:strRef>
              <c:f>'Popularity Difficulty 3 yrs'!$A$11</c:f>
              <c:strCache>
                <c:ptCount val="1"/>
                <c:pt idx="0">
                  <c:v>Gitlab CI/CD</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8.7869945533124147E-2"/>
                  <c:y val="-0.14157303370786517"/>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ct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yrs'!$B$11</c:f>
              <c:numCache>
                <c:formatCode>_ * #,##0_)_ ;_ * \(#,##0\)_ ;_ * "-"??_)_ ;_ @_ </c:formatCode>
                <c:ptCount val="1"/>
                <c:pt idx="0">
                  <c:v>60.100518806744489</c:v>
                </c:pt>
              </c:numCache>
            </c:numRef>
          </c:xVal>
          <c:yVal>
            <c:numRef>
              <c:f>'Popularity Difficulty 3 yrs'!$C$11</c:f>
              <c:numCache>
                <c:formatCode>_ * #,##0_)_ ;_ * \(#,##0\)_ ;_ * "-"??_)_ ;_ @_ </c:formatCode>
                <c:ptCount val="1"/>
                <c:pt idx="0">
                  <c:v>1415.8</c:v>
                </c:pt>
              </c:numCache>
            </c:numRef>
          </c:yVal>
          <c:bubbleSize>
            <c:numRef>
              <c:f>'Popularity Difficulty 3 yrs'!$D$11</c:f>
              <c:numCache>
                <c:formatCode>_ * #,##0_)_ ;_ * \(#,##0\)_ ;_ * "-"??_)_ ;_ @_ </c:formatCode>
                <c:ptCount val="1"/>
                <c:pt idx="0">
                  <c:v>4822</c:v>
                </c:pt>
              </c:numCache>
            </c:numRef>
          </c:bubbleSize>
          <c:bubble3D val="1"/>
          <c:extLst>
            <c:ext xmlns:c16="http://schemas.microsoft.com/office/drawing/2014/chart" uri="{C3380CC4-5D6E-409C-BE32-E72D297353CC}">
              <c16:uniqueId val="{00000013-A23B-B541-BF36-DAD5B36D429C}"/>
            </c:ext>
          </c:extLst>
        </c:ser>
        <c:ser>
          <c:idx val="10"/>
          <c:order val="10"/>
          <c:tx>
            <c:strRef>
              <c:f>'Popularity Difficulty 3 yrs'!$A$12</c:f>
              <c:strCache>
                <c:ptCount val="1"/>
                <c:pt idx="0">
                  <c:v>IBM Cloud</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9.3264248704663967E-3"/>
                  <c:y val="6.292134831460674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yrs'!$B$12</c:f>
              <c:numCache>
                <c:formatCode>_ * #,##0_)_ ;_ * \(#,##0\)_ ;_ * "-"??_)_ ;_ @_ </c:formatCode>
                <c:ptCount val="1"/>
                <c:pt idx="0">
                  <c:v>59.513192121887776</c:v>
                </c:pt>
              </c:numCache>
            </c:numRef>
          </c:xVal>
          <c:yVal>
            <c:numRef>
              <c:f>'Popularity Difficulty 3 yrs'!$C$12</c:f>
              <c:numCache>
                <c:formatCode>_ * #,##0_)_ ;_ * \(#,##0\)_ ;_ * "-"??_)_ ;_ @_ </c:formatCode>
                <c:ptCount val="1"/>
                <c:pt idx="0">
                  <c:v>421.06</c:v>
                </c:pt>
              </c:numCache>
            </c:numRef>
          </c:yVal>
          <c:bubbleSize>
            <c:numRef>
              <c:f>'Popularity Difficulty 3 yrs'!$D$12</c:f>
              <c:numCache>
                <c:formatCode>_ * #,##0_)_ ;_ * \(#,##0\)_ ;_ * "-"??_)_ ;_ @_ </c:formatCode>
                <c:ptCount val="1"/>
                <c:pt idx="0">
                  <c:v>2551</c:v>
                </c:pt>
              </c:numCache>
            </c:numRef>
          </c:bubbleSize>
          <c:bubble3D val="1"/>
          <c:extLst>
            <c:ext xmlns:c16="http://schemas.microsoft.com/office/drawing/2014/chart" uri="{C3380CC4-5D6E-409C-BE32-E72D297353CC}">
              <c16:uniqueId val="{00000015-A23B-B541-BF36-DAD5B36D429C}"/>
            </c:ext>
          </c:extLst>
        </c:ser>
        <c:ser>
          <c:idx val="11"/>
          <c:order val="11"/>
          <c:tx>
            <c:strRef>
              <c:f>'Popularity Difficulty 3 yrs'!$A$13</c:f>
              <c:strCache>
                <c:ptCount val="1"/>
                <c:pt idx="0">
                  <c:v>Jenkins Build from Git Branch</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8.074525584539699E-2"/>
                  <c:y val="6.4298787391853282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ct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yrs'!$B$13</c:f>
              <c:numCache>
                <c:formatCode>_ * #,##0_)_ ;_ * \(#,##0\)_ ;_ * "-"??_)_ ;_ @_ </c:formatCode>
                <c:ptCount val="1"/>
                <c:pt idx="0">
                  <c:v>62.115563839701771</c:v>
                </c:pt>
              </c:numCache>
            </c:numRef>
          </c:xVal>
          <c:yVal>
            <c:numRef>
              <c:f>'Popularity Difficulty 3 yrs'!$C$13</c:f>
              <c:numCache>
                <c:formatCode>_ * #,##0_)_ ;_ * \(#,##0\)_ ;_ * "-"??_)_ ;_ @_ </c:formatCode>
                <c:ptCount val="1"/>
                <c:pt idx="0">
                  <c:v>2065.02</c:v>
                </c:pt>
              </c:numCache>
            </c:numRef>
          </c:yVal>
          <c:bubbleSize>
            <c:numRef>
              <c:f>'Popularity Difficulty 3 yrs'!$D$13</c:f>
              <c:numCache>
                <c:formatCode>_ * #,##0_)_ ;_ * \(#,##0\)_ ;_ * "-"??_)_ ;_ @_ </c:formatCode>
                <c:ptCount val="1"/>
                <c:pt idx="0">
                  <c:v>5756</c:v>
                </c:pt>
              </c:numCache>
            </c:numRef>
          </c:bubbleSize>
          <c:bubble3D val="1"/>
          <c:extLst>
            <c:ext xmlns:c16="http://schemas.microsoft.com/office/drawing/2014/chart" uri="{C3380CC4-5D6E-409C-BE32-E72D297353CC}">
              <c16:uniqueId val="{00000017-A23B-B541-BF36-DAD5B36D429C}"/>
            </c:ext>
          </c:extLst>
        </c:ser>
        <c:ser>
          <c:idx val="12"/>
          <c:order val="12"/>
          <c:tx>
            <c:strRef>
              <c:f>'Popularity Difficulty 3 yrs'!$A$14</c:f>
              <c:strCache>
                <c:ptCount val="1"/>
                <c:pt idx="0">
                  <c:v>Jenkins Build Mobile Application</c:v>
                </c:pt>
              </c:strCache>
            </c:strRef>
          </c:tx>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3.945973745588692E-2"/>
                  <c:y val="0.13989387444511411"/>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1"/>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yrs'!$B$14</c:f>
              <c:numCache>
                <c:formatCode>_ * #,##0_)_ ;_ * \(#,##0\)_ ;_ * "-"??_)_ ;_ @_ </c:formatCode>
                <c:ptCount val="1"/>
                <c:pt idx="0">
                  <c:v>61.13493896403827</c:v>
                </c:pt>
              </c:numCache>
            </c:numRef>
          </c:xVal>
          <c:yVal>
            <c:numRef>
              <c:f>'Popularity Difficulty 3 yrs'!$C$14</c:f>
              <c:numCache>
                <c:formatCode>_ * #,##0_)_ ;_ * \(#,##0\)_ ;_ * "-"??_)_ ;_ @_ </c:formatCode>
                <c:ptCount val="1"/>
                <c:pt idx="0">
                  <c:v>1543.45</c:v>
                </c:pt>
              </c:numCache>
            </c:numRef>
          </c:yVal>
          <c:bubbleSize>
            <c:numRef>
              <c:f>'Popularity Difficulty 3 yrs'!$D$14</c:f>
              <c:numCache>
                <c:formatCode>_ * #,##0_)_ ;_ * \(#,##0\)_ ;_ * "-"??_)_ ;_ @_ </c:formatCode>
                <c:ptCount val="1"/>
                <c:pt idx="0">
                  <c:v>1584</c:v>
                </c:pt>
              </c:numCache>
            </c:numRef>
          </c:bubbleSize>
          <c:bubble3D val="1"/>
          <c:extLst>
            <c:ext xmlns:c16="http://schemas.microsoft.com/office/drawing/2014/chart" uri="{C3380CC4-5D6E-409C-BE32-E72D297353CC}">
              <c16:uniqueId val="{00000019-A23B-B541-BF36-DAD5B36D429C}"/>
            </c:ext>
          </c:extLst>
        </c:ser>
        <c:ser>
          <c:idx val="13"/>
          <c:order val="13"/>
          <c:tx>
            <c:strRef>
              <c:f>'Popularity Difficulty 3 yrs'!$A$15</c:f>
              <c:strCache>
                <c:ptCount val="1"/>
                <c:pt idx="0">
                  <c:v>Jenkins Build Projects</c:v>
                </c:pt>
              </c:strCache>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3.0976041858392363E-2"/>
                  <c:y val="-0.17053475675737204"/>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A-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yrs'!$B$15</c:f>
              <c:numCache>
                <c:formatCode>_ * #,##0_)_ ;_ * \(#,##0\)_ ;_ * "-"??_)_ ;_ @_ </c:formatCode>
                <c:ptCount val="1"/>
                <c:pt idx="0">
                  <c:v>63.338954468802697</c:v>
                </c:pt>
              </c:numCache>
            </c:numRef>
          </c:xVal>
          <c:yVal>
            <c:numRef>
              <c:f>'Popularity Difficulty 3 yrs'!$C$15</c:f>
              <c:numCache>
                <c:formatCode>_ * #,##0_)_ ;_ * \(#,##0\)_ ;_ * "-"??_)_ ;_ @_ </c:formatCode>
                <c:ptCount val="1"/>
                <c:pt idx="0">
                  <c:v>2035.07</c:v>
                </c:pt>
              </c:numCache>
            </c:numRef>
          </c:yVal>
          <c:bubbleSize>
            <c:numRef>
              <c:f>'Popularity Difficulty 3 yrs'!$D$15</c:f>
              <c:numCache>
                <c:formatCode>_ * #,##0_)_ ;_ * \(#,##0\)_ ;_ * "-"??_)_ ;_ @_ </c:formatCode>
                <c:ptCount val="1"/>
                <c:pt idx="0">
                  <c:v>2913</c:v>
                </c:pt>
              </c:numCache>
            </c:numRef>
          </c:bubbleSize>
          <c:bubble3D val="1"/>
          <c:extLst>
            <c:ext xmlns:c16="http://schemas.microsoft.com/office/drawing/2014/chart" uri="{C3380CC4-5D6E-409C-BE32-E72D297353CC}">
              <c16:uniqueId val="{0000001B-A23B-B541-BF36-DAD5B36D429C}"/>
            </c:ext>
          </c:extLst>
        </c:ser>
        <c:ser>
          <c:idx val="14"/>
          <c:order val="14"/>
          <c:tx>
            <c:strRef>
              <c:f>'Popularity Difficulty 3 yrs'!$A$16</c:f>
              <c:strCache>
                <c:ptCount val="1"/>
                <c:pt idx="0">
                  <c:v>Jenkins Distributed Architecture</c:v>
                </c:pt>
              </c:strCache>
            </c:strRef>
          </c:tx>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1.0708946633627212E-2"/>
                  <c:y val="-6.198044924852165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C-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yrs'!$B$16</c:f>
              <c:numCache>
                <c:formatCode>_ * #,##0_)_ ;_ * \(#,##0\)_ ;_ * "-"??_)_ ;_ @_ </c:formatCode>
                <c:ptCount val="1"/>
                <c:pt idx="0">
                  <c:v>64.675767918088738</c:v>
                </c:pt>
              </c:numCache>
            </c:numRef>
          </c:xVal>
          <c:yVal>
            <c:numRef>
              <c:f>'Popularity Difficulty 3 yrs'!$C$16</c:f>
              <c:numCache>
                <c:formatCode>_ * #,##0_)_ ;_ * \(#,##0\)_ ;_ * "-"??_)_ ;_ @_ </c:formatCode>
                <c:ptCount val="1"/>
                <c:pt idx="0">
                  <c:v>2332.35</c:v>
                </c:pt>
              </c:numCache>
            </c:numRef>
          </c:yVal>
          <c:bubbleSize>
            <c:numRef>
              <c:f>'Popularity Difficulty 3 yrs'!$D$16</c:f>
              <c:numCache>
                <c:formatCode>_ * #,##0_)_ ;_ * \(#,##0\)_ ;_ * "-"??_)_ ;_ @_ </c:formatCode>
                <c:ptCount val="1"/>
                <c:pt idx="0">
                  <c:v>3150</c:v>
                </c:pt>
              </c:numCache>
            </c:numRef>
          </c:bubbleSize>
          <c:bubble3D val="1"/>
          <c:extLst>
            <c:ext xmlns:c16="http://schemas.microsoft.com/office/drawing/2014/chart" uri="{C3380CC4-5D6E-409C-BE32-E72D297353CC}">
              <c16:uniqueId val="{0000001D-A23B-B541-BF36-DAD5B36D429C}"/>
            </c:ext>
          </c:extLst>
        </c:ser>
        <c:ser>
          <c:idx val="15"/>
          <c:order val="15"/>
          <c:tx>
            <c:strRef>
              <c:f>'Popularity Difficulty 3 yrs'!$A$17</c:f>
              <c:strCache>
                <c:ptCount val="1"/>
                <c:pt idx="0">
                  <c:v>Jenkins Pipeline</c:v>
                </c:pt>
              </c:strCache>
            </c:strRef>
          </c:tx>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6.3873125776583356E-2"/>
                  <c:y val="-0.1069719539773485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E-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yrs'!$B$17</c:f>
              <c:numCache>
                <c:formatCode>_ * #,##0_)_ ;_ * \(#,##0\)_ ;_ * "-"??_)_ ;_ @_ </c:formatCode>
                <c:ptCount val="1"/>
                <c:pt idx="0">
                  <c:v>61.684000000000005</c:v>
                </c:pt>
              </c:numCache>
            </c:numRef>
          </c:xVal>
          <c:yVal>
            <c:numRef>
              <c:f>'Popularity Difficulty 3 yrs'!$C$17</c:f>
              <c:numCache>
                <c:formatCode>_ * #,##0_)_ ;_ * \(#,##0\)_ ;_ * "-"??_)_ ;_ @_ </c:formatCode>
                <c:ptCount val="1"/>
                <c:pt idx="0">
                  <c:v>2502.9359999999997</c:v>
                </c:pt>
              </c:numCache>
            </c:numRef>
          </c:yVal>
          <c:bubbleSize>
            <c:numRef>
              <c:f>'Popularity Difficulty 3 yrs'!$D$17</c:f>
              <c:numCache>
                <c:formatCode>_ * #,##0_)_ ;_ * \(#,##0\)_ ;_ * "-"??_)_ ;_ @_ </c:formatCode>
                <c:ptCount val="1"/>
                <c:pt idx="0">
                  <c:v>15741</c:v>
                </c:pt>
              </c:numCache>
            </c:numRef>
          </c:bubbleSize>
          <c:bubble3D val="1"/>
          <c:extLst>
            <c:ext xmlns:c16="http://schemas.microsoft.com/office/drawing/2014/chart" uri="{C3380CC4-5D6E-409C-BE32-E72D297353CC}">
              <c16:uniqueId val="{0000001F-A23B-B541-BF36-DAD5B36D429C}"/>
            </c:ext>
          </c:extLst>
        </c:ser>
        <c:ser>
          <c:idx val="16"/>
          <c:order val="16"/>
          <c:tx>
            <c:strRef>
              <c:f>'Popularity Difficulty 3 yrs'!$A$18</c:f>
              <c:strCache>
                <c:ptCount val="1"/>
                <c:pt idx="0">
                  <c:v>Kubernetes Cluster</c:v>
                </c:pt>
              </c:strCache>
            </c:strRef>
          </c:tx>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5.0016727183712674E-3"/>
                  <c:y val="0.1146067415730336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0-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yrs'!$B$18</c:f>
              <c:numCache>
                <c:formatCode>_ * #,##0_)_ ;_ * \(#,##0\)_ ;_ * "-"??_)_ ;_ @_ </c:formatCode>
                <c:ptCount val="1"/>
                <c:pt idx="0">
                  <c:v>59.9168303107312</c:v>
                </c:pt>
              </c:numCache>
            </c:numRef>
          </c:xVal>
          <c:yVal>
            <c:numRef>
              <c:f>'Popularity Difficulty 3 yrs'!$C$18</c:f>
              <c:numCache>
                <c:formatCode>_ * #,##0_)_ ;_ * \(#,##0\)_ ;_ * "-"??_)_ ;_ @_ </c:formatCode>
                <c:ptCount val="1"/>
                <c:pt idx="0">
                  <c:v>1020.49</c:v>
                </c:pt>
              </c:numCache>
            </c:numRef>
          </c:yVal>
          <c:bubbleSize>
            <c:numRef>
              <c:f>'Popularity Difficulty 3 yrs'!$D$18</c:f>
              <c:numCache>
                <c:formatCode>_ * #,##0_)_ ;_ * \(#,##0\)_ ;_ * "-"??_)_ ;_ @_ </c:formatCode>
                <c:ptCount val="1"/>
                <c:pt idx="0">
                  <c:v>7510</c:v>
                </c:pt>
              </c:numCache>
            </c:numRef>
          </c:bubbleSize>
          <c:bubble3D val="1"/>
          <c:extLst>
            <c:ext xmlns:c16="http://schemas.microsoft.com/office/drawing/2014/chart" uri="{C3380CC4-5D6E-409C-BE32-E72D297353CC}">
              <c16:uniqueId val="{00000021-A23B-B541-BF36-DAD5B36D429C}"/>
            </c:ext>
          </c:extLst>
        </c:ser>
        <c:ser>
          <c:idx val="17"/>
          <c:order val="17"/>
          <c:tx>
            <c:strRef>
              <c:f>'Popularity Difficulty 3 yrs'!$A$19</c:f>
              <c:strCache>
                <c:ptCount val="1"/>
                <c:pt idx="0">
                  <c:v>Kubernetes POD</c:v>
                </c:pt>
              </c:strCache>
            </c:strRef>
          </c:tx>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0.19743406251850099"/>
                  <c:y val="-1.7977528089887642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2-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l"/>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yrs'!$B$19</c:f>
              <c:numCache>
                <c:formatCode>_ * #,##0_)_ ;_ * \(#,##0\)_ ;_ * "-"??_)_ ;_ @_ </c:formatCode>
                <c:ptCount val="1"/>
                <c:pt idx="0">
                  <c:v>57.213930348258707</c:v>
                </c:pt>
              </c:numCache>
            </c:numRef>
          </c:xVal>
          <c:yVal>
            <c:numRef>
              <c:f>'Popularity Difficulty 3 yrs'!$C$19</c:f>
              <c:numCache>
                <c:formatCode>_ * #,##0_)_ ;_ * \(#,##0\)_ ;_ * "-"??_)_ ;_ @_ </c:formatCode>
                <c:ptCount val="1"/>
                <c:pt idx="0">
                  <c:v>1381.11</c:v>
                </c:pt>
              </c:numCache>
            </c:numRef>
          </c:yVal>
          <c:bubbleSize>
            <c:numRef>
              <c:f>'Popularity Difficulty 3 yrs'!$D$19</c:f>
              <c:numCache>
                <c:formatCode>_ * #,##0_)_ ;_ * \(#,##0\)_ ;_ * "-"??_)_ ;_ @_ </c:formatCode>
                <c:ptCount val="1"/>
                <c:pt idx="0">
                  <c:v>7486</c:v>
                </c:pt>
              </c:numCache>
            </c:numRef>
          </c:bubbleSize>
          <c:bubble3D val="1"/>
          <c:extLst>
            <c:ext xmlns:c16="http://schemas.microsoft.com/office/drawing/2014/chart" uri="{C3380CC4-5D6E-409C-BE32-E72D297353CC}">
              <c16:uniqueId val="{00000023-A23B-B541-BF36-DAD5B36D429C}"/>
            </c:ext>
          </c:extLst>
        </c:ser>
        <c:ser>
          <c:idx val="18"/>
          <c:order val="18"/>
          <c:tx>
            <c:strRef>
              <c:f>'Popularity Difficulty 3 yrs'!$A$20</c:f>
              <c:strCache>
                <c:ptCount val="1"/>
                <c:pt idx="0">
                  <c:v>Kubernetes Traffic Management</c:v>
                </c:pt>
              </c:strCache>
            </c:strRef>
          </c:tx>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7.5161404677880116E-3"/>
                  <c:y val="5.9140695524934388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4-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yrs'!$B$20</c:f>
              <c:numCache>
                <c:formatCode>_ * #,##0_)_ ;_ * \(#,##0\)_ ;_ * "-"??_)_ ;_ @_ </c:formatCode>
                <c:ptCount val="1"/>
                <c:pt idx="0">
                  <c:v>61.847964376590333</c:v>
                </c:pt>
              </c:numCache>
            </c:numRef>
          </c:xVal>
          <c:yVal>
            <c:numRef>
              <c:f>'Popularity Difficulty 3 yrs'!$C$20</c:f>
              <c:numCache>
                <c:formatCode>_ * #,##0_)_ ;_ * \(#,##0\)_ ;_ * "-"??_)_ ;_ @_ </c:formatCode>
                <c:ptCount val="1"/>
                <c:pt idx="0">
                  <c:v>921.61</c:v>
                </c:pt>
              </c:numCache>
            </c:numRef>
          </c:yVal>
          <c:bubbleSize>
            <c:numRef>
              <c:f>'Popularity Difficulty 3 yrs'!$D$20</c:f>
              <c:numCache>
                <c:formatCode>_ * #,##0_)_ ;_ * \(#,##0\)_ ;_ * "-"??_)_ ;_ @_ </c:formatCode>
                <c:ptCount val="1"/>
                <c:pt idx="0">
                  <c:v>5699</c:v>
                </c:pt>
              </c:numCache>
            </c:numRef>
          </c:bubbleSize>
          <c:bubble3D val="1"/>
          <c:extLst>
            <c:ext xmlns:c16="http://schemas.microsoft.com/office/drawing/2014/chart" uri="{C3380CC4-5D6E-409C-BE32-E72D297353CC}">
              <c16:uniqueId val="{00000025-A23B-B541-BF36-DAD5B36D429C}"/>
            </c:ext>
          </c:extLst>
        </c:ser>
        <c:ser>
          <c:idx val="19"/>
          <c:order val="19"/>
          <c:tx>
            <c:strRef>
              <c:f>'Popularity Difficulty 3 yrs'!$A$21</c:f>
              <c:strCache>
                <c:ptCount val="1"/>
                <c:pt idx="0">
                  <c:v>Non-functional Test Automation</c:v>
                </c:pt>
              </c:strCache>
            </c:strRef>
          </c:tx>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7.5161404677880116E-3"/>
                  <c:y val="0.1007582220054439"/>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6-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yrs'!$B$21</c:f>
              <c:numCache>
                <c:formatCode>_ * #,##0_)_ ;_ * \(#,##0\)_ ;_ * "-"??_)_ ;_ @_ </c:formatCode>
                <c:ptCount val="1"/>
                <c:pt idx="0">
                  <c:v>63.717306622148023</c:v>
                </c:pt>
              </c:numCache>
            </c:numRef>
          </c:xVal>
          <c:yVal>
            <c:numRef>
              <c:f>'Popularity Difficulty 3 yrs'!$C$21</c:f>
              <c:numCache>
                <c:formatCode>_ * #,##0_)_ ;_ * \(#,##0\)_ ;_ * "-"??_)_ ;_ @_ </c:formatCode>
                <c:ptCount val="1"/>
                <c:pt idx="0">
                  <c:v>2061.62</c:v>
                </c:pt>
              </c:numCache>
            </c:numRef>
          </c:yVal>
          <c:bubbleSize>
            <c:numRef>
              <c:f>'Popularity Difficulty 3 yrs'!$D$21</c:f>
              <c:numCache>
                <c:formatCode>_ * #,##0_)_ ;_ * \(#,##0\)_ ;_ * "-"??_)_ ;_ @_ </c:formatCode>
                <c:ptCount val="1"/>
                <c:pt idx="0">
                  <c:v>2896</c:v>
                </c:pt>
              </c:numCache>
            </c:numRef>
          </c:bubbleSize>
          <c:bubble3D val="1"/>
          <c:extLst>
            <c:ext xmlns:c16="http://schemas.microsoft.com/office/drawing/2014/chart" uri="{C3380CC4-5D6E-409C-BE32-E72D297353CC}">
              <c16:uniqueId val="{00000027-A23B-B541-BF36-DAD5B36D429C}"/>
            </c:ext>
          </c:extLst>
        </c:ser>
        <c:ser>
          <c:idx val="20"/>
          <c:order val="20"/>
          <c:tx>
            <c:strRef>
              <c:f>'Popularity Difficulty 3 yrs'!$A$22</c:f>
              <c:strCache>
                <c:ptCount val="1"/>
                <c:pt idx="0">
                  <c:v>Repository/git Management</c:v>
                </c:pt>
              </c:strCache>
            </c:strRef>
          </c:tx>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8.0286518538841528E-2"/>
                  <c:y val="-9.793664285293289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8-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yrs'!$B$22</c:f>
              <c:numCache>
                <c:formatCode>_ * #,##0_)_ ;_ * \(#,##0\)_ ;_ * "-"??_)_ ;_ @_ </c:formatCode>
                <c:ptCount val="1"/>
                <c:pt idx="0">
                  <c:v>58.69451697127937</c:v>
                </c:pt>
              </c:numCache>
            </c:numRef>
          </c:xVal>
          <c:yVal>
            <c:numRef>
              <c:f>'Popularity Difficulty 3 yrs'!$C$22</c:f>
              <c:numCache>
                <c:formatCode>_ * #,##0_)_ ;_ * \(#,##0\)_ ;_ * "-"??_)_ ;_ @_ </c:formatCode>
                <c:ptCount val="1"/>
                <c:pt idx="0">
                  <c:v>2739.8</c:v>
                </c:pt>
              </c:numCache>
            </c:numRef>
          </c:yVal>
          <c:bubbleSize>
            <c:numRef>
              <c:f>'Popularity Difficulty 3 yrs'!$D$22</c:f>
              <c:numCache>
                <c:formatCode>_ * #,##0_)_ ;_ * \(#,##0\)_ ;_ * "-"??_)_ ;_ @_ </c:formatCode>
                <c:ptCount val="1"/>
                <c:pt idx="0">
                  <c:v>3474</c:v>
                </c:pt>
              </c:numCache>
            </c:numRef>
          </c:bubbleSize>
          <c:bubble3D val="1"/>
          <c:extLst>
            <c:ext xmlns:c16="http://schemas.microsoft.com/office/drawing/2014/chart" uri="{C3380CC4-5D6E-409C-BE32-E72D297353CC}">
              <c16:uniqueId val="{00000029-A23B-B541-BF36-DAD5B36D429C}"/>
            </c:ext>
          </c:extLst>
        </c:ser>
        <c:ser>
          <c:idx val="21"/>
          <c:order val="21"/>
          <c:tx>
            <c:strRef>
              <c:f>'Popularity Difficulty 3 yrs'!$A$23</c:f>
              <c:strCache>
                <c:ptCount val="1"/>
                <c:pt idx="0">
                  <c:v>Script Execution</c:v>
                </c:pt>
              </c:strCache>
            </c:strRef>
          </c:tx>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1.7850833610996528E-2"/>
                  <c:y val="-9.1996637483231392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A-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yrs'!$B$23</c:f>
              <c:numCache>
                <c:formatCode>_ * #,##0_)_ ;_ * \(#,##0\)_ ;_ * "-"??_)_ ;_ @_ </c:formatCode>
                <c:ptCount val="1"/>
                <c:pt idx="0">
                  <c:v>59.050712867713408</c:v>
                </c:pt>
              </c:numCache>
            </c:numRef>
          </c:xVal>
          <c:yVal>
            <c:numRef>
              <c:f>'Popularity Difficulty 3 yrs'!$C$23</c:f>
              <c:numCache>
                <c:formatCode>_ * #,##0_)_ ;_ * \(#,##0\)_ ;_ * "-"??_)_ ;_ @_ </c:formatCode>
                <c:ptCount val="1"/>
                <c:pt idx="0">
                  <c:v>2603.13</c:v>
                </c:pt>
              </c:numCache>
            </c:numRef>
          </c:yVal>
          <c:bubbleSize>
            <c:numRef>
              <c:f>'Popularity Difficulty 3 yrs'!$D$23</c:f>
              <c:numCache>
                <c:formatCode>_ * #,##0_)_ ;_ * \(#,##0\)_ ;_ * "-"??_)_ ;_ @_ </c:formatCode>
                <c:ptCount val="1"/>
                <c:pt idx="0">
                  <c:v>3614</c:v>
                </c:pt>
              </c:numCache>
            </c:numRef>
          </c:bubbleSize>
          <c:bubble3D val="1"/>
          <c:extLst>
            <c:ext xmlns:c16="http://schemas.microsoft.com/office/drawing/2014/chart" uri="{C3380CC4-5D6E-409C-BE32-E72D297353CC}">
              <c16:uniqueId val="{0000002B-A23B-B541-BF36-DAD5B36D429C}"/>
            </c:ext>
          </c:extLst>
        </c:ser>
        <c:ser>
          <c:idx val="22"/>
          <c:order val="22"/>
          <c:tx>
            <c:strRef>
              <c:f>'Popularity Difficulty 3 yrs'!$A$24</c:f>
              <c:strCache>
                <c:ptCount val="1"/>
                <c:pt idx="0">
                  <c:v>Script Syntax</c:v>
                </c:pt>
              </c:strCache>
            </c:strRef>
          </c:tx>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1.6911316052523027E-2"/>
                  <c:y val="-0.105139014266550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C-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yrs'!$B$24</c:f>
              <c:numCache>
                <c:formatCode>_ * #,##0_)_ ;_ * \(#,##0\)_ ;_ * "-"??_)_ ;_ @_ </c:formatCode>
                <c:ptCount val="1"/>
                <c:pt idx="0">
                  <c:v>44.928409947249435</c:v>
                </c:pt>
              </c:numCache>
            </c:numRef>
          </c:xVal>
          <c:yVal>
            <c:numRef>
              <c:f>'Popularity Difficulty 3 yrs'!$C$24</c:f>
              <c:numCache>
                <c:formatCode>_ * #,##0_)_ ;_ * \(#,##0\)_ ;_ * "-"??_)_ ;_ @_ </c:formatCode>
                <c:ptCount val="1"/>
                <c:pt idx="0">
                  <c:v>2018.2</c:v>
                </c:pt>
              </c:numCache>
            </c:numRef>
          </c:yVal>
          <c:bubbleSize>
            <c:numRef>
              <c:f>'Popularity Difficulty 3 yrs'!$D$24</c:f>
              <c:numCache>
                <c:formatCode>_ * #,##0_)_ ;_ * \(#,##0\)_ ;_ * "-"??_)_ ;_ @_ </c:formatCode>
                <c:ptCount val="1"/>
                <c:pt idx="0">
                  <c:v>4966</c:v>
                </c:pt>
              </c:numCache>
            </c:numRef>
          </c:bubbleSize>
          <c:bubble3D val="1"/>
          <c:extLst>
            <c:ext xmlns:c16="http://schemas.microsoft.com/office/drawing/2014/chart" uri="{C3380CC4-5D6E-409C-BE32-E72D297353CC}">
              <c16:uniqueId val="{0000002D-A23B-B541-BF36-DAD5B36D429C}"/>
            </c:ext>
          </c:extLst>
        </c:ser>
        <c:ser>
          <c:idx val="23"/>
          <c:order val="23"/>
          <c:tx>
            <c:strRef>
              <c:f>'Popularity Difficulty 3 yrs'!$A$25</c:f>
              <c:strCache>
                <c:ptCount val="1"/>
                <c:pt idx="0">
                  <c:v>User Permission</c:v>
                </c:pt>
              </c:strCache>
            </c:strRef>
          </c:tx>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0.17944785366843877"/>
                  <c:y val="-1.7523169044425028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E-A23B-B541-BF36-DAD5B36D42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3 yrs'!$B$25</c:f>
              <c:numCache>
                <c:formatCode>_ * #,##0_)_ ;_ * \(#,##0\)_ ;_ * "-"??_)_ ;_ @_ </c:formatCode>
                <c:ptCount val="1"/>
                <c:pt idx="0">
                  <c:v>58.61440291704649</c:v>
                </c:pt>
              </c:numCache>
            </c:numRef>
          </c:xVal>
          <c:yVal>
            <c:numRef>
              <c:f>'Popularity Difficulty 3 yrs'!$C$25</c:f>
              <c:numCache>
                <c:formatCode>_ * #,##0_)_ ;_ * \(#,##0\)_ ;_ * "-"??_)_ ;_ @_ </c:formatCode>
                <c:ptCount val="1"/>
                <c:pt idx="0">
                  <c:v>2508.8200000000002</c:v>
                </c:pt>
              </c:numCache>
            </c:numRef>
          </c:yVal>
          <c:bubbleSize>
            <c:numRef>
              <c:f>'Popularity Difficulty 3 yrs'!$D$25</c:f>
              <c:numCache>
                <c:formatCode>_ * #,##0_)_ ;_ * \(#,##0\)_ ;_ * "-"??_)_ ;_ @_ </c:formatCode>
                <c:ptCount val="1"/>
                <c:pt idx="0">
                  <c:v>2953</c:v>
                </c:pt>
              </c:numCache>
            </c:numRef>
          </c:bubbleSize>
          <c:bubble3D val="1"/>
          <c:extLst>
            <c:ext xmlns:c16="http://schemas.microsoft.com/office/drawing/2014/chart" uri="{C3380CC4-5D6E-409C-BE32-E72D297353CC}">
              <c16:uniqueId val="{0000002F-A23B-B541-BF36-DAD5B36D429C}"/>
            </c:ext>
          </c:extLst>
        </c:ser>
        <c:dLbls>
          <c:dLblPos val="r"/>
          <c:showLegendKey val="0"/>
          <c:showVal val="1"/>
          <c:showCatName val="1"/>
          <c:showSerName val="0"/>
          <c:showPercent val="0"/>
          <c:showBubbleSize val="0"/>
        </c:dLbls>
        <c:bubbleScale val="70"/>
        <c:showNegBubbles val="0"/>
        <c:axId val="1719769343"/>
        <c:axId val="2127769712"/>
      </c:bubbleChart>
      <c:valAx>
        <c:axId val="1719769343"/>
        <c:scaling>
          <c:orientation val="minMax"/>
          <c:max val="68"/>
          <c:min val="44"/>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GB"/>
                  <a:t>Difficulty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BD"/>
            </a:p>
          </c:txPr>
        </c:title>
        <c:numFmt formatCode="_ * #,##0_)_ ;_ * \(#,##0\)_ ;_ * &quot;-&quot;??_)_ ;_ @_ "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BD"/>
          </a:p>
        </c:txPr>
        <c:crossAx val="2127769712"/>
        <c:crosses val="autoZero"/>
        <c:crossBetween val="midCat"/>
        <c:majorUnit val="5"/>
      </c:valAx>
      <c:valAx>
        <c:axId val="21277697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GB"/>
                  <a:t>Average VIew</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BD"/>
            </a:p>
          </c:txPr>
        </c:title>
        <c:numFmt formatCode="_ * #,##0_)_ ;_ * \(#,##0\)_ ;_ * &quot;-&quot;??_)_ ;_ @_ "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BD"/>
          </a:p>
        </c:txPr>
        <c:crossAx val="17197693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B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r>
              <a:rPr lang="en-GB" b="1"/>
              <a:t>Popularity Difficulty Tradeoff </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BD"/>
        </a:p>
      </c:txPr>
    </c:title>
    <c:autoTitleDeleted val="0"/>
    <c:plotArea>
      <c:layout/>
      <c:bubbleChart>
        <c:varyColors val="0"/>
        <c:ser>
          <c:idx val="0"/>
          <c:order val="0"/>
          <c:tx>
            <c:strRef>
              <c:f>'Popularity Difficulty Tradeoff'!$A$2</c:f>
              <c:strCache>
                <c:ptCount val="1"/>
                <c:pt idx="0">
                  <c:v>Repository/git Management</c:v>
                </c:pt>
              </c:strCache>
            </c:strRef>
          </c:tx>
          <c:spPr>
            <a:solidFill>
              <a:schemeClr val="accent1">
                <a:alpha val="75000"/>
              </a:schemeClr>
            </a:solidFill>
            <a:ln>
              <a:noFill/>
            </a:ln>
            <a:effectLst/>
          </c:spPr>
          <c:invertIfNegative val="0"/>
          <c:dLbls>
            <c:dLbl>
              <c:idx val="0"/>
              <c:layout>
                <c:manualLayout>
                  <c:x val="-6.9711224239344005E-2"/>
                  <c:y val="-8.4379113040543671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3C09-3041-A405-76E2A3ED7591}"/>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Tradeoff'!$B$2</c:f>
              <c:numCache>
                <c:formatCode>_ * #,##0_)_ ;_ * \(#,##0\)_ ;_ * "-"??_)_ ;_ @_ </c:formatCode>
                <c:ptCount val="1"/>
                <c:pt idx="0">
                  <c:v>58.69451697127937</c:v>
                </c:pt>
              </c:numCache>
            </c:numRef>
          </c:xVal>
          <c:yVal>
            <c:numRef>
              <c:f>'Popularity Difficulty Tradeoff'!$C$2</c:f>
              <c:numCache>
                <c:formatCode>_ * #,##0_)_ ;_ * \(#,##0\)_ ;_ * "-"??_)_ ;_ @_ </c:formatCode>
                <c:ptCount val="1"/>
                <c:pt idx="0">
                  <c:v>2739.8</c:v>
                </c:pt>
              </c:numCache>
            </c:numRef>
          </c:yVal>
          <c:bubbleSize>
            <c:numRef>
              <c:f>'Popularity Difficulty Tradeoff'!$D$2</c:f>
              <c:numCache>
                <c:formatCode>_ * #,##0_)_ ;_ * \(#,##0\)_ ;_ * "-"??_)_ ;_ @_ </c:formatCode>
                <c:ptCount val="1"/>
                <c:pt idx="0">
                  <c:v>5745</c:v>
                </c:pt>
              </c:numCache>
            </c:numRef>
          </c:bubbleSize>
          <c:bubble3D val="1"/>
          <c:extLst>
            <c:ext xmlns:c16="http://schemas.microsoft.com/office/drawing/2014/chart" uri="{C3380CC4-5D6E-409C-BE32-E72D297353CC}">
              <c16:uniqueId val="{00000001-3C09-3041-A405-76E2A3ED7591}"/>
            </c:ext>
          </c:extLst>
        </c:ser>
        <c:ser>
          <c:idx val="1"/>
          <c:order val="1"/>
          <c:tx>
            <c:strRef>
              <c:f>'Popularity Difficulty Tradeoff'!$A$3</c:f>
              <c:strCache>
                <c:ptCount val="1"/>
                <c:pt idx="0">
                  <c:v>Gitlab CI/CD</c:v>
                </c:pt>
              </c:strCache>
            </c:strRef>
          </c:tx>
          <c:spPr>
            <a:solidFill>
              <a:schemeClr val="accent2">
                <a:alpha val="75000"/>
              </a:schemeClr>
            </a:solidFill>
            <a:ln>
              <a:noFill/>
            </a:ln>
            <a:effectLst/>
          </c:spPr>
          <c:invertIfNegative val="0"/>
          <c:dLbls>
            <c:dLbl>
              <c:idx val="0"/>
              <c:layout>
                <c:manualLayout>
                  <c:x val="-9.8344648108566329E-2"/>
                  <c:y val="-9.306876927088926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3C09-3041-A405-76E2A3ED7591}"/>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ct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Tradeoff'!$B$3</c:f>
              <c:numCache>
                <c:formatCode>_ * #,##0_)_ ;_ * \(#,##0\)_ ;_ * "-"??_)_ ;_ @_ </c:formatCode>
                <c:ptCount val="1"/>
                <c:pt idx="0">
                  <c:v>60.100518806744489</c:v>
                </c:pt>
              </c:numCache>
            </c:numRef>
          </c:xVal>
          <c:yVal>
            <c:numRef>
              <c:f>'Popularity Difficulty Tradeoff'!$C$3</c:f>
              <c:numCache>
                <c:formatCode>_ * #,##0_)_ ;_ * \(#,##0\)_ ;_ * "-"??_)_ ;_ @_ </c:formatCode>
                <c:ptCount val="1"/>
                <c:pt idx="0">
                  <c:v>1415.8</c:v>
                </c:pt>
              </c:numCache>
            </c:numRef>
          </c:yVal>
          <c:bubbleSize>
            <c:numRef>
              <c:f>'Popularity Difficulty Tradeoff'!$D$3</c:f>
              <c:numCache>
                <c:formatCode>_ * #,##0_)_ ;_ * \(#,##0\)_ ;_ * "-"??_)_ ;_ @_ </c:formatCode>
                <c:ptCount val="1"/>
                <c:pt idx="0">
                  <c:v>6168</c:v>
                </c:pt>
              </c:numCache>
            </c:numRef>
          </c:bubbleSize>
          <c:bubble3D val="1"/>
          <c:extLst>
            <c:ext xmlns:c16="http://schemas.microsoft.com/office/drawing/2014/chart" uri="{C3380CC4-5D6E-409C-BE32-E72D297353CC}">
              <c16:uniqueId val="{00000003-3C09-3041-A405-76E2A3ED7591}"/>
            </c:ext>
          </c:extLst>
        </c:ser>
        <c:ser>
          <c:idx val="2"/>
          <c:order val="2"/>
          <c:tx>
            <c:strRef>
              <c:f>'Popularity Difficulty Tradeoff'!$A$4</c:f>
              <c:strCache>
                <c:ptCount val="1"/>
                <c:pt idx="0">
                  <c:v>Jenkins Build Mobile Application</c:v>
                </c:pt>
              </c:strCache>
            </c:strRef>
          </c:tx>
          <c:spPr>
            <a:solidFill>
              <a:schemeClr val="accent3">
                <a:alpha val="75000"/>
              </a:schemeClr>
            </a:solidFill>
            <a:ln>
              <a:noFill/>
            </a:ln>
            <a:effectLst/>
          </c:spPr>
          <c:invertIfNegative val="0"/>
          <c:dLbls>
            <c:dLbl>
              <c:idx val="0"/>
              <c:layout>
                <c:manualLayout>
                  <c:x val="-2.8609403021707891E-2"/>
                  <c:y val="-4.409302182883622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3C09-3041-A405-76E2A3ED7591}"/>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Tradeoff'!$B$4</c:f>
              <c:numCache>
                <c:formatCode>_ * #,##0_)_ ;_ * \(#,##0\)_ ;_ * "-"??_)_ ;_ @_ </c:formatCode>
                <c:ptCount val="1"/>
                <c:pt idx="0">
                  <c:v>61.13493896403827</c:v>
                </c:pt>
              </c:numCache>
            </c:numRef>
          </c:xVal>
          <c:yVal>
            <c:numRef>
              <c:f>'Popularity Difficulty Tradeoff'!$C$4</c:f>
              <c:numCache>
                <c:formatCode>_ * #,##0_)_ ;_ * \(#,##0\)_ ;_ * "-"??_)_ ;_ @_ </c:formatCode>
                <c:ptCount val="1"/>
                <c:pt idx="0">
                  <c:v>1543.45</c:v>
                </c:pt>
              </c:numCache>
            </c:numRef>
          </c:yVal>
          <c:bubbleSize>
            <c:numRef>
              <c:f>'Popularity Difficulty Tradeoff'!$D$4</c:f>
              <c:numCache>
                <c:formatCode>_ * #,##0_)_ ;_ * \(#,##0\)_ ;_ * "-"??_)_ ;_ @_ </c:formatCode>
                <c:ptCount val="1"/>
                <c:pt idx="0">
                  <c:v>3031</c:v>
                </c:pt>
              </c:numCache>
            </c:numRef>
          </c:bubbleSize>
          <c:bubble3D val="1"/>
          <c:extLst>
            <c:ext xmlns:c16="http://schemas.microsoft.com/office/drawing/2014/chart" uri="{C3380CC4-5D6E-409C-BE32-E72D297353CC}">
              <c16:uniqueId val="{00000005-3C09-3041-A405-76E2A3ED7591}"/>
            </c:ext>
          </c:extLst>
        </c:ser>
        <c:ser>
          <c:idx val="3"/>
          <c:order val="3"/>
          <c:tx>
            <c:strRef>
              <c:f>'Popularity Difficulty Tradeoff'!$A$5</c:f>
              <c:strCache>
                <c:ptCount val="1"/>
                <c:pt idx="0">
                  <c:v>Jenkins Pipeline</c:v>
                </c:pt>
              </c:strCache>
            </c:strRef>
          </c:tx>
          <c:spPr>
            <a:solidFill>
              <a:schemeClr val="accent4">
                <a:alpha val="75000"/>
              </a:schemeClr>
            </a:solidFill>
            <a:ln>
              <a:noFill/>
            </a:ln>
            <a:effectLst/>
          </c:spPr>
          <c:invertIfNegative val="0"/>
          <c:dLbls>
            <c:dLbl>
              <c:idx val="0"/>
              <c:layout>
                <c:manualLayout>
                  <c:x val="-7.1404729841113207E-2"/>
                  <c:y val="-0.14301553943149919"/>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3C09-3041-A405-76E2A3ED7591}"/>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ct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Tradeoff'!$B$5</c:f>
              <c:numCache>
                <c:formatCode>_ * #,##0_)_ ;_ * \(#,##0\)_ ;_ * "-"??_)_ ;_ @_ </c:formatCode>
                <c:ptCount val="1"/>
                <c:pt idx="0">
                  <c:v>61.684000000000005</c:v>
                </c:pt>
              </c:numCache>
            </c:numRef>
          </c:xVal>
          <c:yVal>
            <c:numRef>
              <c:f>'Popularity Difficulty Tradeoff'!$C$5</c:f>
              <c:numCache>
                <c:formatCode>_ * #,##0_)_ ;_ * \(#,##0\)_ ;_ * "-"??_)_ ;_ @_ </c:formatCode>
                <c:ptCount val="1"/>
                <c:pt idx="0">
                  <c:v>2502.9359999999997</c:v>
                </c:pt>
              </c:numCache>
            </c:numRef>
          </c:yVal>
          <c:bubbleSize>
            <c:numRef>
              <c:f>'Popularity Difficulty Tradeoff'!$D$5</c:f>
              <c:numCache>
                <c:formatCode>_ * #,##0_)_ ;_ * \(#,##0\)_ ;_ * "-"??_)_ ;_ @_ </c:formatCode>
                <c:ptCount val="1"/>
                <c:pt idx="0">
                  <c:v>23232</c:v>
                </c:pt>
              </c:numCache>
            </c:numRef>
          </c:bubbleSize>
          <c:bubble3D val="1"/>
          <c:extLst>
            <c:ext xmlns:c16="http://schemas.microsoft.com/office/drawing/2014/chart" uri="{C3380CC4-5D6E-409C-BE32-E72D297353CC}">
              <c16:uniqueId val="{00000007-3C09-3041-A405-76E2A3ED7591}"/>
            </c:ext>
          </c:extLst>
        </c:ser>
        <c:ser>
          <c:idx val="4"/>
          <c:order val="4"/>
          <c:tx>
            <c:strRef>
              <c:f>'Popularity Difficulty Tradeoff'!$A$6</c:f>
              <c:strCache>
                <c:ptCount val="1"/>
                <c:pt idx="0">
                  <c:v>Jenkins Build from Git Branch</c:v>
                </c:pt>
              </c:strCache>
            </c:strRef>
          </c:tx>
          <c:spPr>
            <a:solidFill>
              <a:schemeClr val="accent5">
                <a:alpha val="75000"/>
              </a:schemeClr>
            </a:solidFill>
            <a:ln>
              <a:noFill/>
            </a:ln>
            <a:effectLst/>
          </c:spPr>
          <c:invertIfNegative val="0"/>
          <c:dLbls>
            <c:dLbl>
              <c:idx val="0"/>
              <c:layout>
                <c:manualLayout>
                  <c:x val="-0.15201654297842304"/>
                  <c:y val="-1.5394314991793166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3C09-3041-A405-76E2A3ED7591}"/>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Tradeoff'!$B$6</c:f>
              <c:numCache>
                <c:formatCode>_ * #,##0_)_ ;_ * \(#,##0\)_ ;_ * "-"??_)_ ;_ @_ </c:formatCode>
                <c:ptCount val="1"/>
                <c:pt idx="0">
                  <c:v>62.115563839701771</c:v>
                </c:pt>
              </c:numCache>
            </c:numRef>
          </c:xVal>
          <c:yVal>
            <c:numRef>
              <c:f>'Popularity Difficulty Tradeoff'!$C$6</c:f>
              <c:numCache>
                <c:formatCode>_ * #,##0_)_ ;_ * \(#,##0\)_ ;_ * "-"??_)_ ;_ @_ </c:formatCode>
                <c:ptCount val="1"/>
                <c:pt idx="0">
                  <c:v>2065.02</c:v>
                </c:pt>
              </c:numCache>
            </c:numRef>
          </c:yVal>
          <c:bubbleSize>
            <c:numRef>
              <c:f>'Popularity Difficulty Tradeoff'!$D$6</c:f>
              <c:numCache>
                <c:formatCode>_ * #,##0_)_ ;_ * \(#,##0\)_ ;_ * "-"??_)_ ;_ @_ </c:formatCode>
                <c:ptCount val="1"/>
                <c:pt idx="0">
                  <c:v>8584</c:v>
                </c:pt>
              </c:numCache>
            </c:numRef>
          </c:bubbleSize>
          <c:bubble3D val="1"/>
          <c:extLst>
            <c:ext xmlns:c16="http://schemas.microsoft.com/office/drawing/2014/chart" uri="{C3380CC4-5D6E-409C-BE32-E72D297353CC}">
              <c16:uniqueId val="{00000009-3C09-3041-A405-76E2A3ED7591}"/>
            </c:ext>
          </c:extLst>
        </c:ser>
        <c:ser>
          <c:idx val="5"/>
          <c:order val="5"/>
          <c:tx>
            <c:strRef>
              <c:f>'Popularity Difficulty Tradeoff'!$A$7</c:f>
              <c:strCache>
                <c:ptCount val="1"/>
                <c:pt idx="0">
                  <c:v>Jenkins Build Projects</c:v>
                </c:pt>
              </c:strCache>
            </c:strRef>
          </c:tx>
          <c:spPr>
            <a:solidFill>
              <a:schemeClr val="accent6">
                <a:alpha val="75000"/>
              </a:schemeClr>
            </a:solidFill>
            <a:ln>
              <a:noFill/>
            </a:ln>
            <a:effectLst/>
          </c:spPr>
          <c:invertIfNegative val="0"/>
          <c:dLbls>
            <c:dLbl>
              <c:idx val="0"/>
              <c:layout>
                <c:manualLayout>
                  <c:x val="-5.5574345992989209E-2"/>
                  <c:y val="-0.19297795640368773"/>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3C09-3041-A405-76E2A3ED7591}"/>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l"/>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Tradeoff'!$B$7</c:f>
              <c:numCache>
                <c:formatCode>_ * #,##0_)_ ;_ * \(#,##0\)_ ;_ * "-"??_)_ ;_ @_ </c:formatCode>
                <c:ptCount val="1"/>
                <c:pt idx="0">
                  <c:v>63.338954468802697</c:v>
                </c:pt>
              </c:numCache>
            </c:numRef>
          </c:xVal>
          <c:yVal>
            <c:numRef>
              <c:f>'Popularity Difficulty Tradeoff'!$C$7</c:f>
              <c:numCache>
                <c:formatCode>_ * #,##0_)_ ;_ * \(#,##0\)_ ;_ * "-"??_)_ ;_ @_ </c:formatCode>
                <c:ptCount val="1"/>
                <c:pt idx="0">
                  <c:v>2035.07</c:v>
                </c:pt>
              </c:numCache>
            </c:numRef>
          </c:yVal>
          <c:bubbleSize>
            <c:numRef>
              <c:f>'Popularity Difficulty Tradeoff'!$D$7</c:f>
              <c:numCache>
                <c:formatCode>_ * #,##0_)_ ;_ * \(#,##0\)_ ;_ * "-"??_)_ ;_ @_ </c:formatCode>
                <c:ptCount val="1"/>
                <c:pt idx="0">
                  <c:v>5930</c:v>
                </c:pt>
              </c:numCache>
            </c:numRef>
          </c:bubbleSize>
          <c:bubble3D val="1"/>
          <c:extLst>
            <c:ext xmlns:c16="http://schemas.microsoft.com/office/drawing/2014/chart" uri="{C3380CC4-5D6E-409C-BE32-E72D297353CC}">
              <c16:uniqueId val="{0000000B-3C09-3041-A405-76E2A3ED7591}"/>
            </c:ext>
          </c:extLst>
        </c:ser>
        <c:ser>
          <c:idx val="6"/>
          <c:order val="6"/>
          <c:tx>
            <c:strRef>
              <c:f>'Popularity Difficulty Tradeoff'!$A$8</c:f>
              <c:strCache>
                <c:ptCount val="1"/>
                <c:pt idx="0">
                  <c:v>Jenkins Distributed Architecture</c:v>
                </c:pt>
              </c:strCache>
            </c:strRef>
          </c:tx>
          <c:spPr>
            <a:solidFill>
              <a:schemeClr val="accent1">
                <a:lumMod val="60000"/>
                <a:alpha val="75000"/>
              </a:schemeClr>
            </a:solidFill>
            <a:ln>
              <a:noFill/>
            </a:ln>
            <a:effectLst/>
          </c:spPr>
          <c:invertIfNegative val="0"/>
          <c:dLbls>
            <c:dLbl>
              <c:idx val="0"/>
              <c:layout>
                <c:manualLayout>
                  <c:x val="2.0725388601036268E-3"/>
                  <c:y val="-2.24719101123595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C-3C09-3041-A405-76E2A3ED7591}"/>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Tradeoff'!$B$8</c:f>
              <c:numCache>
                <c:formatCode>_ * #,##0_)_ ;_ * \(#,##0\)_ ;_ * "-"??_)_ ;_ @_ </c:formatCode>
                <c:ptCount val="1"/>
                <c:pt idx="0">
                  <c:v>64.675767918088738</c:v>
                </c:pt>
              </c:numCache>
            </c:numRef>
          </c:xVal>
          <c:yVal>
            <c:numRef>
              <c:f>'Popularity Difficulty Tradeoff'!$C$8</c:f>
              <c:numCache>
                <c:formatCode>_ * #,##0_)_ ;_ * \(#,##0\)_ ;_ * "-"??_)_ ;_ @_ </c:formatCode>
                <c:ptCount val="1"/>
                <c:pt idx="0">
                  <c:v>2332.35</c:v>
                </c:pt>
              </c:numCache>
            </c:numRef>
          </c:yVal>
          <c:bubbleSize>
            <c:numRef>
              <c:f>'Popularity Difficulty Tradeoff'!$D$8</c:f>
              <c:numCache>
                <c:formatCode>_ * #,##0_)_ ;_ * \(#,##0\)_ ;_ * "-"??_)_ ;_ @_ </c:formatCode>
                <c:ptCount val="1"/>
                <c:pt idx="0">
                  <c:v>5274</c:v>
                </c:pt>
              </c:numCache>
            </c:numRef>
          </c:bubbleSize>
          <c:bubble3D val="1"/>
          <c:extLst>
            <c:ext xmlns:c16="http://schemas.microsoft.com/office/drawing/2014/chart" uri="{C3380CC4-5D6E-409C-BE32-E72D297353CC}">
              <c16:uniqueId val="{0000000D-3C09-3041-A405-76E2A3ED7591}"/>
            </c:ext>
          </c:extLst>
        </c:ser>
        <c:ser>
          <c:idx val="7"/>
          <c:order val="7"/>
          <c:tx>
            <c:strRef>
              <c:f>'Popularity Difficulty Tradeoff'!$A$9</c:f>
              <c:strCache>
                <c:ptCount val="1"/>
                <c:pt idx="0">
                  <c:v>Azure DevOps Development Pipeline</c:v>
                </c:pt>
              </c:strCache>
            </c:strRef>
          </c:tx>
          <c:spPr>
            <a:solidFill>
              <a:schemeClr val="accent2">
                <a:lumMod val="60000"/>
                <a:alpha val="75000"/>
              </a:schemeClr>
            </a:solidFill>
            <a:ln>
              <a:noFill/>
            </a:ln>
            <a:effectLst/>
          </c:spPr>
          <c:invertIfNegative val="0"/>
          <c:dLbls>
            <c:dLbl>
              <c:idx val="0"/>
              <c:layout>
                <c:manualLayout>
                  <c:x val="-4.1424130798462296E-3"/>
                  <c:y val="-5.6052401478777096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E-3C09-3041-A405-76E2A3ED7591}"/>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Tradeoff'!$B$9</c:f>
              <c:numCache>
                <c:formatCode>_ * #,##0_)_ ;_ * \(#,##0\)_ ;_ * "-"??_)_ ;_ @_ </c:formatCode>
                <c:ptCount val="1"/>
                <c:pt idx="0">
                  <c:v>45.806238289430176</c:v>
                </c:pt>
              </c:numCache>
            </c:numRef>
          </c:xVal>
          <c:yVal>
            <c:numRef>
              <c:f>'Popularity Difficulty Tradeoff'!$C$9</c:f>
              <c:numCache>
                <c:formatCode>_ * #,##0_)_ ;_ * \(#,##0\)_ ;_ * "-"??_)_ ;_ @_ </c:formatCode>
                <c:ptCount val="1"/>
                <c:pt idx="0">
                  <c:v>607.44000000000005</c:v>
                </c:pt>
              </c:numCache>
            </c:numRef>
          </c:yVal>
          <c:bubbleSize>
            <c:numRef>
              <c:f>'Popularity Difficulty Tradeoff'!$D$9</c:f>
              <c:numCache>
                <c:formatCode>_ * #,##0_)_ ;_ * \(#,##0\)_ ;_ * "-"??_)_ ;_ @_ </c:formatCode>
                <c:ptCount val="1"/>
                <c:pt idx="0">
                  <c:v>9073</c:v>
                </c:pt>
              </c:numCache>
            </c:numRef>
          </c:bubbleSize>
          <c:bubble3D val="1"/>
          <c:extLst>
            <c:ext xmlns:c16="http://schemas.microsoft.com/office/drawing/2014/chart" uri="{C3380CC4-5D6E-409C-BE32-E72D297353CC}">
              <c16:uniqueId val="{0000000F-3C09-3041-A405-76E2A3ED7591}"/>
            </c:ext>
          </c:extLst>
        </c:ser>
        <c:ser>
          <c:idx val="8"/>
          <c:order val="8"/>
          <c:tx>
            <c:strRef>
              <c:f>'Popularity Difficulty Tradeoff'!$A$10</c:f>
              <c:strCache>
                <c:ptCount val="1"/>
                <c:pt idx="0">
                  <c:v>Azure DevOps Build Project</c:v>
                </c:pt>
              </c:strCache>
            </c:strRef>
          </c:tx>
          <c:spPr>
            <a:solidFill>
              <a:schemeClr val="accent3">
                <a:lumMod val="60000"/>
                <a:alpha val="75000"/>
              </a:schemeClr>
            </a:solidFill>
            <a:ln>
              <a:noFill/>
            </a:ln>
            <a:effectLst/>
          </c:spPr>
          <c:invertIfNegative val="0"/>
          <c:dLbls>
            <c:dLbl>
              <c:idx val="0"/>
              <c:layout>
                <c:manualLayout>
                  <c:x val="1.0362694300518135E-2"/>
                  <c:y val="3.8202247191011153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3C09-3041-A405-76E2A3ED7591}"/>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Tradeoff'!$B$10</c:f>
              <c:numCache>
                <c:formatCode>_ * #,##0_)_ ;_ * \(#,##0\)_ ;_ * "-"??_)_ ;_ @_ </c:formatCode>
                <c:ptCount val="1"/>
                <c:pt idx="0">
                  <c:v>46.375753149534418</c:v>
                </c:pt>
              </c:numCache>
            </c:numRef>
          </c:xVal>
          <c:yVal>
            <c:numRef>
              <c:f>'Popularity Difficulty Tradeoff'!$C$10</c:f>
              <c:numCache>
                <c:formatCode>_ * #,##0_)_ ;_ * \(#,##0\)_ ;_ * "-"??_)_ ;_ @_ </c:formatCode>
                <c:ptCount val="1"/>
                <c:pt idx="0">
                  <c:v>1391.26</c:v>
                </c:pt>
              </c:numCache>
            </c:numRef>
          </c:yVal>
          <c:bubbleSize>
            <c:numRef>
              <c:f>'Popularity Difficulty Tradeoff'!$D$10</c:f>
              <c:numCache>
                <c:formatCode>_ * #,##0_)_ ;_ * \(#,##0\)_ ;_ * "-"??_)_ ;_ @_ </c:formatCode>
                <c:ptCount val="1"/>
                <c:pt idx="0">
                  <c:v>5477</c:v>
                </c:pt>
              </c:numCache>
            </c:numRef>
          </c:bubbleSize>
          <c:bubble3D val="1"/>
          <c:extLst>
            <c:ext xmlns:c16="http://schemas.microsoft.com/office/drawing/2014/chart" uri="{C3380CC4-5D6E-409C-BE32-E72D297353CC}">
              <c16:uniqueId val="{00000011-3C09-3041-A405-76E2A3ED7591}"/>
            </c:ext>
          </c:extLst>
        </c:ser>
        <c:ser>
          <c:idx val="9"/>
          <c:order val="9"/>
          <c:tx>
            <c:strRef>
              <c:f>'Popularity Difficulty Tradeoff'!$A$11</c:f>
              <c:strCache>
                <c:ptCount val="1"/>
                <c:pt idx="0">
                  <c:v>Azure DevOps Deployment</c:v>
                </c:pt>
              </c:strCache>
            </c:strRef>
          </c:tx>
          <c:spPr>
            <a:solidFill>
              <a:schemeClr val="accent4">
                <a:lumMod val="60000"/>
                <a:alpha val="75000"/>
              </a:schemeClr>
            </a:solidFill>
            <a:ln>
              <a:noFill/>
            </a:ln>
            <a:effectLst/>
          </c:spPr>
          <c:invertIfNegative val="0"/>
          <c:dLbls>
            <c:dLbl>
              <c:idx val="0"/>
              <c:layout>
                <c:manualLayout>
                  <c:x val="-0.15981062680859953"/>
                  <c:y val="1.817791345165581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3C09-3041-A405-76E2A3ED7591}"/>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ct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Tradeoff'!$B$11</c:f>
              <c:numCache>
                <c:formatCode>_ * #,##0_)_ ;_ * \(#,##0\)_ ;_ * "-"??_)_ ;_ @_ </c:formatCode>
                <c:ptCount val="1"/>
                <c:pt idx="0">
                  <c:v>56.761513640363745</c:v>
                </c:pt>
              </c:numCache>
            </c:numRef>
          </c:xVal>
          <c:yVal>
            <c:numRef>
              <c:f>'Popularity Difficulty Tradeoff'!$C$11</c:f>
              <c:numCache>
                <c:formatCode>_ * #,##0_)_ ;_ * \(#,##0\)_ ;_ * "-"??_)_ ;_ @_ </c:formatCode>
                <c:ptCount val="1"/>
                <c:pt idx="0">
                  <c:v>932.96</c:v>
                </c:pt>
              </c:numCache>
            </c:numRef>
          </c:yVal>
          <c:bubbleSize>
            <c:numRef>
              <c:f>'Popularity Difficulty Tradeoff'!$D$11</c:f>
              <c:numCache>
                <c:formatCode>_ * #,##0_)_ ;_ * \(#,##0\)_ ;_ * "-"??_)_ ;_ @_ </c:formatCode>
                <c:ptCount val="1"/>
                <c:pt idx="0">
                  <c:v>6818</c:v>
                </c:pt>
              </c:numCache>
            </c:numRef>
          </c:bubbleSize>
          <c:bubble3D val="1"/>
          <c:extLst>
            <c:ext xmlns:c16="http://schemas.microsoft.com/office/drawing/2014/chart" uri="{C3380CC4-5D6E-409C-BE32-E72D297353CC}">
              <c16:uniqueId val="{00000013-3C09-3041-A405-76E2A3ED7591}"/>
            </c:ext>
          </c:extLst>
        </c:ser>
        <c:ser>
          <c:idx val="10"/>
          <c:order val="10"/>
          <c:tx>
            <c:strRef>
              <c:f>'Popularity Difficulty Tradeoff'!$A$12</c:f>
              <c:strCache>
                <c:ptCount val="1"/>
                <c:pt idx="0">
                  <c:v>IBM Cloud</c:v>
                </c:pt>
              </c:strCache>
            </c:strRef>
          </c:tx>
          <c:spPr>
            <a:solidFill>
              <a:schemeClr val="accent5">
                <a:lumMod val="60000"/>
                <a:alpha val="75000"/>
              </a:schemeClr>
            </a:solidFill>
            <a:ln>
              <a:noFill/>
            </a:ln>
            <a:effectLst/>
          </c:spPr>
          <c:invertIfNegative val="0"/>
          <c:dLbls>
            <c:dLbl>
              <c:idx val="0"/>
              <c:layout>
                <c:manualLayout>
                  <c:x val="4.3332174835344264E-3"/>
                  <c:y val="-2.2798631670987436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3C09-3041-A405-76E2A3ED7591}"/>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Tradeoff'!$B$12</c:f>
              <c:numCache>
                <c:formatCode>_ * #,##0_)_ ;_ * \(#,##0\)_ ;_ * "-"??_)_ ;_ @_ </c:formatCode>
                <c:ptCount val="1"/>
                <c:pt idx="0">
                  <c:v>59.513192121887776</c:v>
                </c:pt>
              </c:numCache>
            </c:numRef>
          </c:xVal>
          <c:yVal>
            <c:numRef>
              <c:f>'Popularity Difficulty Tradeoff'!$C$12</c:f>
              <c:numCache>
                <c:formatCode>_ * #,##0_)_ ;_ * \(#,##0\)_ ;_ * "-"??_)_ ;_ @_ </c:formatCode>
                <c:ptCount val="1"/>
                <c:pt idx="0">
                  <c:v>421.06</c:v>
                </c:pt>
              </c:numCache>
            </c:numRef>
          </c:yVal>
          <c:bubbleSize>
            <c:numRef>
              <c:f>'Popularity Difficulty Tradeoff'!$D$12</c:f>
              <c:numCache>
                <c:formatCode>_ * #,##0_)_ ;_ * \(#,##0\)_ ;_ * "-"??_)_ ;_ @_ </c:formatCode>
                <c:ptCount val="1"/>
                <c:pt idx="0">
                  <c:v>5382</c:v>
                </c:pt>
              </c:numCache>
            </c:numRef>
          </c:bubbleSize>
          <c:bubble3D val="1"/>
          <c:extLst>
            <c:ext xmlns:c16="http://schemas.microsoft.com/office/drawing/2014/chart" uri="{C3380CC4-5D6E-409C-BE32-E72D297353CC}">
              <c16:uniqueId val="{00000015-3C09-3041-A405-76E2A3ED7591}"/>
            </c:ext>
          </c:extLst>
        </c:ser>
        <c:ser>
          <c:idx val="11"/>
          <c:order val="11"/>
          <c:tx>
            <c:strRef>
              <c:f>'Popularity Difficulty Tradeoff'!$A$13</c:f>
              <c:strCache>
                <c:ptCount val="1"/>
                <c:pt idx="0">
                  <c:v>Kubernetes POD</c:v>
                </c:pt>
              </c:strCache>
            </c:strRef>
          </c:tx>
          <c:spPr>
            <a:solidFill>
              <a:schemeClr val="accent6">
                <a:lumMod val="60000"/>
                <a:alpha val="75000"/>
              </a:schemeClr>
            </a:solidFill>
            <a:ln>
              <a:noFill/>
            </a:ln>
            <a:effectLst/>
          </c:spPr>
          <c:invertIfNegative val="0"/>
          <c:dLbls>
            <c:dLbl>
              <c:idx val="0"/>
              <c:layout>
                <c:manualLayout>
                  <c:x val="-8.4387818662534989E-2"/>
                  <c:y val="-8.37630581846630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3C09-3041-A405-76E2A3ED7591}"/>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ct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Tradeoff'!$B$13</c:f>
              <c:numCache>
                <c:formatCode>_ * #,##0_)_ ;_ * \(#,##0\)_ ;_ * "-"??_)_ ;_ @_ </c:formatCode>
                <c:ptCount val="1"/>
                <c:pt idx="0">
                  <c:v>57.213930348258707</c:v>
                </c:pt>
              </c:numCache>
            </c:numRef>
          </c:xVal>
          <c:yVal>
            <c:numRef>
              <c:f>'Popularity Difficulty Tradeoff'!$C$13</c:f>
              <c:numCache>
                <c:formatCode>_ * #,##0_)_ ;_ * \(#,##0\)_ ;_ * "-"??_)_ ;_ @_ </c:formatCode>
                <c:ptCount val="1"/>
                <c:pt idx="0">
                  <c:v>1381.11</c:v>
                </c:pt>
              </c:numCache>
            </c:numRef>
          </c:yVal>
          <c:bubbleSize>
            <c:numRef>
              <c:f>'Popularity Difficulty Tradeoff'!$D$13</c:f>
              <c:numCache>
                <c:formatCode>_ * #,##0_)_ ;_ * \(#,##0\)_ ;_ * "-"??_)_ ;_ @_ </c:formatCode>
                <c:ptCount val="1"/>
                <c:pt idx="0">
                  <c:v>8442</c:v>
                </c:pt>
              </c:numCache>
            </c:numRef>
          </c:bubbleSize>
          <c:bubble3D val="1"/>
          <c:extLst>
            <c:ext xmlns:c16="http://schemas.microsoft.com/office/drawing/2014/chart" uri="{C3380CC4-5D6E-409C-BE32-E72D297353CC}">
              <c16:uniqueId val="{00000017-3C09-3041-A405-76E2A3ED7591}"/>
            </c:ext>
          </c:extLst>
        </c:ser>
        <c:ser>
          <c:idx val="12"/>
          <c:order val="12"/>
          <c:tx>
            <c:strRef>
              <c:f>'Popularity Difficulty Tradeoff'!$A$14</c:f>
              <c:strCache>
                <c:ptCount val="1"/>
                <c:pt idx="0">
                  <c:v>Docker</c:v>
                </c:pt>
              </c:strCache>
            </c:strRef>
          </c:tx>
          <c:spPr>
            <a:solidFill>
              <a:schemeClr val="accent1">
                <a:lumMod val="80000"/>
                <a:lumOff val="20000"/>
                <a:alpha val="75000"/>
              </a:schemeClr>
            </a:solidFill>
            <a:ln>
              <a:noFill/>
            </a:ln>
            <a:effectLst/>
          </c:spPr>
          <c:invertIfNegative val="0"/>
          <c:dLbls>
            <c:dLbl>
              <c:idx val="0"/>
              <c:layout>
                <c:manualLayout>
                  <c:x val="-6.9817202784496574E-2"/>
                  <c:y val="-4.323520839405421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3C09-3041-A405-76E2A3ED7591}"/>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Tradeoff'!$B$14</c:f>
              <c:numCache>
                <c:formatCode>_ * #,##0_)_ ;_ * \(#,##0\)_ ;_ * "-"??_)_ ;_ @_ </c:formatCode>
                <c:ptCount val="1"/>
                <c:pt idx="0">
                  <c:v>59.135481288773263</c:v>
                </c:pt>
              </c:numCache>
            </c:numRef>
          </c:xVal>
          <c:yVal>
            <c:numRef>
              <c:f>'Popularity Difficulty Tradeoff'!$C$14</c:f>
              <c:numCache>
                <c:formatCode>_ * #,##0_)_ ;_ * \(#,##0\)_ ;_ * "-"??_)_ ;_ @_ </c:formatCode>
                <c:ptCount val="1"/>
                <c:pt idx="0">
                  <c:v>1434.59</c:v>
                </c:pt>
              </c:numCache>
            </c:numRef>
          </c:yVal>
          <c:bubbleSize>
            <c:numRef>
              <c:f>'Popularity Difficulty Tradeoff'!$D$14</c:f>
              <c:numCache>
                <c:formatCode>_ * #,##0_)_ ;_ * \(#,##0\)_ ;_ * "-"??_)_ ;_ @_ </c:formatCode>
                <c:ptCount val="1"/>
                <c:pt idx="0">
                  <c:v>4997</c:v>
                </c:pt>
              </c:numCache>
            </c:numRef>
          </c:bubbleSize>
          <c:bubble3D val="1"/>
          <c:extLst>
            <c:ext xmlns:c16="http://schemas.microsoft.com/office/drawing/2014/chart" uri="{C3380CC4-5D6E-409C-BE32-E72D297353CC}">
              <c16:uniqueId val="{00000019-3C09-3041-A405-76E2A3ED7591}"/>
            </c:ext>
          </c:extLst>
        </c:ser>
        <c:ser>
          <c:idx val="13"/>
          <c:order val="13"/>
          <c:tx>
            <c:strRef>
              <c:f>'Popularity Difficulty Tradeoff'!$A$15</c:f>
              <c:strCache>
                <c:ptCount val="1"/>
                <c:pt idx="0">
                  <c:v>Kubernetes Cluster</c:v>
                </c:pt>
              </c:strCache>
            </c:strRef>
          </c:tx>
          <c:spPr>
            <a:solidFill>
              <a:schemeClr val="accent2">
                <a:lumMod val="80000"/>
                <a:lumOff val="20000"/>
                <a:alpha val="75000"/>
              </a:schemeClr>
            </a:solidFill>
            <a:ln>
              <a:noFill/>
            </a:ln>
            <a:effectLst/>
          </c:spPr>
          <c:invertIfNegative val="0"/>
          <c:dLbls>
            <c:dLbl>
              <c:idx val="0"/>
              <c:layout>
                <c:manualLayout>
                  <c:x val="-8.197196673879853E-2"/>
                  <c:y val="6.5195201644449363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A-3C09-3041-A405-76E2A3ED7591}"/>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Tradeoff'!$B$15</c:f>
              <c:numCache>
                <c:formatCode>_ * #,##0_)_ ;_ * \(#,##0\)_ ;_ * "-"??_)_ ;_ @_ </c:formatCode>
                <c:ptCount val="1"/>
                <c:pt idx="0">
                  <c:v>59.9168303107312</c:v>
                </c:pt>
              </c:numCache>
            </c:numRef>
          </c:xVal>
          <c:yVal>
            <c:numRef>
              <c:f>'Popularity Difficulty Tradeoff'!$C$15</c:f>
              <c:numCache>
                <c:formatCode>_ * #,##0_)_ ;_ * \(#,##0\)_ ;_ * "-"??_)_ ;_ @_ </c:formatCode>
                <c:ptCount val="1"/>
                <c:pt idx="0">
                  <c:v>1020.49</c:v>
                </c:pt>
              </c:numCache>
            </c:numRef>
          </c:yVal>
          <c:bubbleSize>
            <c:numRef>
              <c:f>'Popularity Difficulty Tradeoff'!$D$15</c:f>
              <c:numCache>
                <c:formatCode>_ * #,##0_)_ ;_ * \(#,##0\)_ ;_ * "-"??_)_ ;_ @_ </c:formatCode>
                <c:ptCount val="1"/>
                <c:pt idx="0">
                  <c:v>8657</c:v>
                </c:pt>
              </c:numCache>
            </c:numRef>
          </c:bubbleSize>
          <c:bubble3D val="1"/>
          <c:extLst>
            <c:ext xmlns:c16="http://schemas.microsoft.com/office/drawing/2014/chart" uri="{C3380CC4-5D6E-409C-BE32-E72D297353CC}">
              <c16:uniqueId val="{0000001B-3C09-3041-A405-76E2A3ED7591}"/>
            </c:ext>
          </c:extLst>
        </c:ser>
        <c:ser>
          <c:idx val="14"/>
          <c:order val="14"/>
          <c:tx>
            <c:strRef>
              <c:f>'Popularity Difficulty Tradeoff'!$A$16</c:f>
              <c:strCache>
                <c:ptCount val="1"/>
                <c:pt idx="0">
                  <c:v>Kubernetes Traffic Management</c:v>
                </c:pt>
              </c:strCache>
            </c:strRef>
          </c:tx>
          <c:spPr>
            <a:solidFill>
              <a:schemeClr val="accent3">
                <a:lumMod val="80000"/>
                <a:lumOff val="20000"/>
                <a:alpha val="75000"/>
              </a:schemeClr>
            </a:solidFill>
            <a:ln>
              <a:noFill/>
            </a:ln>
            <a:effectLst/>
          </c:spPr>
          <c:invertIfNegative val="0"/>
          <c:dLbls>
            <c:dLbl>
              <c:idx val="0"/>
              <c:layout>
                <c:manualLayout>
                  <c:x val="-1.344084730061975E-2"/>
                  <c:y val="-5.2239488257221307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C-3C09-3041-A405-76E2A3ED7591}"/>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Tradeoff'!$B$16</c:f>
              <c:numCache>
                <c:formatCode>_ * #,##0_)_ ;_ * \(#,##0\)_ ;_ * "-"??_)_ ;_ @_ </c:formatCode>
                <c:ptCount val="1"/>
                <c:pt idx="0">
                  <c:v>61.847964376590333</c:v>
                </c:pt>
              </c:numCache>
            </c:numRef>
          </c:xVal>
          <c:yVal>
            <c:numRef>
              <c:f>'Popularity Difficulty Tradeoff'!$C$16</c:f>
              <c:numCache>
                <c:formatCode>_ * #,##0_)_ ;_ * \(#,##0\)_ ;_ * "-"??_)_ ;_ @_ </c:formatCode>
                <c:ptCount val="1"/>
                <c:pt idx="0">
                  <c:v>921.61</c:v>
                </c:pt>
              </c:numCache>
            </c:numRef>
          </c:yVal>
          <c:bubbleSize>
            <c:numRef>
              <c:f>'Popularity Difficulty Tradeoff'!$D$16</c:f>
              <c:numCache>
                <c:formatCode>_ * #,##0_)_ ;_ * \(#,##0\)_ ;_ * "-"??_)_ ;_ @_ </c:formatCode>
                <c:ptCount val="1"/>
                <c:pt idx="0">
                  <c:v>6288</c:v>
                </c:pt>
              </c:numCache>
            </c:numRef>
          </c:bubbleSize>
          <c:bubble3D val="1"/>
          <c:extLst>
            <c:ext xmlns:c16="http://schemas.microsoft.com/office/drawing/2014/chart" uri="{C3380CC4-5D6E-409C-BE32-E72D297353CC}">
              <c16:uniqueId val="{0000001D-3C09-3041-A405-76E2A3ED7591}"/>
            </c:ext>
          </c:extLst>
        </c:ser>
        <c:ser>
          <c:idx val="15"/>
          <c:order val="15"/>
          <c:tx>
            <c:strRef>
              <c:f>'Popularity Difficulty Tradeoff'!$A$17</c:f>
              <c:strCache>
                <c:ptCount val="1"/>
                <c:pt idx="0">
                  <c:v>Script Syntax</c:v>
                </c:pt>
              </c:strCache>
            </c:strRef>
          </c:tx>
          <c:spPr>
            <a:solidFill>
              <a:schemeClr val="accent4">
                <a:lumMod val="80000"/>
                <a:lumOff val="20000"/>
                <a:alpha val="75000"/>
              </a:schemeClr>
            </a:solidFill>
            <a:ln>
              <a:noFill/>
            </a:ln>
            <a:effectLst/>
          </c:spPr>
          <c:invertIfNegative val="0"/>
          <c:dLbls>
            <c:dLbl>
              <c:idx val="0"/>
              <c:layout>
                <c:manualLayout>
                  <c:x val="-2.1073023448147505E-2"/>
                  <c:y val="-7.3852797251069968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E-3C09-3041-A405-76E2A3ED7591}"/>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Tradeoff'!$B$17</c:f>
              <c:numCache>
                <c:formatCode>_ * #,##0_)_ ;_ * \(#,##0\)_ ;_ * "-"??_)_ ;_ @_ </c:formatCode>
                <c:ptCount val="1"/>
                <c:pt idx="0">
                  <c:v>44.928409947249435</c:v>
                </c:pt>
              </c:numCache>
            </c:numRef>
          </c:xVal>
          <c:yVal>
            <c:numRef>
              <c:f>'Popularity Difficulty Tradeoff'!$C$17</c:f>
              <c:numCache>
                <c:formatCode>_ * #,##0_)_ ;_ * \(#,##0\)_ ;_ * "-"??_)_ ;_ @_ </c:formatCode>
                <c:ptCount val="1"/>
                <c:pt idx="0">
                  <c:v>2018.2</c:v>
                </c:pt>
              </c:numCache>
            </c:numRef>
          </c:yVal>
          <c:bubbleSize>
            <c:numRef>
              <c:f>'Popularity Difficulty Tradeoff'!$D$17</c:f>
              <c:numCache>
                <c:formatCode>_ * #,##0_)_ ;_ * \(#,##0\)_ ;_ * "-"??_)_ ;_ @_ </c:formatCode>
                <c:ptCount val="1"/>
                <c:pt idx="0">
                  <c:v>6635</c:v>
                </c:pt>
              </c:numCache>
            </c:numRef>
          </c:bubbleSize>
          <c:bubble3D val="1"/>
          <c:extLst>
            <c:ext xmlns:c16="http://schemas.microsoft.com/office/drawing/2014/chart" uri="{C3380CC4-5D6E-409C-BE32-E72D297353CC}">
              <c16:uniqueId val="{0000001F-3C09-3041-A405-76E2A3ED7591}"/>
            </c:ext>
          </c:extLst>
        </c:ser>
        <c:ser>
          <c:idx val="16"/>
          <c:order val="16"/>
          <c:tx>
            <c:strRef>
              <c:f>'Popularity Difficulty Tradeoff'!$A$18</c:f>
              <c:strCache>
                <c:ptCount val="1"/>
                <c:pt idx="0">
                  <c:v>Configuration Automation</c:v>
                </c:pt>
              </c:strCache>
            </c:strRef>
          </c:tx>
          <c:spPr>
            <a:solidFill>
              <a:schemeClr val="accent5">
                <a:lumMod val="80000"/>
                <a:lumOff val="20000"/>
                <a:alpha val="75000"/>
              </a:schemeClr>
            </a:solidFill>
            <a:ln>
              <a:noFill/>
            </a:ln>
            <a:effectLst/>
          </c:spPr>
          <c:invertIfNegative val="0"/>
          <c:dLbls>
            <c:dLbl>
              <c:idx val="0"/>
              <c:layout>
                <c:manualLayout>
                  <c:x val="6.8366917226812514E-3"/>
                  <c:y val="-5.6833208056573964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0-3C09-3041-A405-76E2A3ED7591}"/>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Tradeoff'!$B$18</c:f>
              <c:numCache>
                <c:formatCode>_ * #,##0_)_ ;_ * \(#,##0\)_ ;_ * "-"??_)_ ;_ @_ </c:formatCode>
                <c:ptCount val="1"/>
                <c:pt idx="0">
                  <c:v>51.598694675722783</c:v>
                </c:pt>
              </c:numCache>
            </c:numRef>
          </c:xVal>
          <c:yVal>
            <c:numRef>
              <c:f>'Popularity Difficulty Tradeoff'!$C$18</c:f>
              <c:numCache>
                <c:formatCode>_ * #,##0_)_ ;_ * \(#,##0\)_ ;_ * "-"??_)_ ;_ @_ </c:formatCode>
                <c:ptCount val="1"/>
                <c:pt idx="0">
                  <c:v>2177.42</c:v>
                </c:pt>
              </c:numCache>
            </c:numRef>
          </c:yVal>
          <c:bubbleSize>
            <c:numRef>
              <c:f>'Popularity Difficulty Tradeoff'!$D$18</c:f>
              <c:numCache>
                <c:formatCode>_ * #,##0_)_ ;_ * \(#,##0\)_ ;_ * "-"??_)_ ;_ @_ </c:formatCode>
                <c:ptCount val="1"/>
                <c:pt idx="0">
                  <c:v>15040</c:v>
                </c:pt>
              </c:numCache>
            </c:numRef>
          </c:bubbleSize>
          <c:bubble3D val="1"/>
          <c:extLst>
            <c:ext xmlns:c16="http://schemas.microsoft.com/office/drawing/2014/chart" uri="{C3380CC4-5D6E-409C-BE32-E72D297353CC}">
              <c16:uniqueId val="{00000021-3C09-3041-A405-76E2A3ED7591}"/>
            </c:ext>
          </c:extLst>
        </c:ser>
        <c:ser>
          <c:idx val="17"/>
          <c:order val="17"/>
          <c:tx>
            <c:strRef>
              <c:f>'Popularity Difficulty Tradeoff'!$A$19</c:f>
              <c:strCache>
                <c:ptCount val="1"/>
                <c:pt idx="0">
                  <c:v>Cloud Infra Automation</c:v>
                </c:pt>
              </c:strCache>
            </c:strRef>
          </c:tx>
          <c:spPr>
            <a:solidFill>
              <a:schemeClr val="accent6">
                <a:lumMod val="80000"/>
                <a:lumOff val="20000"/>
                <a:alpha val="75000"/>
              </a:schemeClr>
            </a:solidFill>
            <a:ln>
              <a:noFill/>
            </a:ln>
            <a:effectLst/>
          </c:spPr>
          <c:invertIfNegative val="0"/>
          <c:dLbls>
            <c:dLbl>
              <c:idx val="0"/>
              <c:layout>
                <c:manualLayout>
                  <c:x val="-0.1692042122671385"/>
                  <c:y val="-4.5252113086563753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2-3C09-3041-A405-76E2A3ED7591}"/>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l"/>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Tradeoff'!$B$19</c:f>
              <c:numCache>
                <c:formatCode>_ * #,##0_)_ ;_ * \(#,##0\)_ ;_ * "-"??_)_ ;_ @_ </c:formatCode>
                <c:ptCount val="1"/>
                <c:pt idx="0">
                  <c:v>57.363210478972036</c:v>
                </c:pt>
              </c:numCache>
            </c:numRef>
          </c:xVal>
          <c:yVal>
            <c:numRef>
              <c:f>'Popularity Difficulty Tradeoff'!$C$19</c:f>
              <c:numCache>
                <c:formatCode>_ * #,##0_)_ ;_ * \(#,##0\)_ ;_ * "-"??_)_ ;_ @_ </c:formatCode>
                <c:ptCount val="1"/>
                <c:pt idx="0">
                  <c:v>1087.365</c:v>
                </c:pt>
              </c:numCache>
            </c:numRef>
          </c:yVal>
          <c:bubbleSize>
            <c:numRef>
              <c:f>'Popularity Difficulty Tradeoff'!$D$19</c:f>
              <c:numCache>
                <c:formatCode>_ * #,##0_)_ ;_ * \(#,##0\)_ ;_ * "-"??_)_ ;_ @_ </c:formatCode>
                <c:ptCount val="1"/>
                <c:pt idx="0">
                  <c:v>10831</c:v>
                </c:pt>
              </c:numCache>
            </c:numRef>
          </c:bubbleSize>
          <c:bubble3D val="1"/>
          <c:extLst>
            <c:ext xmlns:c16="http://schemas.microsoft.com/office/drawing/2014/chart" uri="{C3380CC4-5D6E-409C-BE32-E72D297353CC}">
              <c16:uniqueId val="{00000023-3C09-3041-A405-76E2A3ED7591}"/>
            </c:ext>
          </c:extLst>
        </c:ser>
        <c:ser>
          <c:idx val="18"/>
          <c:order val="18"/>
          <c:tx>
            <c:strRef>
              <c:f>'Popularity Difficulty Tradeoff'!$A$20</c:f>
              <c:strCache>
                <c:ptCount val="1"/>
                <c:pt idx="0">
                  <c:v>File Management</c:v>
                </c:pt>
              </c:strCache>
            </c:strRef>
          </c:tx>
          <c:spPr>
            <a:solidFill>
              <a:schemeClr val="accent1">
                <a:lumMod val="80000"/>
                <a:alpha val="75000"/>
              </a:schemeClr>
            </a:solidFill>
            <a:ln>
              <a:noFill/>
            </a:ln>
            <a:effectLst/>
          </c:spPr>
          <c:invertIfNegative val="0"/>
          <c:dLbls>
            <c:dLbl>
              <c:idx val="0"/>
              <c:layout>
                <c:manualLayout>
                  <c:x val="-0.12589950007238521"/>
                  <c:y val="-4.216478240193901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4-3C09-3041-A405-76E2A3ED7591}"/>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Tradeoff'!$B$20</c:f>
              <c:numCache>
                <c:formatCode>_ * #,##0_)_ ;_ * \(#,##0\)_ ;_ * "-"??_)_ ;_ @_ </c:formatCode>
                <c:ptCount val="1"/>
                <c:pt idx="0">
                  <c:v>58.130762782900248</c:v>
                </c:pt>
              </c:numCache>
            </c:numRef>
          </c:xVal>
          <c:yVal>
            <c:numRef>
              <c:f>'Popularity Difficulty Tradeoff'!$C$20</c:f>
              <c:numCache>
                <c:formatCode>_ * #,##0_)_ ;_ * \(#,##0\)_ ;_ * "-"??_)_ ;_ @_ </c:formatCode>
                <c:ptCount val="1"/>
                <c:pt idx="0">
                  <c:v>2805.36</c:v>
                </c:pt>
              </c:numCache>
            </c:numRef>
          </c:yVal>
          <c:bubbleSize>
            <c:numRef>
              <c:f>'Popularity Difficulty Tradeoff'!$D$20</c:f>
              <c:numCache>
                <c:formatCode>_ * #,##0_)_ ;_ * \(#,##0\)_ ;_ * "-"??_)_ ;_ @_ </c:formatCode>
                <c:ptCount val="1"/>
                <c:pt idx="0">
                  <c:v>4772</c:v>
                </c:pt>
              </c:numCache>
            </c:numRef>
          </c:bubbleSize>
          <c:bubble3D val="1"/>
          <c:extLst>
            <c:ext xmlns:c16="http://schemas.microsoft.com/office/drawing/2014/chart" uri="{C3380CC4-5D6E-409C-BE32-E72D297353CC}">
              <c16:uniqueId val="{00000025-3C09-3041-A405-76E2A3ED7591}"/>
            </c:ext>
          </c:extLst>
        </c:ser>
        <c:ser>
          <c:idx val="19"/>
          <c:order val="19"/>
          <c:tx>
            <c:strRef>
              <c:f>'Popularity Difficulty Tradeoff'!$A$21</c:f>
              <c:strCache>
                <c:ptCount val="1"/>
                <c:pt idx="0">
                  <c:v>User Permission</c:v>
                </c:pt>
              </c:strCache>
            </c:strRef>
          </c:tx>
          <c:spPr>
            <a:solidFill>
              <a:schemeClr val="accent2">
                <a:lumMod val="80000"/>
                <a:alpha val="75000"/>
              </a:schemeClr>
            </a:solidFill>
            <a:ln>
              <a:noFill/>
            </a:ln>
            <a:effectLst/>
          </c:spPr>
          <c:invertIfNegative val="0"/>
          <c:dLbls>
            <c:dLbl>
              <c:idx val="0"/>
              <c:layout>
                <c:manualLayout>
                  <c:x val="-0.12725872152158238"/>
                  <c:y val="-8.3399039715289381E-3"/>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6-3C09-3041-A405-76E2A3ED7591}"/>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Tradeoff'!$B$21</c:f>
              <c:numCache>
                <c:formatCode>_ * #,##0_)_ ;_ * \(#,##0\)_ ;_ * "-"??_)_ ;_ @_ </c:formatCode>
                <c:ptCount val="1"/>
                <c:pt idx="0">
                  <c:v>58.61440291704649</c:v>
                </c:pt>
              </c:numCache>
            </c:numRef>
          </c:xVal>
          <c:yVal>
            <c:numRef>
              <c:f>'Popularity Difficulty Tradeoff'!$C$21</c:f>
              <c:numCache>
                <c:formatCode>_ * #,##0_)_ ;_ * \(#,##0\)_ ;_ * "-"??_)_ ;_ @_ </c:formatCode>
                <c:ptCount val="1"/>
                <c:pt idx="0">
                  <c:v>2508.8200000000002</c:v>
                </c:pt>
              </c:numCache>
            </c:numRef>
          </c:yVal>
          <c:bubbleSize>
            <c:numRef>
              <c:f>'Popularity Difficulty Tradeoff'!$D$21</c:f>
              <c:numCache>
                <c:formatCode>_ * #,##0_)_ ;_ * \(#,##0\)_ ;_ * "-"??_)_ ;_ @_ </c:formatCode>
                <c:ptCount val="1"/>
                <c:pt idx="0">
                  <c:v>4388</c:v>
                </c:pt>
              </c:numCache>
            </c:numRef>
          </c:bubbleSize>
          <c:bubble3D val="1"/>
          <c:extLst>
            <c:ext xmlns:c16="http://schemas.microsoft.com/office/drawing/2014/chart" uri="{C3380CC4-5D6E-409C-BE32-E72D297353CC}">
              <c16:uniqueId val="{00000027-3C09-3041-A405-76E2A3ED7591}"/>
            </c:ext>
          </c:extLst>
        </c:ser>
        <c:ser>
          <c:idx val="20"/>
          <c:order val="20"/>
          <c:tx>
            <c:strRef>
              <c:f>'Popularity Difficulty Tradeoff'!$A$22</c:f>
              <c:strCache>
                <c:ptCount val="1"/>
                <c:pt idx="0">
                  <c:v>Script Execution</c:v>
                </c:pt>
              </c:strCache>
            </c:strRef>
          </c:tx>
          <c:spPr>
            <a:solidFill>
              <a:schemeClr val="accent3">
                <a:lumMod val="80000"/>
                <a:alpha val="75000"/>
              </a:schemeClr>
            </a:solidFill>
            <a:ln>
              <a:noFill/>
            </a:ln>
            <a:effectLst/>
          </c:spPr>
          <c:invertIfNegative val="0"/>
          <c:dLbls>
            <c:dLbl>
              <c:idx val="0"/>
              <c:layout>
                <c:manualLayout>
                  <c:x val="-2.1094821470966432E-2"/>
                  <c:y val="-4.5335716148429989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8-3C09-3041-A405-76E2A3ED7591}"/>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Tradeoff'!$B$22</c:f>
              <c:numCache>
                <c:formatCode>_ * #,##0_)_ ;_ * \(#,##0\)_ ;_ * "-"??_)_ ;_ @_ </c:formatCode>
                <c:ptCount val="1"/>
                <c:pt idx="0">
                  <c:v>59.050712867713408</c:v>
                </c:pt>
              </c:numCache>
            </c:numRef>
          </c:xVal>
          <c:yVal>
            <c:numRef>
              <c:f>'Popularity Difficulty Tradeoff'!$C$22</c:f>
              <c:numCache>
                <c:formatCode>_ * #,##0_)_ ;_ * \(#,##0\)_ ;_ * "-"??_)_ ;_ @_ </c:formatCode>
                <c:ptCount val="1"/>
                <c:pt idx="0">
                  <c:v>2603.13</c:v>
                </c:pt>
              </c:numCache>
            </c:numRef>
          </c:yVal>
          <c:bubbleSize>
            <c:numRef>
              <c:f>'Popularity Difficulty Tradeoff'!$D$22</c:f>
              <c:numCache>
                <c:formatCode>_ * #,##0_)_ ;_ * \(#,##0\)_ ;_ * "-"??_)_ ;_ @_ </c:formatCode>
                <c:ptCount val="1"/>
                <c:pt idx="0">
                  <c:v>5541</c:v>
                </c:pt>
              </c:numCache>
            </c:numRef>
          </c:bubbleSize>
          <c:bubble3D val="1"/>
          <c:extLst>
            <c:ext xmlns:c16="http://schemas.microsoft.com/office/drawing/2014/chart" uri="{C3380CC4-5D6E-409C-BE32-E72D297353CC}">
              <c16:uniqueId val="{00000029-3C09-3041-A405-76E2A3ED7591}"/>
            </c:ext>
          </c:extLst>
        </c:ser>
        <c:ser>
          <c:idx val="21"/>
          <c:order val="21"/>
          <c:tx>
            <c:strRef>
              <c:f>'Popularity Difficulty Tradeoff'!$A$23</c:f>
              <c:strCache>
                <c:ptCount val="1"/>
                <c:pt idx="0">
                  <c:v>Exception Handling</c:v>
                </c:pt>
              </c:strCache>
            </c:strRef>
          </c:tx>
          <c:spPr>
            <a:solidFill>
              <a:schemeClr val="accent4">
                <a:lumMod val="80000"/>
                <a:alpha val="75000"/>
              </a:schemeClr>
            </a:solidFill>
            <a:ln>
              <a:noFill/>
            </a:ln>
            <a:effectLst/>
          </c:spPr>
          <c:invertIfNegative val="0"/>
          <c:dLbls>
            <c:dLbl>
              <c:idx val="0"/>
              <c:layout>
                <c:manualLayout>
                  <c:x val="-4.191243519121696E-3"/>
                  <c:y val="-2.186212397797181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A-3C09-3041-A405-76E2A3ED7591}"/>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Tradeoff'!$B$23</c:f>
              <c:numCache>
                <c:formatCode>_ * #,##0_)_ ;_ * \(#,##0\)_ ;_ * "-"??_)_ ;_ @_ </c:formatCode>
                <c:ptCount val="1"/>
                <c:pt idx="0">
                  <c:v>65.554553651938676</c:v>
                </c:pt>
              </c:numCache>
            </c:numRef>
          </c:xVal>
          <c:yVal>
            <c:numRef>
              <c:f>'Popularity Difficulty Tradeoff'!$C$23</c:f>
              <c:numCache>
                <c:formatCode>_ * #,##0_)_ ;_ * \(#,##0\)_ ;_ * "-"??_)_ ;_ @_ </c:formatCode>
                <c:ptCount val="1"/>
                <c:pt idx="0">
                  <c:v>1970.01</c:v>
                </c:pt>
              </c:numCache>
            </c:numRef>
          </c:yVal>
          <c:bubbleSize>
            <c:numRef>
              <c:f>'Popularity Difficulty Tradeoff'!$D$23</c:f>
              <c:numCache>
                <c:formatCode>_ * #,##0_)_ ;_ * \(#,##0\)_ ;_ * "-"??_)_ ;_ @_ </c:formatCode>
                <c:ptCount val="1"/>
                <c:pt idx="0">
                  <c:v>3327</c:v>
                </c:pt>
              </c:numCache>
            </c:numRef>
          </c:bubbleSize>
          <c:bubble3D val="1"/>
          <c:extLst>
            <c:ext xmlns:c16="http://schemas.microsoft.com/office/drawing/2014/chart" uri="{C3380CC4-5D6E-409C-BE32-E72D297353CC}">
              <c16:uniqueId val="{0000002B-3C09-3041-A405-76E2A3ED7591}"/>
            </c:ext>
          </c:extLst>
        </c:ser>
        <c:ser>
          <c:idx val="22"/>
          <c:order val="22"/>
          <c:tx>
            <c:strRef>
              <c:f>'Popularity Difficulty Tradeoff'!$A$24</c:f>
              <c:strCache>
                <c:ptCount val="1"/>
                <c:pt idx="0">
                  <c:v>Non-functional Test Automation</c:v>
                </c:pt>
              </c:strCache>
            </c:strRef>
          </c:tx>
          <c:spPr>
            <a:solidFill>
              <a:schemeClr val="accent5">
                <a:lumMod val="80000"/>
                <a:alpha val="75000"/>
              </a:schemeClr>
            </a:solidFill>
            <a:ln>
              <a:noFill/>
            </a:ln>
            <a:effectLst/>
          </c:spPr>
          <c:invertIfNegative val="0"/>
          <c:dLbls>
            <c:dLbl>
              <c:idx val="0"/>
              <c:layout>
                <c:manualLayout>
                  <c:x val="3.9085862626982534E-4"/>
                  <c:y val="-0.14410268603598769"/>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C-3C09-3041-A405-76E2A3ED7591}"/>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Tradeoff'!$B$24</c:f>
              <c:numCache>
                <c:formatCode>_ * #,##0_)_ ;_ * \(#,##0\)_ ;_ * "-"??_)_ ;_ @_ </c:formatCode>
                <c:ptCount val="1"/>
                <c:pt idx="0">
                  <c:v>63.717306622148023</c:v>
                </c:pt>
              </c:numCache>
            </c:numRef>
          </c:xVal>
          <c:yVal>
            <c:numRef>
              <c:f>'Popularity Difficulty Tradeoff'!$C$24</c:f>
              <c:numCache>
                <c:formatCode>_ * #,##0_)_ ;_ * \(#,##0\)_ ;_ * "-"??_)_ ;_ @_ </c:formatCode>
                <c:ptCount val="1"/>
                <c:pt idx="0">
                  <c:v>2061.62</c:v>
                </c:pt>
              </c:numCache>
            </c:numRef>
          </c:yVal>
          <c:bubbleSize>
            <c:numRef>
              <c:f>'Popularity Difficulty Tradeoff'!$D$24</c:f>
              <c:numCache>
                <c:formatCode>_ * #,##0_)_ ;_ * \(#,##0\)_ ;_ * "-"??_)_ ;_ @_ </c:formatCode>
                <c:ptCount val="1"/>
                <c:pt idx="0">
                  <c:v>5391</c:v>
                </c:pt>
              </c:numCache>
            </c:numRef>
          </c:bubbleSize>
          <c:bubble3D val="1"/>
          <c:extLst>
            <c:ext xmlns:c16="http://schemas.microsoft.com/office/drawing/2014/chart" uri="{C3380CC4-5D6E-409C-BE32-E72D297353CC}">
              <c16:uniqueId val="{0000002D-3C09-3041-A405-76E2A3ED7591}"/>
            </c:ext>
          </c:extLst>
        </c:ser>
        <c:ser>
          <c:idx val="23"/>
          <c:order val="23"/>
          <c:tx>
            <c:strRef>
              <c:f>'Popularity Difficulty Tradeoff'!$A$25</c:f>
              <c:strCache>
                <c:ptCount val="1"/>
                <c:pt idx="0">
                  <c:v>Functional Test Automation</c:v>
                </c:pt>
              </c:strCache>
            </c:strRef>
          </c:tx>
          <c:spPr>
            <a:solidFill>
              <a:schemeClr val="accent6">
                <a:lumMod val="80000"/>
                <a:alpha val="75000"/>
              </a:schemeClr>
            </a:solidFill>
            <a:ln>
              <a:noFill/>
            </a:ln>
            <a:effectLst/>
          </c:spPr>
          <c:invertIfNegative val="0"/>
          <c:dLbls>
            <c:dLbl>
              <c:idx val="0"/>
              <c:layout>
                <c:manualLayout>
                  <c:x val="-1.006860712570209E-2"/>
                  <c:y val="-4.6745923391983378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E-3C09-3041-A405-76E2A3ED7591}"/>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'Popularity Difficulty Tradeoff'!$B$25</c:f>
              <c:numCache>
                <c:formatCode>_ * #,##0_)_ ;_ * \(#,##0\)_ ;_ * "-"??_)_ ;_ @_ </c:formatCode>
                <c:ptCount val="1"/>
                <c:pt idx="0">
                  <c:v>63.932980599647266</c:v>
                </c:pt>
              </c:numCache>
            </c:numRef>
          </c:xVal>
          <c:yVal>
            <c:numRef>
              <c:f>'Popularity Difficulty Tradeoff'!$C$25</c:f>
              <c:numCache>
                <c:formatCode>_ * #,##0_)_ ;_ * \(#,##0\)_ ;_ * "-"??_)_ ;_ @_ </c:formatCode>
                <c:ptCount val="1"/>
                <c:pt idx="0">
                  <c:v>1399.63</c:v>
                </c:pt>
              </c:numCache>
            </c:numRef>
          </c:yVal>
          <c:bubbleSize>
            <c:numRef>
              <c:f>'Popularity Difficulty Tradeoff'!$D$25</c:f>
              <c:numCache>
                <c:formatCode>_ * #,##0_)_ ;_ * \(#,##0\)_ ;_ * "-"??_)_ ;_ @_ </c:formatCode>
                <c:ptCount val="1"/>
                <c:pt idx="0">
                  <c:v>5670</c:v>
                </c:pt>
              </c:numCache>
            </c:numRef>
          </c:bubbleSize>
          <c:bubble3D val="1"/>
          <c:extLst>
            <c:ext xmlns:c16="http://schemas.microsoft.com/office/drawing/2014/chart" uri="{C3380CC4-5D6E-409C-BE32-E72D297353CC}">
              <c16:uniqueId val="{0000002F-3C09-3041-A405-76E2A3ED7591}"/>
            </c:ext>
          </c:extLst>
        </c:ser>
        <c:dLbls>
          <c:dLblPos val="r"/>
          <c:showLegendKey val="0"/>
          <c:showVal val="1"/>
          <c:showCatName val="1"/>
          <c:showSerName val="0"/>
          <c:showPercent val="0"/>
          <c:showBubbleSize val="0"/>
        </c:dLbls>
        <c:bubbleScale val="70"/>
        <c:showNegBubbles val="0"/>
        <c:axId val="1719769343"/>
        <c:axId val="2127769712"/>
      </c:bubbleChart>
      <c:valAx>
        <c:axId val="1719769343"/>
        <c:scaling>
          <c:orientation val="minMax"/>
          <c:max val="68"/>
          <c:min val="44"/>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GB"/>
                  <a:t>Difficulty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BD"/>
            </a:p>
          </c:txPr>
        </c:title>
        <c:numFmt formatCode="_ * #,##0_)_ ;_ * \(#,##0\)_ ;_ * &quot;-&quot;??_)_ ;_ @_ "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crossAx val="2127769712"/>
        <c:crosses val="autoZero"/>
        <c:crossBetween val="midCat"/>
        <c:majorUnit val="5"/>
      </c:valAx>
      <c:valAx>
        <c:axId val="212776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GB"/>
                  <a:t>Average VIew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BD"/>
            </a:p>
          </c:txPr>
        </c:title>
        <c:numFmt formatCode="_ * #,##0_)_ ;_ * \(#,##0\)_ ;_ * &quot;-&quot;??_)_ ;_ @_ "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BD"/>
          </a:p>
        </c:txPr>
        <c:crossAx val="17197693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accent1"/>
      </a:solidFill>
      <a:prstDash val="solid"/>
      <a:round/>
    </a:ln>
    <a:effectLst/>
  </c:spPr>
  <c:txPr>
    <a:bodyPr/>
    <a:lstStyle/>
    <a:p>
      <a:pPr>
        <a:defRPr>
          <a:solidFill>
            <a:schemeClr val="dk1"/>
          </a:solidFill>
          <a:latin typeface="+mn-lt"/>
          <a:ea typeface="+mn-ea"/>
          <a:cs typeface="+mn-cs"/>
        </a:defRPr>
      </a:pPr>
      <a:endParaRPr lang="en-BD"/>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Popularity Difficulty Tradeoff</a:t>
            </a:r>
            <a:r>
              <a:rPr lang="en-GB" baseline="0"/>
              <a:t> </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BD"/>
        </a:p>
      </c:txPr>
    </c:title>
    <c:autoTitleDeleted val="0"/>
    <c:plotArea>
      <c:layout/>
      <c:bubbleChart>
        <c:varyColors val="0"/>
        <c:ser>
          <c:idx val="0"/>
          <c:order val="0"/>
          <c:tx>
            <c:strRef>
              <c:f>'Popularity Difficulty Tradeoff'!$A$2</c:f>
              <c:strCache>
                <c:ptCount val="1"/>
                <c:pt idx="0">
                  <c:v>Repository/git Management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4.1450777202072537E-3"/>
                  <c:y val="2.4719101123595506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A9E8-7A4C-B42F-73470FDB7B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Tradeoff'!$B$2</c:f>
              <c:numCache>
                <c:formatCode>_ * #,##0_)_ ;_ * \(#,##0\)_ ;_ * "-"??_)_ ;_ @_ </c:formatCode>
                <c:ptCount val="1"/>
                <c:pt idx="0">
                  <c:v>58.69451697127937</c:v>
                </c:pt>
              </c:numCache>
            </c:numRef>
          </c:xVal>
          <c:yVal>
            <c:numRef>
              <c:f>'Popularity Difficulty Tradeoff'!$C$2</c:f>
              <c:numCache>
                <c:formatCode>_ * #,##0_)_ ;_ * \(#,##0\)_ ;_ * "-"??_)_ ;_ @_ </c:formatCode>
                <c:ptCount val="1"/>
                <c:pt idx="0">
                  <c:v>2739.8</c:v>
                </c:pt>
              </c:numCache>
            </c:numRef>
          </c:yVal>
          <c:bubbleSize>
            <c:numRef>
              <c:f>'Popularity Difficulty Tradeoff'!$D$2</c:f>
              <c:numCache>
                <c:formatCode>_ * #,##0_)_ ;_ * \(#,##0\)_ ;_ * "-"??_)_ ;_ @_ </c:formatCode>
                <c:ptCount val="1"/>
                <c:pt idx="0">
                  <c:v>5745</c:v>
                </c:pt>
              </c:numCache>
            </c:numRef>
          </c:bubbleSize>
          <c:bubble3D val="1"/>
          <c:extLst>
            <c:ext xmlns:c16="http://schemas.microsoft.com/office/drawing/2014/chart" uri="{C3380CC4-5D6E-409C-BE32-E72D297353CC}">
              <c16:uniqueId val="{00000001-A9E8-7A4C-B42F-73470FDB7B58}"/>
            </c:ext>
          </c:extLst>
        </c:ser>
        <c:ser>
          <c:idx val="1"/>
          <c:order val="1"/>
          <c:tx>
            <c:strRef>
              <c:f>'Popularity Difficulty Tradeoff'!$A$3</c:f>
              <c:strCache>
                <c:ptCount val="1"/>
                <c:pt idx="0">
                  <c:v>Gitlab CI/CD</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0.19851518560179979"/>
                  <c:y val="1.7977528089887559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A9E8-7A4C-B42F-73470FDB7B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ct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Tradeoff'!$B$3</c:f>
              <c:numCache>
                <c:formatCode>_ * #,##0_)_ ;_ * \(#,##0\)_ ;_ * "-"??_)_ ;_ @_ </c:formatCode>
                <c:ptCount val="1"/>
                <c:pt idx="0">
                  <c:v>60.100518806744489</c:v>
                </c:pt>
              </c:numCache>
            </c:numRef>
          </c:xVal>
          <c:yVal>
            <c:numRef>
              <c:f>'Popularity Difficulty Tradeoff'!$C$3</c:f>
              <c:numCache>
                <c:formatCode>_ * #,##0_)_ ;_ * \(#,##0\)_ ;_ * "-"??_)_ ;_ @_ </c:formatCode>
                <c:ptCount val="1"/>
                <c:pt idx="0">
                  <c:v>1415.8</c:v>
                </c:pt>
              </c:numCache>
            </c:numRef>
          </c:yVal>
          <c:bubbleSize>
            <c:numRef>
              <c:f>'Popularity Difficulty Tradeoff'!$D$3</c:f>
              <c:numCache>
                <c:formatCode>_ * #,##0_)_ ;_ * \(#,##0\)_ ;_ * "-"??_)_ ;_ @_ </c:formatCode>
                <c:ptCount val="1"/>
                <c:pt idx="0">
                  <c:v>6168</c:v>
                </c:pt>
              </c:numCache>
            </c:numRef>
          </c:bubbleSize>
          <c:bubble3D val="1"/>
          <c:extLst>
            <c:ext xmlns:c16="http://schemas.microsoft.com/office/drawing/2014/chart" uri="{C3380CC4-5D6E-409C-BE32-E72D297353CC}">
              <c16:uniqueId val="{00000003-A9E8-7A4C-B42F-73470FDB7B58}"/>
            </c:ext>
          </c:extLst>
        </c:ser>
        <c:ser>
          <c:idx val="2"/>
          <c:order val="2"/>
          <c:tx>
            <c:strRef>
              <c:f>'Popularity Difficulty Tradeoff'!$A$4</c:f>
              <c:strCache>
                <c:ptCount val="1"/>
                <c:pt idx="0">
                  <c:v>Jenkins Build Mobile Application</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0.12331606217616581"/>
                  <c:y val="0.10786516853932585"/>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A9E8-7A4C-B42F-73470FDB7B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Tradeoff'!$B$4</c:f>
              <c:numCache>
                <c:formatCode>_ * #,##0_)_ ;_ * \(#,##0\)_ ;_ * "-"??_)_ ;_ @_ </c:formatCode>
                <c:ptCount val="1"/>
                <c:pt idx="0">
                  <c:v>61.13493896403827</c:v>
                </c:pt>
              </c:numCache>
            </c:numRef>
          </c:xVal>
          <c:yVal>
            <c:numRef>
              <c:f>'Popularity Difficulty Tradeoff'!$C$4</c:f>
              <c:numCache>
                <c:formatCode>_ * #,##0_)_ ;_ * \(#,##0\)_ ;_ * "-"??_)_ ;_ @_ </c:formatCode>
                <c:ptCount val="1"/>
                <c:pt idx="0">
                  <c:v>1543.45</c:v>
                </c:pt>
              </c:numCache>
            </c:numRef>
          </c:yVal>
          <c:bubbleSize>
            <c:numRef>
              <c:f>'Popularity Difficulty Tradeoff'!$D$4</c:f>
              <c:numCache>
                <c:formatCode>_ * #,##0_)_ ;_ * \(#,##0\)_ ;_ * "-"??_)_ ;_ @_ </c:formatCode>
                <c:ptCount val="1"/>
                <c:pt idx="0">
                  <c:v>3031</c:v>
                </c:pt>
              </c:numCache>
            </c:numRef>
          </c:bubbleSize>
          <c:bubble3D val="1"/>
          <c:extLst>
            <c:ext xmlns:c16="http://schemas.microsoft.com/office/drawing/2014/chart" uri="{C3380CC4-5D6E-409C-BE32-E72D297353CC}">
              <c16:uniqueId val="{00000005-A9E8-7A4C-B42F-73470FDB7B58}"/>
            </c:ext>
          </c:extLst>
        </c:ser>
        <c:ser>
          <c:idx val="3"/>
          <c:order val="3"/>
          <c:tx>
            <c:strRef>
              <c:f>'Popularity Difficulty Tradeoff'!$A$5</c:f>
              <c:strCache>
                <c:ptCount val="1"/>
                <c:pt idx="0">
                  <c:v>Jenkins Pipeline</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8.0511144988455394E-2"/>
                  <c:y val="0.15505617977528091"/>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A9E8-7A4C-B42F-73470FDB7B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ct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Tradeoff'!$B$5</c:f>
              <c:numCache>
                <c:formatCode>_ * #,##0_)_ ;_ * \(#,##0\)_ ;_ * "-"??_)_ ;_ @_ </c:formatCode>
                <c:ptCount val="1"/>
                <c:pt idx="0">
                  <c:v>61.684000000000005</c:v>
                </c:pt>
              </c:numCache>
            </c:numRef>
          </c:xVal>
          <c:yVal>
            <c:numRef>
              <c:f>'Popularity Difficulty Tradeoff'!$C$5</c:f>
              <c:numCache>
                <c:formatCode>_ * #,##0_)_ ;_ * \(#,##0\)_ ;_ * "-"??_)_ ;_ @_ </c:formatCode>
                <c:ptCount val="1"/>
                <c:pt idx="0">
                  <c:v>2502.9359999999997</c:v>
                </c:pt>
              </c:numCache>
            </c:numRef>
          </c:yVal>
          <c:bubbleSize>
            <c:numRef>
              <c:f>'Popularity Difficulty Tradeoff'!$D$5</c:f>
              <c:numCache>
                <c:formatCode>_ * #,##0_)_ ;_ * \(#,##0\)_ ;_ * "-"??_)_ ;_ @_ </c:formatCode>
                <c:ptCount val="1"/>
                <c:pt idx="0">
                  <c:v>23232</c:v>
                </c:pt>
              </c:numCache>
            </c:numRef>
          </c:bubbleSize>
          <c:bubble3D val="1"/>
          <c:extLst>
            <c:ext xmlns:c16="http://schemas.microsoft.com/office/drawing/2014/chart" uri="{C3380CC4-5D6E-409C-BE32-E72D297353CC}">
              <c16:uniqueId val="{00000007-A9E8-7A4C-B42F-73470FDB7B58}"/>
            </c:ext>
          </c:extLst>
        </c:ser>
        <c:ser>
          <c:idx val="4"/>
          <c:order val="4"/>
          <c:tx>
            <c:strRef>
              <c:f>'Popularity Difficulty Tradeoff'!$A$6</c:f>
              <c:strCache>
                <c:ptCount val="1"/>
                <c:pt idx="0">
                  <c:v>Jenkins Build from Git Branch</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0.10466321243523323"/>
                  <c:y val="-0.1303370786516854"/>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A9E8-7A4C-B42F-73470FDB7B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Tradeoff'!$B$6</c:f>
              <c:numCache>
                <c:formatCode>_ * #,##0_)_ ;_ * \(#,##0\)_ ;_ * "-"??_)_ ;_ @_ </c:formatCode>
                <c:ptCount val="1"/>
                <c:pt idx="0">
                  <c:v>62.115563839701771</c:v>
                </c:pt>
              </c:numCache>
            </c:numRef>
          </c:xVal>
          <c:yVal>
            <c:numRef>
              <c:f>'Popularity Difficulty Tradeoff'!$C$6</c:f>
              <c:numCache>
                <c:formatCode>_ * #,##0_)_ ;_ * \(#,##0\)_ ;_ * "-"??_)_ ;_ @_ </c:formatCode>
                <c:ptCount val="1"/>
                <c:pt idx="0">
                  <c:v>2065.02</c:v>
                </c:pt>
              </c:numCache>
            </c:numRef>
          </c:yVal>
          <c:bubbleSize>
            <c:numRef>
              <c:f>'Popularity Difficulty Tradeoff'!$D$6</c:f>
              <c:numCache>
                <c:formatCode>_ * #,##0_)_ ;_ * \(#,##0\)_ ;_ * "-"??_)_ ;_ @_ </c:formatCode>
                <c:ptCount val="1"/>
                <c:pt idx="0">
                  <c:v>8584</c:v>
                </c:pt>
              </c:numCache>
            </c:numRef>
          </c:bubbleSize>
          <c:bubble3D val="1"/>
          <c:extLst>
            <c:ext xmlns:c16="http://schemas.microsoft.com/office/drawing/2014/chart" uri="{C3380CC4-5D6E-409C-BE32-E72D297353CC}">
              <c16:uniqueId val="{00000009-A9E8-7A4C-B42F-73470FDB7B58}"/>
            </c:ext>
          </c:extLst>
        </c:ser>
        <c:ser>
          <c:idx val="5"/>
          <c:order val="5"/>
          <c:tx>
            <c:strRef>
              <c:f>'Popularity Difficulty Tradeoff'!$A$7</c:f>
              <c:strCache>
                <c:ptCount val="1"/>
                <c:pt idx="0">
                  <c:v>Jenkins Build Projects</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0.11294476348351186"/>
                  <c:y val="-0.13258426966292136"/>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A9E8-7A4C-B42F-73470FDB7B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l"/>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Tradeoff'!$B$7</c:f>
              <c:numCache>
                <c:formatCode>_ * #,##0_)_ ;_ * \(#,##0\)_ ;_ * "-"??_)_ ;_ @_ </c:formatCode>
                <c:ptCount val="1"/>
                <c:pt idx="0">
                  <c:v>63.338954468802697</c:v>
                </c:pt>
              </c:numCache>
            </c:numRef>
          </c:xVal>
          <c:yVal>
            <c:numRef>
              <c:f>'Popularity Difficulty Tradeoff'!$C$7</c:f>
              <c:numCache>
                <c:formatCode>_ * #,##0_)_ ;_ * \(#,##0\)_ ;_ * "-"??_)_ ;_ @_ </c:formatCode>
                <c:ptCount val="1"/>
                <c:pt idx="0">
                  <c:v>2035.07</c:v>
                </c:pt>
              </c:numCache>
            </c:numRef>
          </c:yVal>
          <c:bubbleSize>
            <c:numRef>
              <c:f>'Popularity Difficulty Tradeoff'!$D$7</c:f>
              <c:numCache>
                <c:formatCode>_ * #,##0_)_ ;_ * \(#,##0\)_ ;_ * "-"??_)_ ;_ @_ </c:formatCode>
                <c:ptCount val="1"/>
                <c:pt idx="0">
                  <c:v>5930</c:v>
                </c:pt>
              </c:numCache>
            </c:numRef>
          </c:bubbleSize>
          <c:bubble3D val="1"/>
          <c:extLst>
            <c:ext xmlns:c16="http://schemas.microsoft.com/office/drawing/2014/chart" uri="{C3380CC4-5D6E-409C-BE32-E72D297353CC}">
              <c16:uniqueId val="{0000000B-A9E8-7A4C-B42F-73470FDB7B58}"/>
            </c:ext>
          </c:extLst>
        </c:ser>
        <c:ser>
          <c:idx val="6"/>
          <c:order val="6"/>
          <c:tx>
            <c:strRef>
              <c:f>'Popularity Difficulty Tradeoff'!$A$8</c:f>
              <c:strCache>
                <c:ptCount val="1"/>
                <c:pt idx="0">
                  <c:v>Jenkins Distributed Architecture</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2.0725388601036268E-3"/>
                  <c:y val="-2.24719101123595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C-A9E8-7A4C-B42F-73470FDB7B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Tradeoff'!$B$8</c:f>
              <c:numCache>
                <c:formatCode>_ * #,##0_)_ ;_ * \(#,##0\)_ ;_ * "-"??_)_ ;_ @_ </c:formatCode>
                <c:ptCount val="1"/>
                <c:pt idx="0">
                  <c:v>64.675767918088738</c:v>
                </c:pt>
              </c:numCache>
            </c:numRef>
          </c:xVal>
          <c:yVal>
            <c:numRef>
              <c:f>'Popularity Difficulty Tradeoff'!$C$8</c:f>
              <c:numCache>
                <c:formatCode>_ * #,##0_)_ ;_ * \(#,##0\)_ ;_ * "-"??_)_ ;_ @_ </c:formatCode>
                <c:ptCount val="1"/>
                <c:pt idx="0">
                  <c:v>2332.35</c:v>
                </c:pt>
              </c:numCache>
            </c:numRef>
          </c:yVal>
          <c:bubbleSize>
            <c:numRef>
              <c:f>'Popularity Difficulty Tradeoff'!$D$8</c:f>
              <c:numCache>
                <c:formatCode>_ * #,##0_)_ ;_ * \(#,##0\)_ ;_ * "-"??_)_ ;_ @_ </c:formatCode>
                <c:ptCount val="1"/>
                <c:pt idx="0">
                  <c:v>5274</c:v>
                </c:pt>
              </c:numCache>
            </c:numRef>
          </c:bubbleSize>
          <c:bubble3D val="1"/>
          <c:extLst>
            <c:ext xmlns:c16="http://schemas.microsoft.com/office/drawing/2014/chart" uri="{C3380CC4-5D6E-409C-BE32-E72D297353CC}">
              <c16:uniqueId val="{0000000D-A9E8-7A4C-B42F-73470FDB7B58}"/>
            </c:ext>
          </c:extLst>
        </c:ser>
        <c:ser>
          <c:idx val="7"/>
          <c:order val="7"/>
          <c:tx>
            <c:strRef>
              <c:f>'Popularity Difficulty Tradeoff'!$A$9</c:f>
              <c:strCache>
                <c:ptCount val="1"/>
                <c:pt idx="0">
                  <c:v>Azure DevOps Development Pipeline</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0.15560090063484755"/>
                  <c:y val="-6.5793290764910473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E-A9E8-7A4C-B42F-73470FDB7B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Tradeoff'!$B$9</c:f>
              <c:numCache>
                <c:formatCode>_ * #,##0_)_ ;_ * \(#,##0\)_ ;_ * "-"??_)_ ;_ @_ </c:formatCode>
                <c:ptCount val="1"/>
                <c:pt idx="0">
                  <c:v>45.806238289430176</c:v>
                </c:pt>
              </c:numCache>
            </c:numRef>
          </c:xVal>
          <c:yVal>
            <c:numRef>
              <c:f>'Popularity Difficulty Tradeoff'!$C$9</c:f>
              <c:numCache>
                <c:formatCode>_ * #,##0_)_ ;_ * \(#,##0\)_ ;_ * "-"??_)_ ;_ @_ </c:formatCode>
                <c:ptCount val="1"/>
                <c:pt idx="0">
                  <c:v>607.44000000000005</c:v>
                </c:pt>
              </c:numCache>
            </c:numRef>
          </c:yVal>
          <c:bubbleSize>
            <c:numRef>
              <c:f>'Popularity Difficulty Tradeoff'!$D$9</c:f>
              <c:numCache>
                <c:formatCode>_ * #,##0_)_ ;_ * \(#,##0\)_ ;_ * "-"??_)_ ;_ @_ </c:formatCode>
                <c:ptCount val="1"/>
                <c:pt idx="0">
                  <c:v>9073</c:v>
                </c:pt>
              </c:numCache>
            </c:numRef>
          </c:bubbleSize>
          <c:bubble3D val="1"/>
          <c:extLst>
            <c:ext xmlns:c16="http://schemas.microsoft.com/office/drawing/2014/chart" uri="{C3380CC4-5D6E-409C-BE32-E72D297353CC}">
              <c16:uniqueId val="{0000000F-A9E8-7A4C-B42F-73470FDB7B58}"/>
            </c:ext>
          </c:extLst>
        </c:ser>
        <c:ser>
          <c:idx val="8"/>
          <c:order val="8"/>
          <c:tx>
            <c:strRef>
              <c:f>'Popularity Difficulty Tradeoff'!$A$10</c:f>
              <c:strCache>
                <c:ptCount val="1"/>
                <c:pt idx="0">
                  <c:v>Azure DevOps Build Project</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1.0362694300518135E-2"/>
                  <c:y val="3.8202247191011153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A9E8-7A4C-B42F-73470FDB7B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Tradeoff'!$B$10</c:f>
              <c:numCache>
                <c:formatCode>_ * #,##0_)_ ;_ * \(#,##0\)_ ;_ * "-"??_)_ ;_ @_ </c:formatCode>
                <c:ptCount val="1"/>
                <c:pt idx="0">
                  <c:v>46.375753149534418</c:v>
                </c:pt>
              </c:numCache>
            </c:numRef>
          </c:xVal>
          <c:yVal>
            <c:numRef>
              <c:f>'Popularity Difficulty Tradeoff'!$C$10</c:f>
              <c:numCache>
                <c:formatCode>_ * #,##0_)_ ;_ * \(#,##0\)_ ;_ * "-"??_)_ ;_ @_ </c:formatCode>
                <c:ptCount val="1"/>
                <c:pt idx="0">
                  <c:v>1391.26</c:v>
                </c:pt>
              </c:numCache>
            </c:numRef>
          </c:yVal>
          <c:bubbleSize>
            <c:numRef>
              <c:f>'Popularity Difficulty Tradeoff'!$D$10</c:f>
              <c:numCache>
                <c:formatCode>_ * #,##0_)_ ;_ * \(#,##0\)_ ;_ * "-"??_)_ ;_ @_ </c:formatCode>
                <c:ptCount val="1"/>
                <c:pt idx="0">
                  <c:v>5477</c:v>
                </c:pt>
              </c:numCache>
            </c:numRef>
          </c:bubbleSize>
          <c:bubble3D val="1"/>
          <c:extLst>
            <c:ext xmlns:c16="http://schemas.microsoft.com/office/drawing/2014/chart" uri="{C3380CC4-5D6E-409C-BE32-E72D297353CC}">
              <c16:uniqueId val="{00000011-A9E8-7A4C-B42F-73470FDB7B58}"/>
            </c:ext>
          </c:extLst>
        </c:ser>
        <c:ser>
          <c:idx val="9"/>
          <c:order val="9"/>
          <c:tx>
            <c:strRef>
              <c:f>'Popularity Difficulty Tradeoff'!$A$11</c:f>
              <c:strCache>
                <c:ptCount val="1"/>
                <c:pt idx="0">
                  <c:v>Azure DevOps Deployment</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8.7869945533124147E-2"/>
                  <c:y val="-0.14157303370786517"/>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A9E8-7A4C-B42F-73470FDB7B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ct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Tradeoff'!$B$11</c:f>
              <c:numCache>
                <c:formatCode>_ * #,##0_)_ ;_ * \(#,##0\)_ ;_ * "-"??_)_ ;_ @_ </c:formatCode>
                <c:ptCount val="1"/>
                <c:pt idx="0">
                  <c:v>56.761513640363745</c:v>
                </c:pt>
              </c:numCache>
            </c:numRef>
          </c:xVal>
          <c:yVal>
            <c:numRef>
              <c:f>'Popularity Difficulty Tradeoff'!$C$11</c:f>
              <c:numCache>
                <c:formatCode>_ * #,##0_)_ ;_ * \(#,##0\)_ ;_ * "-"??_)_ ;_ @_ </c:formatCode>
                <c:ptCount val="1"/>
                <c:pt idx="0">
                  <c:v>932.96</c:v>
                </c:pt>
              </c:numCache>
            </c:numRef>
          </c:yVal>
          <c:bubbleSize>
            <c:numRef>
              <c:f>'Popularity Difficulty Tradeoff'!$D$11</c:f>
              <c:numCache>
                <c:formatCode>_ * #,##0_)_ ;_ * \(#,##0\)_ ;_ * "-"??_)_ ;_ @_ </c:formatCode>
                <c:ptCount val="1"/>
                <c:pt idx="0">
                  <c:v>6818</c:v>
                </c:pt>
              </c:numCache>
            </c:numRef>
          </c:bubbleSize>
          <c:bubble3D val="1"/>
          <c:extLst>
            <c:ext xmlns:c16="http://schemas.microsoft.com/office/drawing/2014/chart" uri="{C3380CC4-5D6E-409C-BE32-E72D297353CC}">
              <c16:uniqueId val="{00000013-A9E8-7A4C-B42F-73470FDB7B58}"/>
            </c:ext>
          </c:extLst>
        </c:ser>
        <c:ser>
          <c:idx val="10"/>
          <c:order val="10"/>
          <c:tx>
            <c:strRef>
              <c:f>'Popularity Difficulty Tradeoff'!$A$12</c:f>
              <c:strCache>
                <c:ptCount val="1"/>
                <c:pt idx="0">
                  <c:v>IBM Cloud</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9.3264248704663967E-3"/>
                  <c:y val="6.292134831460674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A9E8-7A4C-B42F-73470FDB7B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Tradeoff'!$B$12</c:f>
              <c:numCache>
                <c:formatCode>_ * #,##0_)_ ;_ * \(#,##0\)_ ;_ * "-"??_)_ ;_ @_ </c:formatCode>
                <c:ptCount val="1"/>
                <c:pt idx="0">
                  <c:v>59.513192121887776</c:v>
                </c:pt>
              </c:numCache>
            </c:numRef>
          </c:xVal>
          <c:yVal>
            <c:numRef>
              <c:f>'Popularity Difficulty Tradeoff'!$C$12</c:f>
              <c:numCache>
                <c:formatCode>_ * #,##0_)_ ;_ * \(#,##0\)_ ;_ * "-"??_)_ ;_ @_ </c:formatCode>
                <c:ptCount val="1"/>
                <c:pt idx="0">
                  <c:v>421.06</c:v>
                </c:pt>
              </c:numCache>
            </c:numRef>
          </c:yVal>
          <c:bubbleSize>
            <c:numRef>
              <c:f>'Popularity Difficulty Tradeoff'!$D$12</c:f>
              <c:numCache>
                <c:formatCode>_ * #,##0_)_ ;_ * \(#,##0\)_ ;_ * "-"??_)_ ;_ @_ </c:formatCode>
                <c:ptCount val="1"/>
                <c:pt idx="0">
                  <c:v>5382</c:v>
                </c:pt>
              </c:numCache>
            </c:numRef>
          </c:bubbleSize>
          <c:bubble3D val="1"/>
          <c:extLst>
            <c:ext xmlns:c16="http://schemas.microsoft.com/office/drawing/2014/chart" uri="{C3380CC4-5D6E-409C-BE32-E72D297353CC}">
              <c16:uniqueId val="{00000015-A9E8-7A4C-B42F-73470FDB7B58}"/>
            </c:ext>
          </c:extLst>
        </c:ser>
        <c:ser>
          <c:idx val="11"/>
          <c:order val="11"/>
          <c:tx>
            <c:strRef>
              <c:f>'Popularity Difficulty Tradeoff'!$A$13</c:f>
              <c:strCache>
                <c:ptCount val="1"/>
                <c:pt idx="0">
                  <c:v>Kubernetes POD</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8.074525584539699E-2"/>
                  <c:y val="6.4298787391853282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A9E8-7A4C-B42F-73470FDB7B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ct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Tradeoff'!$B$13</c:f>
              <c:numCache>
                <c:formatCode>_ * #,##0_)_ ;_ * \(#,##0\)_ ;_ * "-"??_)_ ;_ @_ </c:formatCode>
                <c:ptCount val="1"/>
                <c:pt idx="0">
                  <c:v>57.213930348258707</c:v>
                </c:pt>
              </c:numCache>
            </c:numRef>
          </c:xVal>
          <c:yVal>
            <c:numRef>
              <c:f>'Popularity Difficulty Tradeoff'!$C$13</c:f>
              <c:numCache>
                <c:formatCode>_ * #,##0_)_ ;_ * \(#,##0\)_ ;_ * "-"??_)_ ;_ @_ </c:formatCode>
                <c:ptCount val="1"/>
                <c:pt idx="0">
                  <c:v>1381.11</c:v>
                </c:pt>
              </c:numCache>
            </c:numRef>
          </c:yVal>
          <c:bubbleSize>
            <c:numRef>
              <c:f>'Popularity Difficulty Tradeoff'!$D$13</c:f>
              <c:numCache>
                <c:formatCode>_ * #,##0_)_ ;_ * \(#,##0\)_ ;_ * "-"??_)_ ;_ @_ </c:formatCode>
                <c:ptCount val="1"/>
                <c:pt idx="0">
                  <c:v>8442</c:v>
                </c:pt>
              </c:numCache>
            </c:numRef>
          </c:bubbleSize>
          <c:bubble3D val="1"/>
          <c:extLst>
            <c:ext xmlns:c16="http://schemas.microsoft.com/office/drawing/2014/chart" uri="{C3380CC4-5D6E-409C-BE32-E72D297353CC}">
              <c16:uniqueId val="{00000017-A9E8-7A4C-B42F-73470FDB7B58}"/>
            </c:ext>
          </c:extLst>
        </c:ser>
        <c:ser>
          <c:idx val="12"/>
          <c:order val="12"/>
          <c:tx>
            <c:strRef>
              <c:f>'Popularity Difficulty Tradeoff'!$A$14</c:f>
              <c:strCache>
                <c:ptCount val="1"/>
                <c:pt idx="0">
                  <c:v>Docker</c:v>
                </c:pt>
              </c:strCache>
            </c:strRef>
          </c:tx>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3.945973745588692E-2"/>
                  <c:y val="0.13989387444511411"/>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A9E8-7A4C-B42F-73470FDB7B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1"/>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Tradeoff'!$B$14</c:f>
              <c:numCache>
                <c:formatCode>_ * #,##0_)_ ;_ * \(#,##0\)_ ;_ * "-"??_)_ ;_ @_ </c:formatCode>
                <c:ptCount val="1"/>
                <c:pt idx="0">
                  <c:v>59.135481288773263</c:v>
                </c:pt>
              </c:numCache>
            </c:numRef>
          </c:xVal>
          <c:yVal>
            <c:numRef>
              <c:f>'Popularity Difficulty Tradeoff'!$C$14</c:f>
              <c:numCache>
                <c:formatCode>_ * #,##0_)_ ;_ * \(#,##0\)_ ;_ * "-"??_)_ ;_ @_ </c:formatCode>
                <c:ptCount val="1"/>
                <c:pt idx="0">
                  <c:v>1434.59</c:v>
                </c:pt>
              </c:numCache>
            </c:numRef>
          </c:yVal>
          <c:bubbleSize>
            <c:numRef>
              <c:f>'Popularity Difficulty Tradeoff'!$D$14</c:f>
              <c:numCache>
                <c:formatCode>_ * #,##0_)_ ;_ * \(#,##0\)_ ;_ * "-"??_)_ ;_ @_ </c:formatCode>
                <c:ptCount val="1"/>
                <c:pt idx="0">
                  <c:v>4997</c:v>
                </c:pt>
              </c:numCache>
            </c:numRef>
          </c:bubbleSize>
          <c:bubble3D val="1"/>
          <c:extLst>
            <c:ext xmlns:c16="http://schemas.microsoft.com/office/drawing/2014/chart" uri="{C3380CC4-5D6E-409C-BE32-E72D297353CC}">
              <c16:uniqueId val="{00000019-A9E8-7A4C-B42F-73470FDB7B58}"/>
            </c:ext>
          </c:extLst>
        </c:ser>
        <c:ser>
          <c:idx val="13"/>
          <c:order val="13"/>
          <c:tx>
            <c:strRef>
              <c:f>'Popularity Difficulty Tradeoff'!$A$15</c:f>
              <c:strCache>
                <c:ptCount val="1"/>
                <c:pt idx="0">
                  <c:v>Kubernetes Cluster</c:v>
                </c:pt>
              </c:strCache>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3.0976041858392363E-2"/>
                  <c:y val="-0.17053475675737204"/>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A-A9E8-7A4C-B42F-73470FDB7B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Tradeoff'!$B$15</c:f>
              <c:numCache>
                <c:formatCode>_ * #,##0_)_ ;_ * \(#,##0\)_ ;_ * "-"??_)_ ;_ @_ </c:formatCode>
                <c:ptCount val="1"/>
                <c:pt idx="0">
                  <c:v>59.9168303107312</c:v>
                </c:pt>
              </c:numCache>
            </c:numRef>
          </c:xVal>
          <c:yVal>
            <c:numRef>
              <c:f>'Popularity Difficulty Tradeoff'!$C$15</c:f>
              <c:numCache>
                <c:formatCode>_ * #,##0_)_ ;_ * \(#,##0\)_ ;_ * "-"??_)_ ;_ @_ </c:formatCode>
                <c:ptCount val="1"/>
                <c:pt idx="0">
                  <c:v>1020.49</c:v>
                </c:pt>
              </c:numCache>
            </c:numRef>
          </c:yVal>
          <c:bubbleSize>
            <c:numRef>
              <c:f>'Popularity Difficulty Tradeoff'!$D$15</c:f>
              <c:numCache>
                <c:formatCode>_ * #,##0_)_ ;_ * \(#,##0\)_ ;_ * "-"??_)_ ;_ @_ </c:formatCode>
                <c:ptCount val="1"/>
                <c:pt idx="0">
                  <c:v>8657</c:v>
                </c:pt>
              </c:numCache>
            </c:numRef>
          </c:bubbleSize>
          <c:bubble3D val="1"/>
          <c:extLst>
            <c:ext xmlns:c16="http://schemas.microsoft.com/office/drawing/2014/chart" uri="{C3380CC4-5D6E-409C-BE32-E72D297353CC}">
              <c16:uniqueId val="{0000001B-A9E8-7A4C-B42F-73470FDB7B58}"/>
            </c:ext>
          </c:extLst>
        </c:ser>
        <c:ser>
          <c:idx val="14"/>
          <c:order val="14"/>
          <c:tx>
            <c:strRef>
              <c:f>'Popularity Difficulty Tradeoff'!$A$16</c:f>
              <c:strCache>
                <c:ptCount val="1"/>
                <c:pt idx="0">
                  <c:v>Kubernetes Traffic Management</c:v>
                </c:pt>
              </c:strCache>
            </c:strRef>
          </c:tx>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1.0708946633627212E-2"/>
                  <c:y val="-6.198044924852165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C-A9E8-7A4C-B42F-73470FDB7B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Tradeoff'!$B$16</c:f>
              <c:numCache>
                <c:formatCode>_ * #,##0_)_ ;_ * \(#,##0\)_ ;_ * "-"??_)_ ;_ @_ </c:formatCode>
                <c:ptCount val="1"/>
                <c:pt idx="0">
                  <c:v>61.847964376590333</c:v>
                </c:pt>
              </c:numCache>
            </c:numRef>
          </c:xVal>
          <c:yVal>
            <c:numRef>
              <c:f>'Popularity Difficulty Tradeoff'!$C$16</c:f>
              <c:numCache>
                <c:formatCode>_ * #,##0_)_ ;_ * \(#,##0\)_ ;_ * "-"??_)_ ;_ @_ </c:formatCode>
                <c:ptCount val="1"/>
                <c:pt idx="0">
                  <c:v>921.61</c:v>
                </c:pt>
              </c:numCache>
            </c:numRef>
          </c:yVal>
          <c:bubbleSize>
            <c:numRef>
              <c:f>'Popularity Difficulty Tradeoff'!$D$16</c:f>
              <c:numCache>
                <c:formatCode>_ * #,##0_)_ ;_ * \(#,##0\)_ ;_ * "-"??_)_ ;_ @_ </c:formatCode>
                <c:ptCount val="1"/>
                <c:pt idx="0">
                  <c:v>6288</c:v>
                </c:pt>
              </c:numCache>
            </c:numRef>
          </c:bubbleSize>
          <c:bubble3D val="1"/>
          <c:extLst>
            <c:ext xmlns:c16="http://schemas.microsoft.com/office/drawing/2014/chart" uri="{C3380CC4-5D6E-409C-BE32-E72D297353CC}">
              <c16:uniqueId val="{0000001D-A9E8-7A4C-B42F-73470FDB7B58}"/>
            </c:ext>
          </c:extLst>
        </c:ser>
        <c:ser>
          <c:idx val="15"/>
          <c:order val="15"/>
          <c:tx>
            <c:strRef>
              <c:f>'Popularity Difficulty Tradeoff'!$A$17</c:f>
              <c:strCache>
                <c:ptCount val="1"/>
                <c:pt idx="0">
                  <c:v>Script Syntax</c:v>
                </c:pt>
              </c:strCache>
            </c:strRef>
          </c:tx>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6.3873125776583356E-2"/>
                  <c:y val="-0.1069719539773485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E-A9E8-7A4C-B42F-73470FDB7B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Tradeoff'!$B$17</c:f>
              <c:numCache>
                <c:formatCode>_ * #,##0_)_ ;_ * \(#,##0\)_ ;_ * "-"??_)_ ;_ @_ </c:formatCode>
                <c:ptCount val="1"/>
                <c:pt idx="0">
                  <c:v>44.928409947249435</c:v>
                </c:pt>
              </c:numCache>
            </c:numRef>
          </c:xVal>
          <c:yVal>
            <c:numRef>
              <c:f>'Popularity Difficulty Tradeoff'!$C$17</c:f>
              <c:numCache>
                <c:formatCode>_ * #,##0_)_ ;_ * \(#,##0\)_ ;_ * "-"??_)_ ;_ @_ </c:formatCode>
                <c:ptCount val="1"/>
                <c:pt idx="0">
                  <c:v>2018.2</c:v>
                </c:pt>
              </c:numCache>
            </c:numRef>
          </c:yVal>
          <c:bubbleSize>
            <c:numRef>
              <c:f>'Popularity Difficulty Tradeoff'!$D$17</c:f>
              <c:numCache>
                <c:formatCode>_ * #,##0_)_ ;_ * \(#,##0\)_ ;_ * "-"??_)_ ;_ @_ </c:formatCode>
                <c:ptCount val="1"/>
                <c:pt idx="0">
                  <c:v>6635</c:v>
                </c:pt>
              </c:numCache>
            </c:numRef>
          </c:bubbleSize>
          <c:bubble3D val="1"/>
          <c:extLst>
            <c:ext xmlns:c16="http://schemas.microsoft.com/office/drawing/2014/chart" uri="{C3380CC4-5D6E-409C-BE32-E72D297353CC}">
              <c16:uniqueId val="{0000001F-A9E8-7A4C-B42F-73470FDB7B58}"/>
            </c:ext>
          </c:extLst>
        </c:ser>
        <c:ser>
          <c:idx val="16"/>
          <c:order val="16"/>
          <c:tx>
            <c:strRef>
              <c:f>'Popularity Difficulty Tradeoff'!$A$18</c:f>
              <c:strCache>
                <c:ptCount val="1"/>
                <c:pt idx="0">
                  <c:v>Configuration Automation</c:v>
                </c:pt>
              </c:strCache>
            </c:strRef>
          </c:tx>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5.0016727183712674E-3"/>
                  <c:y val="0.1146067415730336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0-A9E8-7A4C-B42F-73470FDB7B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Tradeoff'!$B$18</c:f>
              <c:numCache>
                <c:formatCode>_ * #,##0_)_ ;_ * \(#,##0\)_ ;_ * "-"??_)_ ;_ @_ </c:formatCode>
                <c:ptCount val="1"/>
                <c:pt idx="0">
                  <c:v>51.598694675722783</c:v>
                </c:pt>
              </c:numCache>
            </c:numRef>
          </c:xVal>
          <c:yVal>
            <c:numRef>
              <c:f>'Popularity Difficulty Tradeoff'!$C$18</c:f>
              <c:numCache>
                <c:formatCode>_ * #,##0_)_ ;_ * \(#,##0\)_ ;_ * "-"??_)_ ;_ @_ </c:formatCode>
                <c:ptCount val="1"/>
                <c:pt idx="0">
                  <c:v>2177.42</c:v>
                </c:pt>
              </c:numCache>
            </c:numRef>
          </c:yVal>
          <c:bubbleSize>
            <c:numRef>
              <c:f>'Popularity Difficulty Tradeoff'!$D$18</c:f>
              <c:numCache>
                <c:formatCode>_ * #,##0_)_ ;_ * \(#,##0\)_ ;_ * "-"??_)_ ;_ @_ </c:formatCode>
                <c:ptCount val="1"/>
                <c:pt idx="0">
                  <c:v>15040</c:v>
                </c:pt>
              </c:numCache>
            </c:numRef>
          </c:bubbleSize>
          <c:bubble3D val="1"/>
          <c:extLst>
            <c:ext xmlns:c16="http://schemas.microsoft.com/office/drawing/2014/chart" uri="{C3380CC4-5D6E-409C-BE32-E72D297353CC}">
              <c16:uniqueId val="{00000021-A9E8-7A4C-B42F-73470FDB7B58}"/>
            </c:ext>
          </c:extLst>
        </c:ser>
        <c:ser>
          <c:idx val="17"/>
          <c:order val="17"/>
          <c:tx>
            <c:strRef>
              <c:f>'Popularity Difficulty Tradeoff'!$A$19</c:f>
              <c:strCache>
                <c:ptCount val="1"/>
                <c:pt idx="0">
                  <c:v>Cloud Infra Automation</c:v>
                </c:pt>
              </c:strCache>
            </c:strRef>
          </c:tx>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0.19743406251850099"/>
                  <c:y val="-1.7977528089887642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2-A9E8-7A4C-B42F-73470FDB7B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l"/>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Tradeoff'!$B$19</c:f>
              <c:numCache>
                <c:formatCode>_ * #,##0_)_ ;_ * \(#,##0\)_ ;_ * "-"??_)_ ;_ @_ </c:formatCode>
                <c:ptCount val="1"/>
                <c:pt idx="0">
                  <c:v>57.363210478972036</c:v>
                </c:pt>
              </c:numCache>
            </c:numRef>
          </c:xVal>
          <c:yVal>
            <c:numRef>
              <c:f>'Popularity Difficulty Tradeoff'!$C$19</c:f>
              <c:numCache>
                <c:formatCode>_ * #,##0_)_ ;_ * \(#,##0\)_ ;_ * "-"??_)_ ;_ @_ </c:formatCode>
                <c:ptCount val="1"/>
                <c:pt idx="0">
                  <c:v>1087.365</c:v>
                </c:pt>
              </c:numCache>
            </c:numRef>
          </c:yVal>
          <c:bubbleSize>
            <c:numRef>
              <c:f>'Popularity Difficulty Tradeoff'!$D$19</c:f>
              <c:numCache>
                <c:formatCode>_ * #,##0_)_ ;_ * \(#,##0\)_ ;_ * "-"??_)_ ;_ @_ </c:formatCode>
                <c:ptCount val="1"/>
                <c:pt idx="0">
                  <c:v>10831</c:v>
                </c:pt>
              </c:numCache>
            </c:numRef>
          </c:bubbleSize>
          <c:bubble3D val="1"/>
          <c:extLst>
            <c:ext xmlns:c16="http://schemas.microsoft.com/office/drawing/2014/chart" uri="{C3380CC4-5D6E-409C-BE32-E72D297353CC}">
              <c16:uniqueId val="{00000023-A9E8-7A4C-B42F-73470FDB7B58}"/>
            </c:ext>
          </c:extLst>
        </c:ser>
        <c:ser>
          <c:idx val="18"/>
          <c:order val="18"/>
          <c:tx>
            <c:strRef>
              <c:f>'Popularity Difficulty Tradeoff'!$A$20</c:f>
              <c:strCache>
                <c:ptCount val="1"/>
                <c:pt idx="0">
                  <c:v>File Management</c:v>
                </c:pt>
              </c:strCache>
            </c:strRef>
          </c:tx>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7.5161404677880116E-3"/>
                  <c:y val="5.9140695524934388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4-A9E8-7A4C-B42F-73470FDB7B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Tradeoff'!$B$20</c:f>
              <c:numCache>
                <c:formatCode>_ * #,##0_)_ ;_ * \(#,##0\)_ ;_ * "-"??_)_ ;_ @_ </c:formatCode>
                <c:ptCount val="1"/>
                <c:pt idx="0">
                  <c:v>58.130762782900248</c:v>
                </c:pt>
              </c:numCache>
            </c:numRef>
          </c:xVal>
          <c:yVal>
            <c:numRef>
              <c:f>'Popularity Difficulty Tradeoff'!$C$20</c:f>
              <c:numCache>
                <c:formatCode>_ * #,##0_)_ ;_ * \(#,##0\)_ ;_ * "-"??_)_ ;_ @_ </c:formatCode>
                <c:ptCount val="1"/>
                <c:pt idx="0">
                  <c:v>2805.36</c:v>
                </c:pt>
              </c:numCache>
            </c:numRef>
          </c:yVal>
          <c:bubbleSize>
            <c:numRef>
              <c:f>'Popularity Difficulty Tradeoff'!$D$20</c:f>
              <c:numCache>
                <c:formatCode>_ * #,##0_)_ ;_ * \(#,##0\)_ ;_ * "-"??_)_ ;_ @_ </c:formatCode>
                <c:ptCount val="1"/>
                <c:pt idx="0">
                  <c:v>4772</c:v>
                </c:pt>
              </c:numCache>
            </c:numRef>
          </c:bubbleSize>
          <c:bubble3D val="1"/>
          <c:extLst>
            <c:ext xmlns:c16="http://schemas.microsoft.com/office/drawing/2014/chart" uri="{C3380CC4-5D6E-409C-BE32-E72D297353CC}">
              <c16:uniqueId val="{00000025-A9E8-7A4C-B42F-73470FDB7B58}"/>
            </c:ext>
          </c:extLst>
        </c:ser>
        <c:ser>
          <c:idx val="19"/>
          <c:order val="19"/>
          <c:tx>
            <c:strRef>
              <c:f>'Popularity Difficulty Tradeoff'!$A$21</c:f>
              <c:strCache>
                <c:ptCount val="1"/>
                <c:pt idx="0">
                  <c:v>User Permission</c:v>
                </c:pt>
              </c:strCache>
            </c:strRef>
          </c:tx>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7.5161404677880116E-3"/>
                  <c:y val="0.1007582220054439"/>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6-A9E8-7A4C-B42F-73470FDB7B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Tradeoff'!$B$21</c:f>
              <c:numCache>
                <c:formatCode>_ * #,##0_)_ ;_ * \(#,##0\)_ ;_ * "-"??_)_ ;_ @_ </c:formatCode>
                <c:ptCount val="1"/>
                <c:pt idx="0">
                  <c:v>58.61440291704649</c:v>
                </c:pt>
              </c:numCache>
            </c:numRef>
          </c:xVal>
          <c:yVal>
            <c:numRef>
              <c:f>'Popularity Difficulty Tradeoff'!$C$21</c:f>
              <c:numCache>
                <c:formatCode>_ * #,##0_)_ ;_ * \(#,##0\)_ ;_ * "-"??_)_ ;_ @_ </c:formatCode>
                <c:ptCount val="1"/>
                <c:pt idx="0">
                  <c:v>2508.8200000000002</c:v>
                </c:pt>
              </c:numCache>
            </c:numRef>
          </c:yVal>
          <c:bubbleSize>
            <c:numRef>
              <c:f>'Popularity Difficulty Tradeoff'!$D$21</c:f>
              <c:numCache>
                <c:formatCode>_ * #,##0_)_ ;_ * \(#,##0\)_ ;_ * "-"??_)_ ;_ @_ </c:formatCode>
                <c:ptCount val="1"/>
                <c:pt idx="0">
                  <c:v>4388</c:v>
                </c:pt>
              </c:numCache>
            </c:numRef>
          </c:bubbleSize>
          <c:bubble3D val="1"/>
          <c:extLst>
            <c:ext xmlns:c16="http://schemas.microsoft.com/office/drawing/2014/chart" uri="{C3380CC4-5D6E-409C-BE32-E72D297353CC}">
              <c16:uniqueId val="{00000027-A9E8-7A4C-B42F-73470FDB7B58}"/>
            </c:ext>
          </c:extLst>
        </c:ser>
        <c:ser>
          <c:idx val="20"/>
          <c:order val="20"/>
          <c:tx>
            <c:strRef>
              <c:f>'Popularity Difficulty Tradeoff'!$A$22</c:f>
              <c:strCache>
                <c:ptCount val="1"/>
                <c:pt idx="0">
                  <c:v>Script Execution</c:v>
                </c:pt>
              </c:strCache>
            </c:strRef>
          </c:tx>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8.0286518538841528E-2"/>
                  <c:y val="-9.7936642852932895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8-A9E8-7A4C-B42F-73470FDB7B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Tradeoff'!$B$22</c:f>
              <c:numCache>
                <c:formatCode>_ * #,##0_)_ ;_ * \(#,##0\)_ ;_ * "-"??_)_ ;_ @_ </c:formatCode>
                <c:ptCount val="1"/>
                <c:pt idx="0">
                  <c:v>59.050712867713408</c:v>
                </c:pt>
              </c:numCache>
            </c:numRef>
          </c:xVal>
          <c:yVal>
            <c:numRef>
              <c:f>'Popularity Difficulty Tradeoff'!$C$22</c:f>
              <c:numCache>
                <c:formatCode>_ * #,##0_)_ ;_ * \(#,##0\)_ ;_ * "-"??_)_ ;_ @_ </c:formatCode>
                <c:ptCount val="1"/>
                <c:pt idx="0">
                  <c:v>2603.13</c:v>
                </c:pt>
              </c:numCache>
            </c:numRef>
          </c:yVal>
          <c:bubbleSize>
            <c:numRef>
              <c:f>'Popularity Difficulty Tradeoff'!$D$22</c:f>
              <c:numCache>
                <c:formatCode>_ * #,##0_)_ ;_ * \(#,##0\)_ ;_ * "-"??_)_ ;_ @_ </c:formatCode>
                <c:ptCount val="1"/>
                <c:pt idx="0">
                  <c:v>5541</c:v>
                </c:pt>
              </c:numCache>
            </c:numRef>
          </c:bubbleSize>
          <c:bubble3D val="1"/>
          <c:extLst>
            <c:ext xmlns:c16="http://schemas.microsoft.com/office/drawing/2014/chart" uri="{C3380CC4-5D6E-409C-BE32-E72D297353CC}">
              <c16:uniqueId val="{00000029-A9E8-7A4C-B42F-73470FDB7B58}"/>
            </c:ext>
          </c:extLst>
        </c:ser>
        <c:ser>
          <c:idx val="21"/>
          <c:order val="21"/>
          <c:tx>
            <c:strRef>
              <c:f>'Popularity Difficulty Tradeoff'!$A$23</c:f>
              <c:strCache>
                <c:ptCount val="1"/>
                <c:pt idx="0">
                  <c:v>Exception Handling</c:v>
                </c:pt>
              </c:strCache>
            </c:strRef>
          </c:tx>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1.7850833610996528E-2"/>
                  <c:y val="-9.1996637483231392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A-A9E8-7A4C-B42F-73470FDB7B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Tradeoff'!$B$23</c:f>
              <c:numCache>
                <c:formatCode>_ * #,##0_)_ ;_ * \(#,##0\)_ ;_ * "-"??_)_ ;_ @_ </c:formatCode>
                <c:ptCount val="1"/>
                <c:pt idx="0">
                  <c:v>65.554553651938676</c:v>
                </c:pt>
              </c:numCache>
            </c:numRef>
          </c:xVal>
          <c:yVal>
            <c:numRef>
              <c:f>'Popularity Difficulty Tradeoff'!$C$23</c:f>
              <c:numCache>
                <c:formatCode>_ * #,##0_)_ ;_ * \(#,##0\)_ ;_ * "-"??_)_ ;_ @_ </c:formatCode>
                <c:ptCount val="1"/>
                <c:pt idx="0">
                  <c:v>1970.01</c:v>
                </c:pt>
              </c:numCache>
            </c:numRef>
          </c:yVal>
          <c:bubbleSize>
            <c:numRef>
              <c:f>'Popularity Difficulty Tradeoff'!$D$23</c:f>
              <c:numCache>
                <c:formatCode>_ * #,##0_)_ ;_ * \(#,##0\)_ ;_ * "-"??_)_ ;_ @_ </c:formatCode>
                <c:ptCount val="1"/>
                <c:pt idx="0">
                  <c:v>3327</c:v>
                </c:pt>
              </c:numCache>
            </c:numRef>
          </c:bubbleSize>
          <c:bubble3D val="1"/>
          <c:extLst>
            <c:ext xmlns:c16="http://schemas.microsoft.com/office/drawing/2014/chart" uri="{C3380CC4-5D6E-409C-BE32-E72D297353CC}">
              <c16:uniqueId val="{0000002B-A9E8-7A4C-B42F-73470FDB7B58}"/>
            </c:ext>
          </c:extLst>
        </c:ser>
        <c:ser>
          <c:idx val="22"/>
          <c:order val="22"/>
          <c:tx>
            <c:strRef>
              <c:f>'Popularity Difficulty Tradeoff'!$A$24</c:f>
              <c:strCache>
                <c:ptCount val="1"/>
                <c:pt idx="0">
                  <c:v>Non-functional Test Automation</c:v>
                </c:pt>
              </c:strCache>
            </c:strRef>
          </c:tx>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1.6911316052523027E-2"/>
                  <c:y val="-0.105139014266550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C-A9E8-7A4C-B42F-73470FDB7B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Tradeoff'!$B$24</c:f>
              <c:numCache>
                <c:formatCode>_ * #,##0_)_ ;_ * \(#,##0\)_ ;_ * "-"??_)_ ;_ @_ </c:formatCode>
                <c:ptCount val="1"/>
                <c:pt idx="0">
                  <c:v>63.717306622148023</c:v>
                </c:pt>
              </c:numCache>
            </c:numRef>
          </c:xVal>
          <c:yVal>
            <c:numRef>
              <c:f>'Popularity Difficulty Tradeoff'!$C$24</c:f>
              <c:numCache>
                <c:formatCode>_ * #,##0_)_ ;_ * \(#,##0\)_ ;_ * "-"??_)_ ;_ @_ </c:formatCode>
                <c:ptCount val="1"/>
                <c:pt idx="0">
                  <c:v>2061.62</c:v>
                </c:pt>
              </c:numCache>
            </c:numRef>
          </c:yVal>
          <c:bubbleSize>
            <c:numRef>
              <c:f>'Popularity Difficulty Tradeoff'!$D$24</c:f>
              <c:numCache>
                <c:formatCode>_ * #,##0_)_ ;_ * \(#,##0\)_ ;_ * "-"??_)_ ;_ @_ </c:formatCode>
                <c:ptCount val="1"/>
                <c:pt idx="0">
                  <c:v>5391</c:v>
                </c:pt>
              </c:numCache>
            </c:numRef>
          </c:bubbleSize>
          <c:bubble3D val="1"/>
          <c:extLst>
            <c:ext xmlns:c16="http://schemas.microsoft.com/office/drawing/2014/chart" uri="{C3380CC4-5D6E-409C-BE32-E72D297353CC}">
              <c16:uniqueId val="{0000002D-A9E8-7A4C-B42F-73470FDB7B58}"/>
            </c:ext>
          </c:extLst>
        </c:ser>
        <c:ser>
          <c:idx val="23"/>
          <c:order val="23"/>
          <c:tx>
            <c:strRef>
              <c:f>'Popularity Difficulty Tradeoff'!$A$25</c:f>
              <c:strCache>
                <c:ptCount val="1"/>
                <c:pt idx="0">
                  <c:v>Functional Test Automation</c:v>
                </c:pt>
              </c:strCache>
            </c:strRef>
          </c:tx>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0.17944785366843877"/>
                  <c:y val="-1.7523169044425028E-2"/>
                </c:manualLayout>
              </c:layout>
              <c:dLblPos val="r"/>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E-A9E8-7A4C-B42F-73470FDB7B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BD"/>
              </a:p>
            </c:txPr>
            <c:dLblPos val="r"/>
            <c:showLegendKey val="1"/>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'Popularity Difficulty Tradeoff'!$B$25</c:f>
              <c:numCache>
                <c:formatCode>_ * #,##0_)_ ;_ * \(#,##0\)_ ;_ * "-"??_)_ ;_ @_ </c:formatCode>
                <c:ptCount val="1"/>
                <c:pt idx="0">
                  <c:v>63.932980599647266</c:v>
                </c:pt>
              </c:numCache>
            </c:numRef>
          </c:xVal>
          <c:yVal>
            <c:numRef>
              <c:f>'Popularity Difficulty Tradeoff'!$C$25</c:f>
              <c:numCache>
                <c:formatCode>_ * #,##0_)_ ;_ * \(#,##0\)_ ;_ * "-"??_)_ ;_ @_ </c:formatCode>
                <c:ptCount val="1"/>
                <c:pt idx="0">
                  <c:v>1399.63</c:v>
                </c:pt>
              </c:numCache>
            </c:numRef>
          </c:yVal>
          <c:bubbleSize>
            <c:numRef>
              <c:f>'Popularity Difficulty Tradeoff'!$D$25</c:f>
              <c:numCache>
                <c:formatCode>_ * #,##0_)_ ;_ * \(#,##0\)_ ;_ * "-"??_)_ ;_ @_ </c:formatCode>
                <c:ptCount val="1"/>
                <c:pt idx="0">
                  <c:v>5670</c:v>
                </c:pt>
              </c:numCache>
            </c:numRef>
          </c:bubbleSize>
          <c:bubble3D val="1"/>
          <c:extLst>
            <c:ext xmlns:c16="http://schemas.microsoft.com/office/drawing/2014/chart" uri="{C3380CC4-5D6E-409C-BE32-E72D297353CC}">
              <c16:uniqueId val="{0000002F-A9E8-7A4C-B42F-73470FDB7B58}"/>
            </c:ext>
          </c:extLst>
        </c:ser>
        <c:dLbls>
          <c:dLblPos val="r"/>
          <c:showLegendKey val="0"/>
          <c:showVal val="1"/>
          <c:showCatName val="1"/>
          <c:showSerName val="0"/>
          <c:showPercent val="0"/>
          <c:showBubbleSize val="0"/>
        </c:dLbls>
        <c:bubbleScale val="70"/>
        <c:showNegBubbles val="0"/>
        <c:axId val="1719769343"/>
        <c:axId val="2127769712"/>
      </c:bubbleChart>
      <c:valAx>
        <c:axId val="1719769343"/>
        <c:scaling>
          <c:orientation val="minMax"/>
          <c:max val="68"/>
          <c:min val="44"/>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GB"/>
                  <a:t>Difficulty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BD"/>
            </a:p>
          </c:txPr>
        </c:title>
        <c:numFmt formatCode="_ * #,##0_)_ ;_ * \(#,##0\)_ ;_ * &quot;-&quot;??_)_ ;_ @_ "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BD"/>
          </a:p>
        </c:txPr>
        <c:crossAx val="2127769712"/>
        <c:crosses val="autoZero"/>
        <c:crossBetween val="midCat"/>
        <c:majorUnit val="5"/>
      </c:valAx>
      <c:valAx>
        <c:axId val="21277697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GB"/>
                  <a:t>Average VIew</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BD"/>
            </a:p>
          </c:txPr>
        </c:title>
        <c:numFmt formatCode="_ * #,##0_)_ ;_ * \(#,##0\)_ ;_ * &quot;-&quot;??_)_ ;_ @_ "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BD"/>
          </a:p>
        </c:txPr>
        <c:crossAx val="17197693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BD"/>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s>
    <c:plotArea>
      <c:layout/>
      <c:pieChart>
        <c:varyColors val="1"/>
        <c:ser>
          <c:idx val="0"/>
          <c:order val="0"/>
          <c:tx>
            <c:v>Build</c:v>
          </c:tx>
          <c:dPt>
            <c:idx val="0"/>
            <c:bubble3D val="0"/>
            <c:spPr>
              <a:solidFill>
                <a:schemeClr val="accent1"/>
              </a:solidFill>
              <a:ln>
                <a:noFill/>
              </a:ln>
              <a:effectLst/>
            </c:spPr>
            <c:extLst>
              <c:ext xmlns:c16="http://schemas.microsoft.com/office/drawing/2014/chart" uri="{C3380CC4-5D6E-409C-BE32-E72D297353CC}">
                <c16:uniqueId val="{00000001-9834-5547-A9EC-3F677F5879C0}"/>
              </c:ext>
            </c:extLst>
          </c:dPt>
          <c:dPt>
            <c:idx val="1"/>
            <c:bubble3D val="0"/>
            <c:spPr>
              <a:solidFill>
                <a:schemeClr val="accent2"/>
              </a:solidFill>
              <a:ln>
                <a:noFill/>
              </a:ln>
              <a:effectLst/>
            </c:spPr>
            <c:extLst>
              <c:ext xmlns:c16="http://schemas.microsoft.com/office/drawing/2014/chart" uri="{C3380CC4-5D6E-409C-BE32-E72D297353CC}">
                <c16:uniqueId val="{00000003-9834-5547-A9EC-3F677F5879C0}"/>
              </c:ext>
            </c:extLst>
          </c:dPt>
          <c:dPt>
            <c:idx val="2"/>
            <c:bubble3D val="0"/>
            <c:spPr>
              <a:solidFill>
                <a:schemeClr val="accent3"/>
              </a:solidFill>
              <a:ln>
                <a:noFill/>
              </a:ln>
              <a:effectLst/>
            </c:spPr>
            <c:extLst>
              <c:ext xmlns:c16="http://schemas.microsoft.com/office/drawing/2014/chart" uri="{C3380CC4-5D6E-409C-BE32-E72D297353CC}">
                <c16:uniqueId val="{00000005-9834-5547-A9EC-3F677F5879C0}"/>
              </c:ext>
            </c:extLst>
          </c:dPt>
          <c:dPt>
            <c:idx val="3"/>
            <c:bubble3D val="0"/>
            <c:spPr>
              <a:solidFill>
                <a:schemeClr val="accent4"/>
              </a:solidFill>
              <a:ln>
                <a:noFill/>
              </a:ln>
              <a:effectLst/>
            </c:spPr>
            <c:extLst>
              <c:ext xmlns:c16="http://schemas.microsoft.com/office/drawing/2014/chart" uri="{C3380CC4-5D6E-409C-BE32-E72D297353CC}">
                <c16:uniqueId val="{00000007-9834-5547-A9EC-3F677F5879C0}"/>
              </c:ext>
            </c:extLst>
          </c:dPt>
          <c:dPt>
            <c:idx val="4"/>
            <c:bubble3D val="0"/>
            <c:spPr>
              <a:solidFill>
                <a:schemeClr val="accent5"/>
              </a:solidFill>
              <a:ln>
                <a:noFill/>
              </a:ln>
              <a:effectLst/>
            </c:spPr>
            <c:extLst>
              <c:ext xmlns:c16="http://schemas.microsoft.com/office/drawing/2014/chart" uri="{C3380CC4-5D6E-409C-BE32-E72D297353CC}">
                <c16:uniqueId val="{00000009-9834-5547-A9EC-3F677F5879C0}"/>
              </c:ext>
            </c:extLst>
          </c:dPt>
          <c:dPt>
            <c:idx val="5"/>
            <c:bubble3D val="0"/>
            <c:spPr>
              <a:solidFill>
                <a:schemeClr val="accent6"/>
              </a:solidFill>
              <a:ln>
                <a:noFill/>
              </a:ln>
              <a:effectLst/>
            </c:spPr>
            <c:extLst>
              <c:ext xmlns:c16="http://schemas.microsoft.com/office/drawing/2014/chart" uri="{C3380CC4-5D6E-409C-BE32-E72D297353CC}">
                <c16:uniqueId val="{0000000B-9834-5547-A9EC-3F677F5879C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9834-5547-A9EC-3F677F5879C0}"/>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9834-5547-A9EC-3F677F5879C0}"/>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9834-5547-A9EC-3F677F5879C0}"/>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9834-5547-A9EC-3F677F5879C0}"/>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9834-5547-A9EC-3F677F5879C0}"/>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9834-5547-A9EC-3F677F5879C0}"/>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9834-5547-A9EC-3F677F5879C0}"/>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9834-5547-A9EC-3F677F5879C0}"/>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9834-5547-A9EC-3F677F5879C0}"/>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9834-5547-A9EC-3F677F5879C0}"/>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9834-5547-A9EC-3F677F5879C0}"/>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9834-5547-A9EC-3F677F5879C0}"/>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9834-5547-A9EC-3F677F5879C0}"/>
              </c:ext>
            </c:extLst>
          </c:dPt>
          <c:dPt>
            <c:idx val="19"/>
            <c:bubble3D val="0"/>
            <c:spPr>
              <a:solidFill>
                <a:schemeClr val="accent2">
                  <a:lumMod val="80000"/>
                </a:schemeClr>
              </a:solidFill>
              <a:ln>
                <a:noFill/>
              </a:ln>
              <a:effectLst/>
            </c:spPr>
            <c:extLst>
              <c:ext xmlns:c16="http://schemas.microsoft.com/office/drawing/2014/chart" uri="{C3380CC4-5D6E-409C-BE32-E72D297353CC}">
                <c16:uniqueId val="{00000027-9834-5547-A9EC-3F677F5879C0}"/>
              </c:ext>
            </c:extLst>
          </c:dPt>
          <c:dPt>
            <c:idx val="20"/>
            <c:bubble3D val="0"/>
            <c:spPr>
              <a:solidFill>
                <a:schemeClr val="accent3">
                  <a:lumMod val="80000"/>
                </a:schemeClr>
              </a:solidFill>
              <a:ln>
                <a:noFill/>
              </a:ln>
              <a:effectLst/>
            </c:spPr>
            <c:extLst>
              <c:ext xmlns:c16="http://schemas.microsoft.com/office/drawing/2014/chart" uri="{C3380CC4-5D6E-409C-BE32-E72D297353CC}">
                <c16:uniqueId val="{00000029-9834-5547-A9EC-3F677F5879C0}"/>
              </c:ext>
            </c:extLst>
          </c:dPt>
          <c:dPt>
            <c:idx val="21"/>
            <c:bubble3D val="0"/>
            <c:spPr>
              <a:solidFill>
                <a:schemeClr val="accent4">
                  <a:lumMod val="80000"/>
                </a:schemeClr>
              </a:solidFill>
              <a:ln>
                <a:noFill/>
              </a:ln>
              <a:effectLst/>
            </c:spPr>
            <c:extLst>
              <c:ext xmlns:c16="http://schemas.microsoft.com/office/drawing/2014/chart" uri="{C3380CC4-5D6E-409C-BE32-E72D297353CC}">
                <c16:uniqueId val="{0000002B-9834-5547-A9EC-3F677F5879C0}"/>
              </c:ext>
            </c:extLst>
          </c:dPt>
          <c:dLbls>
            <c:dLbl>
              <c:idx val="6"/>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t>IBAzrure</a:t>
                    </a:r>
                    <a:fld id="{EBAC02B5-68BE-A14F-B41F-4300754E4B04}" type="CATEGORYNAME">
                      <a:rPr lang="en-US"/>
                      <a:pPr>
                        <a:defRPr>
                          <a:solidFill>
                            <a:schemeClr val="bg1"/>
                          </a:solidFill>
                        </a:defRPr>
                      </a:pPr>
                      <a:t>[CATEGORY NAME]</a:t>
                    </a:fld>
                    <a:r>
                      <a:rPr lang="en-US" baseline="0"/>
                      <a:t>
</a:t>
                    </a:r>
                    <a:fld id="{D376A015-BC72-784B-BD4A-A1280983CCF8}" type="PERCENTAGE">
                      <a:rPr lang="en-US" baseline="0"/>
                      <a:pPr>
                        <a:defRPr>
                          <a:solidFill>
                            <a:schemeClr val="bg1"/>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BD"/>
                </a:p>
              </c:txP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9834-5547-A9EC-3F677F5879C0}"/>
                </c:ext>
              </c:extLst>
            </c:dLbl>
            <c:dLbl>
              <c:idx val="7"/>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BD"/>
                </a:p>
              </c:txPr>
              <c:showLegendKey val="0"/>
              <c:showVal val="0"/>
              <c:showCatName val="1"/>
              <c:showSerName val="0"/>
              <c:showPercent val="1"/>
              <c:showBubbleSize val="0"/>
              <c:extLst>
                <c:ext xmlns:c16="http://schemas.microsoft.com/office/drawing/2014/chart" uri="{C3380CC4-5D6E-409C-BE32-E72D297353CC}">
                  <c16:uniqueId val="{0000000F-9834-5547-A9EC-3F677F5879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2"/>
              <c:pt idx="0">
                <c:v>Azure DevOps Build Project</c:v>
              </c:pt>
              <c:pt idx="1">
                <c:v>Azure DevOps Deployment</c:v>
              </c:pt>
              <c:pt idx="2">
                <c:v>Azure DevOps Development Pipeline</c:v>
              </c:pt>
              <c:pt idx="3">
                <c:v>Cloud Infra Automation</c:v>
              </c:pt>
              <c:pt idx="4">
                <c:v>Configuration Automation</c:v>
              </c:pt>
              <c:pt idx="5">
                <c:v>Exception Handling</c:v>
              </c:pt>
              <c:pt idx="6">
                <c:v>File Management</c:v>
              </c:pt>
              <c:pt idx="7">
                <c:v>Gitlab CI/CD</c:v>
              </c:pt>
              <c:pt idx="8">
                <c:v>IBM Cloud</c:v>
              </c:pt>
              <c:pt idx="9">
                <c:v>Jenkins Build from Git Branch</c:v>
              </c:pt>
              <c:pt idx="10">
                <c:v>Jenkins Build Mobile Application</c:v>
              </c:pt>
              <c:pt idx="11">
                <c:v>Jenkins Build Projects</c:v>
              </c:pt>
              <c:pt idx="12">
                <c:v>Jenkins Distributed Architecture</c:v>
              </c:pt>
              <c:pt idx="13">
                <c:v>Jenkins Pipeline</c:v>
              </c:pt>
              <c:pt idx="14">
                <c:v>Kubernetes Cluster</c:v>
              </c:pt>
              <c:pt idx="15">
                <c:v>Kubernetes POD</c:v>
              </c:pt>
              <c:pt idx="16">
                <c:v>Kubernetes Traffic Management</c:v>
              </c:pt>
              <c:pt idx="17">
                <c:v>Non-functional Test Automation</c:v>
              </c:pt>
              <c:pt idx="18">
                <c:v>Repository/git Management</c:v>
              </c:pt>
              <c:pt idx="19">
                <c:v>Script Execution</c:v>
              </c:pt>
              <c:pt idx="20">
                <c:v>Script Syntax</c:v>
              </c:pt>
              <c:pt idx="21">
                <c:v>User Permission</c:v>
              </c:pt>
            </c:strLit>
          </c:cat>
          <c:val>
            <c:numLit>
              <c:formatCode>General</c:formatCode>
              <c:ptCount val="22"/>
              <c:pt idx="0">
                <c:v>12</c:v>
              </c:pt>
              <c:pt idx="1">
                <c:v>6</c:v>
              </c:pt>
              <c:pt idx="2">
                <c:v>12</c:v>
              </c:pt>
              <c:pt idx="3">
                <c:v>1</c:v>
              </c:pt>
              <c:pt idx="4">
                <c:v>3</c:v>
              </c:pt>
              <c:pt idx="5">
                <c:v>20</c:v>
              </c:pt>
              <c:pt idx="6">
                <c:v>13</c:v>
              </c:pt>
              <c:pt idx="7">
                <c:v>12</c:v>
              </c:pt>
              <c:pt idx="8">
                <c:v>22</c:v>
              </c:pt>
              <c:pt idx="9">
                <c:v>5</c:v>
              </c:pt>
              <c:pt idx="10">
                <c:v>13</c:v>
              </c:pt>
              <c:pt idx="11">
                <c:v>5</c:v>
              </c:pt>
              <c:pt idx="12">
                <c:v>6</c:v>
              </c:pt>
              <c:pt idx="13">
                <c:v>28</c:v>
              </c:pt>
              <c:pt idx="14">
                <c:v>1</c:v>
              </c:pt>
              <c:pt idx="15">
                <c:v>1</c:v>
              </c:pt>
              <c:pt idx="16">
                <c:v>1</c:v>
              </c:pt>
              <c:pt idx="17">
                <c:v>6</c:v>
              </c:pt>
              <c:pt idx="18">
                <c:v>24</c:v>
              </c:pt>
              <c:pt idx="19">
                <c:v>8</c:v>
              </c:pt>
              <c:pt idx="20">
                <c:v>1</c:v>
              </c:pt>
              <c:pt idx="21">
                <c:v>5</c:v>
              </c:pt>
            </c:numLit>
          </c:val>
          <c:extLst>
            <c:ext xmlns:c16="http://schemas.microsoft.com/office/drawing/2014/chart" uri="{C3380CC4-5D6E-409C-BE32-E72D297353CC}">
              <c16:uniqueId val="{0000002C-9834-5547-A9EC-3F677F5879C0}"/>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s>
    <c:plotArea>
      <c:layout/>
      <c:pieChart>
        <c:varyColors val="1"/>
        <c:ser>
          <c:idx val="0"/>
          <c:order val="0"/>
          <c:tx>
            <c:v>Integration</c:v>
          </c:tx>
          <c:dPt>
            <c:idx val="0"/>
            <c:bubble3D val="0"/>
            <c:spPr>
              <a:solidFill>
                <a:schemeClr val="accent1"/>
              </a:solidFill>
              <a:ln>
                <a:noFill/>
              </a:ln>
              <a:effectLst/>
            </c:spPr>
            <c:extLst>
              <c:ext xmlns:c16="http://schemas.microsoft.com/office/drawing/2014/chart" uri="{C3380CC4-5D6E-409C-BE32-E72D297353CC}">
                <c16:uniqueId val="{00000001-CB02-3949-AD1E-E9FDD1083694}"/>
              </c:ext>
            </c:extLst>
          </c:dPt>
          <c:dPt>
            <c:idx val="1"/>
            <c:bubble3D val="0"/>
            <c:spPr>
              <a:solidFill>
                <a:schemeClr val="accent2"/>
              </a:solidFill>
              <a:ln>
                <a:noFill/>
              </a:ln>
              <a:effectLst/>
            </c:spPr>
            <c:extLst>
              <c:ext xmlns:c16="http://schemas.microsoft.com/office/drawing/2014/chart" uri="{C3380CC4-5D6E-409C-BE32-E72D297353CC}">
                <c16:uniqueId val="{00000003-CB02-3949-AD1E-E9FDD1083694}"/>
              </c:ext>
            </c:extLst>
          </c:dPt>
          <c:dPt>
            <c:idx val="2"/>
            <c:bubble3D val="0"/>
            <c:spPr>
              <a:solidFill>
                <a:schemeClr val="accent3"/>
              </a:solidFill>
              <a:ln>
                <a:noFill/>
              </a:ln>
              <a:effectLst/>
            </c:spPr>
            <c:extLst>
              <c:ext xmlns:c16="http://schemas.microsoft.com/office/drawing/2014/chart" uri="{C3380CC4-5D6E-409C-BE32-E72D297353CC}">
                <c16:uniqueId val="{00000005-CB02-3949-AD1E-E9FDD1083694}"/>
              </c:ext>
            </c:extLst>
          </c:dPt>
          <c:dPt>
            <c:idx val="3"/>
            <c:bubble3D val="0"/>
            <c:spPr>
              <a:solidFill>
                <a:schemeClr val="accent4"/>
              </a:solidFill>
              <a:ln>
                <a:noFill/>
              </a:ln>
              <a:effectLst/>
            </c:spPr>
            <c:extLst>
              <c:ext xmlns:c16="http://schemas.microsoft.com/office/drawing/2014/chart" uri="{C3380CC4-5D6E-409C-BE32-E72D297353CC}">
                <c16:uniqueId val="{00000007-CB02-3949-AD1E-E9FDD1083694}"/>
              </c:ext>
            </c:extLst>
          </c:dPt>
          <c:dPt>
            <c:idx val="4"/>
            <c:bubble3D val="0"/>
            <c:spPr>
              <a:solidFill>
                <a:schemeClr val="accent5"/>
              </a:solidFill>
              <a:ln>
                <a:noFill/>
              </a:ln>
              <a:effectLst/>
            </c:spPr>
            <c:extLst>
              <c:ext xmlns:c16="http://schemas.microsoft.com/office/drawing/2014/chart" uri="{C3380CC4-5D6E-409C-BE32-E72D297353CC}">
                <c16:uniqueId val="{00000009-CB02-3949-AD1E-E9FDD1083694}"/>
              </c:ext>
            </c:extLst>
          </c:dPt>
          <c:dPt>
            <c:idx val="5"/>
            <c:bubble3D val="0"/>
            <c:spPr>
              <a:solidFill>
                <a:schemeClr val="accent6"/>
              </a:solidFill>
              <a:ln>
                <a:noFill/>
              </a:ln>
              <a:effectLst/>
            </c:spPr>
            <c:extLst>
              <c:ext xmlns:c16="http://schemas.microsoft.com/office/drawing/2014/chart" uri="{C3380CC4-5D6E-409C-BE32-E72D297353CC}">
                <c16:uniqueId val="{0000000B-CB02-3949-AD1E-E9FDD1083694}"/>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CB02-3949-AD1E-E9FDD1083694}"/>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CB02-3949-AD1E-E9FDD1083694}"/>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CB02-3949-AD1E-E9FDD1083694}"/>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CB02-3949-AD1E-E9FDD1083694}"/>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CB02-3949-AD1E-E9FDD1083694}"/>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CB02-3949-AD1E-E9FDD1083694}"/>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CB02-3949-AD1E-E9FDD1083694}"/>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CB02-3949-AD1E-E9FDD1083694}"/>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CB02-3949-AD1E-E9FDD1083694}"/>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CB02-3949-AD1E-E9FDD1083694}"/>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CB02-3949-AD1E-E9FDD1083694}"/>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CB02-3949-AD1E-E9FDD1083694}"/>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CB02-3949-AD1E-E9FDD1083694}"/>
              </c:ext>
            </c:extLst>
          </c:dPt>
          <c:dPt>
            <c:idx val="19"/>
            <c:bubble3D val="0"/>
            <c:spPr>
              <a:solidFill>
                <a:schemeClr val="accent2">
                  <a:lumMod val="80000"/>
                </a:schemeClr>
              </a:solidFill>
              <a:ln>
                <a:noFill/>
              </a:ln>
              <a:effectLst/>
            </c:spPr>
            <c:extLst>
              <c:ext xmlns:c16="http://schemas.microsoft.com/office/drawing/2014/chart" uri="{C3380CC4-5D6E-409C-BE32-E72D297353CC}">
                <c16:uniqueId val="{00000027-CB02-3949-AD1E-E9FDD1083694}"/>
              </c:ext>
            </c:extLst>
          </c:dPt>
          <c:dPt>
            <c:idx val="20"/>
            <c:bubble3D val="0"/>
            <c:spPr>
              <a:solidFill>
                <a:schemeClr val="accent3">
                  <a:lumMod val="80000"/>
                </a:schemeClr>
              </a:solidFill>
              <a:ln>
                <a:noFill/>
              </a:ln>
              <a:effectLst/>
            </c:spPr>
            <c:extLst>
              <c:ext xmlns:c16="http://schemas.microsoft.com/office/drawing/2014/chart" uri="{C3380CC4-5D6E-409C-BE32-E72D297353CC}">
                <c16:uniqueId val="{00000029-CB02-3949-AD1E-E9FDD1083694}"/>
              </c:ext>
            </c:extLst>
          </c:dPt>
          <c:dLbls>
            <c:dLbl>
              <c:idx val="6"/>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BD"/>
                </a:p>
              </c:txPr>
              <c:showLegendKey val="0"/>
              <c:showVal val="0"/>
              <c:showCatName val="1"/>
              <c:showSerName val="0"/>
              <c:showPercent val="1"/>
              <c:showBubbleSize val="0"/>
              <c:extLst>
                <c:ext xmlns:c16="http://schemas.microsoft.com/office/drawing/2014/chart" uri="{C3380CC4-5D6E-409C-BE32-E72D297353CC}">
                  <c16:uniqueId val="{0000000D-CB02-3949-AD1E-E9FDD1083694}"/>
                </c:ext>
              </c:extLst>
            </c:dLbl>
            <c:dLbl>
              <c:idx val="7"/>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BD"/>
                </a:p>
              </c:txPr>
              <c:showLegendKey val="0"/>
              <c:showVal val="0"/>
              <c:showCatName val="1"/>
              <c:showSerName val="0"/>
              <c:showPercent val="1"/>
              <c:showBubbleSize val="0"/>
              <c:extLst>
                <c:ext xmlns:c16="http://schemas.microsoft.com/office/drawing/2014/chart" uri="{C3380CC4-5D6E-409C-BE32-E72D297353CC}">
                  <c16:uniqueId val="{0000000F-CB02-3949-AD1E-E9FDD1083694}"/>
                </c:ext>
              </c:extLst>
            </c:dLbl>
            <c:dLbl>
              <c:idx val="9"/>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BD"/>
                </a:p>
              </c:txPr>
              <c:showLegendKey val="0"/>
              <c:showVal val="0"/>
              <c:showCatName val="1"/>
              <c:showSerName val="0"/>
              <c:showPercent val="1"/>
              <c:showBubbleSize val="0"/>
              <c:extLst>
                <c:ext xmlns:c16="http://schemas.microsoft.com/office/drawing/2014/chart" uri="{C3380CC4-5D6E-409C-BE32-E72D297353CC}">
                  <c16:uniqueId val="{00000013-CB02-3949-AD1E-E9FDD108369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1"/>
              <c:pt idx="0">
                <c:v>Azure DevOps Build Project</c:v>
              </c:pt>
              <c:pt idx="1">
                <c:v>Azure DevOps Deployment</c:v>
              </c:pt>
              <c:pt idx="2">
                <c:v>Azure DevOps Development Pipeline</c:v>
              </c:pt>
              <c:pt idx="3">
                <c:v>Configuration Automation</c:v>
              </c:pt>
              <c:pt idx="4">
                <c:v>Docker</c:v>
              </c:pt>
              <c:pt idx="5">
                <c:v>Exception Handling</c:v>
              </c:pt>
              <c:pt idx="6">
                <c:v>File Management</c:v>
              </c:pt>
              <c:pt idx="7">
                <c:v>Functional Test Automation</c:v>
              </c:pt>
              <c:pt idx="8">
                <c:v>Gitlab CI/CD</c:v>
              </c:pt>
              <c:pt idx="9">
                <c:v>Jenkins Build from Git Branch</c:v>
              </c:pt>
              <c:pt idx="10">
                <c:v>Jenkins Build Mobile Application</c:v>
              </c:pt>
              <c:pt idx="11">
                <c:v>Jenkins Build Projects</c:v>
              </c:pt>
              <c:pt idx="12">
                <c:v>Jenkins Distributed Architecture</c:v>
              </c:pt>
              <c:pt idx="13">
                <c:v>Jenkins Pipeline</c:v>
              </c:pt>
              <c:pt idx="14">
                <c:v>Kubernetes Cluster</c:v>
              </c:pt>
              <c:pt idx="15">
                <c:v>Kubernetes POD</c:v>
              </c:pt>
              <c:pt idx="16">
                <c:v>Kubernetes Traffic Management</c:v>
              </c:pt>
              <c:pt idx="17">
                <c:v>Non-functional Test Automation</c:v>
              </c:pt>
              <c:pt idx="18">
                <c:v>Repository/git Management</c:v>
              </c:pt>
              <c:pt idx="19">
                <c:v>Script Execution</c:v>
              </c:pt>
              <c:pt idx="20">
                <c:v>User Permission</c:v>
              </c:pt>
            </c:strLit>
          </c:cat>
          <c:val>
            <c:numLit>
              <c:formatCode>General</c:formatCode>
              <c:ptCount val="21"/>
              <c:pt idx="0">
                <c:v>4</c:v>
              </c:pt>
              <c:pt idx="1">
                <c:v>5</c:v>
              </c:pt>
              <c:pt idx="2">
                <c:v>7</c:v>
              </c:pt>
              <c:pt idx="3">
                <c:v>20</c:v>
              </c:pt>
              <c:pt idx="4">
                <c:v>13</c:v>
              </c:pt>
              <c:pt idx="5">
                <c:v>2</c:v>
              </c:pt>
              <c:pt idx="6">
                <c:v>14</c:v>
              </c:pt>
              <c:pt idx="7">
                <c:v>15</c:v>
              </c:pt>
              <c:pt idx="8">
                <c:v>10</c:v>
              </c:pt>
              <c:pt idx="9">
                <c:v>31</c:v>
              </c:pt>
              <c:pt idx="10">
                <c:v>15</c:v>
              </c:pt>
              <c:pt idx="11">
                <c:v>24</c:v>
              </c:pt>
              <c:pt idx="12">
                <c:v>12</c:v>
              </c:pt>
              <c:pt idx="13">
                <c:v>23</c:v>
              </c:pt>
              <c:pt idx="14">
                <c:v>2</c:v>
              </c:pt>
              <c:pt idx="15">
                <c:v>5</c:v>
              </c:pt>
              <c:pt idx="16">
                <c:v>4</c:v>
              </c:pt>
              <c:pt idx="17">
                <c:v>13</c:v>
              </c:pt>
              <c:pt idx="18">
                <c:v>6</c:v>
              </c:pt>
              <c:pt idx="19">
                <c:v>22</c:v>
              </c:pt>
              <c:pt idx="20">
                <c:v>7</c:v>
              </c:pt>
            </c:numLit>
          </c:val>
          <c:extLst>
            <c:ext xmlns:c16="http://schemas.microsoft.com/office/drawing/2014/chart" uri="{C3380CC4-5D6E-409C-BE32-E72D297353CC}">
              <c16:uniqueId val="{0000002A-CB02-3949-AD1E-E9FDD1083694}"/>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s>
    <c:plotArea>
      <c:layout/>
      <c:pieChart>
        <c:varyColors val="1"/>
        <c:ser>
          <c:idx val="0"/>
          <c:order val="0"/>
          <c:tx>
            <c:v>Deployment</c:v>
          </c:tx>
          <c:dPt>
            <c:idx val="0"/>
            <c:bubble3D val="0"/>
            <c:spPr>
              <a:solidFill>
                <a:schemeClr val="accent1"/>
              </a:solidFill>
              <a:ln>
                <a:noFill/>
              </a:ln>
              <a:effectLst/>
            </c:spPr>
            <c:extLst>
              <c:ext xmlns:c16="http://schemas.microsoft.com/office/drawing/2014/chart" uri="{C3380CC4-5D6E-409C-BE32-E72D297353CC}">
                <c16:uniqueId val="{00000001-EA70-AA42-8A05-D89A91658A60}"/>
              </c:ext>
            </c:extLst>
          </c:dPt>
          <c:dPt>
            <c:idx val="1"/>
            <c:bubble3D val="0"/>
            <c:spPr>
              <a:solidFill>
                <a:schemeClr val="accent2"/>
              </a:solidFill>
              <a:ln>
                <a:noFill/>
              </a:ln>
              <a:effectLst/>
            </c:spPr>
            <c:extLst>
              <c:ext xmlns:c16="http://schemas.microsoft.com/office/drawing/2014/chart" uri="{C3380CC4-5D6E-409C-BE32-E72D297353CC}">
                <c16:uniqueId val="{00000003-EA70-AA42-8A05-D89A91658A60}"/>
              </c:ext>
            </c:extLst>
          </c:dPt>
          <c:dPt>
            <c:idx val="2"/>
            <c:bubble3D val="0"/>
            <c:spPr>
              <a:solidFill>
                <a:schemeClr val="accent3"/>
              </a:solidFill>
              <a:ln>
                <a:noFill/>
              </a:ln>
              <a:effectLst/>
            </c:spPr>
            <c:extLst>
              <c:ext xmlns:c16="http://schemas.microsoft.com/office/drawing/2014/chart" uri="{C3380CC4-5D6E-409C-BE32-E72D297353CC}">
                <c16:uniqueId val="{00000005-EA70-AA42-8A05-D89A91658A60}"/>
              </c:ext>
            </c:extLst>
          </c:dPt>
          <c:dPt>
            <c:idx val="3"/>
            <c:bubble3D val="0"/>
            <c:spPr>
              <a:solidFill>
                <a:schemeClr val="accent4"/>
              </a:solidFill>
              <a:ln>
                <a:noFill/>
              </a:ln>
              <a:effectLst/>
            </c:spPr>
            <c:extLst>
              <c:ext xmlns:c16="http://schemas.microsoft.com/office/drawing/2014/chart" uri="{C3380CC4-5D6E-409C-BE32-E72D297353CC}">
                <c16:uniqueId val="{00000007-EA70-AA42-8A05-D89A91658A60}"/>
              </c:ext>
            </c:extLst>
          </c:dPt>
          <c:dPt>
            <c:idx val="4"/>
            <c:bubble3D val="0"/>
            <c:spPr>
              <a:solidFill>
                <a:schemeClr val="accent5"/>
              </a:solidFill>
              <a:ln>
                <a:noFill/>
              </a:ln>
              <a:effectLst/>
            </c:spPr>
            <c:extLst>
              <c:ext xmlns:c16="http://schemas.microsoft.com/office/drawing/2014/chart" uri="{C3380CC4-5D6E-409C-BE32-E72D297353CC}">
                <c16:uniqueId val="{00000009-EA70-AA42-8A05-D89A91658A60}"/>
              </c:ext>
            </c:extLst>
          </c:dPt>
          <c:dPt>
            <c:idx val="5"/>
            <c:bubble3D val="0"/>
            <c:spPr>
              <a:solidFill>
                <a:schemeClr val="accent6"/>
              </a:solidFill>
              <a:ln>
                <a:noFill/>
              </a:ln>
              <a:effectLst/>
            </c:spPr>
            <c:extLst>
              <c:ext xmlns:c16="http://schemas.microsoft.com/office/drawing/2014/chart" uri="{C3380CC4-5D6E-409C-BE32-E72D297353CC}">
                <c16:uniqueId val="{0000000B-EA70-AA42-8A05-D89A91658A6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EA70-AA42-8A05-D89A91658A60}"/>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EA70-AA42-8A05-D89A91658A60}"/>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EA70-AA42-8A05-D89A91658A60}"/>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EA70-AA42-8A05-D89A91658A60}"/>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EA70-AA42-8A05-D89A91658A60}"/>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EA70-AA42-8A05-D89A91658A60}"/>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EA70-AA42-8A05-D89A91658A60}"/>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EA70-AA42-8A05-D89A91658A60}"/>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EA70-AA42-8A05-D89A91658A60}"/>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EA70-AA42-8A05-D89A91658A60}"/>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EA70-AA42-8A05-D89A91658A60}"/>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EA70-AA42-8A05-D89A91658A60}"/>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EA70-AA42-8A05-D89A91658A60}"/>
              </c:ext>
            </c:extLst>
          </c:dPt>
          <c:dPt>
            <c:idx val="19"/>
            <c:bubble3D val="0"/>
            <c:spPr>
              <a:solidFill>
                <a:schemeClr val="accent2">
                  <a:lumMod val="80000"/>
                </a:schemeClr>
              </a:solidFill>
              <a:ln>
                <a:noFill/>
              </a:ln>
              <a:effectLst/>
            </c:spPr>
            <c:extLst>
              <c:ext xmlns:c16="http://schemas.microsoft.com/office/drawing/2014/chart" uri="{C3380CC4-5D6E-409C-BE32-E72D297353CC}">
                <c16:uniqueId val="{00000027-EA70-AA42-8A05-D89A91658A60}"/>
              </c:ext>
            </c:extLst>
          </c:dPt>
          <c:dPt>
            <c:idx val="20"/>
            <c:bubble3D val="0"/>
            <c:spPr>
              <a:solidFill>
                <a:schemeClr val="accent3">
                  <a:lumMod val="80000"/>
                </a:schemeClr>
              </a:solidFill>
              <a:ln>
                <a:noFill/>
              </a:ln>
              <a:effectLst/>
            </c:spPr>
            <c:extLst>
              <c:ext xmlns:c16="http://schemas.microsoft.com/office/drawing/2014/chart" uri="{C3380CC4-5D6E-409C-BE32-E72D297353CC}">
                <c16:uniqueId val="{00000029-EA70-AA42-8A05-D89A91658A60}"/>
              </c:ext>
            </c:extLst>
          </c:dPt>
          <c:dPt>
            <c:idx val="21"/>
            <c:bubble3D val="0"/>
            <c:spPr>
              <a:solidFill>
                <a:schemeClr val="accent4">
                  <a:lumMod val="80000"/>
                </a:schemeClr>
              </a:solidFill>
              <a:ln>
                <a:noFill/>
              </a:ln>
              <a:effectLst/>
            </c:spPr>
            <c:extLst>
              <c:ext xmlns:c16="http://schemas.microsoft.com/office/drawing/2014/chart" uri="{C3380CC4-5D6E-409C-BE32-E72D297353CC}">
                <c16:uniqueId val="{0000002B-EA70-AA42-8A05-D89A91658A60}"/>
              </c:ext>
            </c:extLst>
          </c:dPt>
          <c:dPt>
            <c:idx val="22"/>
            <c:bubble3D val="0"/>
            <c:spPr>
              <a:solidFill>
                <a:schemeClr val="accent5">
                  <a:lumMod val="80000"/>
                </a:schemeClr>
              </a:solidFill>
              <a:ln>
                <a:noFill/>
              </a:ln>
              <a:effectLst/>
            </c:spPr>
            <c:extLst>
              <c:ext xmlns:c16="http://schemas.microsoft.com/office/drawing/2014/chart" uri="{C3380CC4-5D6E-409C-BE32-E72D297353CC}">
                <c16:uniqueId val="{0000002D-EA70-AA42-8A05-D89A91658A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3"/>
              <c:pt idx="0">
                <c:v>Azure DevOps Build Project</c:v>
              </c:pt>
              <c:pt idx="1">
                <c:v>Azure DevOps Deployment</c:v>
              </c:pt>
              <c:pt idx="2">
                <c:v>Azure DevOps Development Pipeline</c:v>
              </c:pt>
              <c:pt idx="3">
                <c:v>Cloud Infra Automation</c:v>
              </c:pt>
              <c:pt idx="4">
                <c:v>Configuration Automation</c:v>
              </c:pt>
              <c:pt idx="5">
                <c:v>Docker</c:v>
              </c:pt>
              <c:pt idx="6">
                <c:v>Exception Handling</c:v>
              </c:pt>
              <c:pt idx="7">
                <c:v>File Management</c:v>
              </c:pt>
              <c:pt idx="8">
                <c:v>Functional Test Automation</c:v>
              </c:pt>
              <c:pt idx="9">
                <c:v>Gitlab CI/CD</c:v>
              </c:pt>
              <c:pt idx="10">
                <c:v>IBM Cloud</c:v>
              </c:pt>
              <c:pt idx="11">
                <c:v>Jenkins Build Mobile Application</c:v>
              </c:pt>
              <c:pt idx="12">
                <c:v>Jenkins Build Projects</c:v>
              </c:pt>
              <c:pt idx="13">
                <c:v>Jenkins Distributed Architecture</c:v>
              </c:pt>
              <c:pt idx="14">
                <c:v>Jenkins Pipeline</c:v>
              </c:pt>
              <c:pt idx="15">
                <c:v>Kubernetes Cluster</c:v>
              </c:pt>
              <c:pt idx="16">
                <c:v>Kubernetes POD</c:v>
              </c:pt>
              <c:pt idx="17">
                <c:v>Kubernetes Traffic Management</c:v>
              </c:pt>
              <c:pt idx="18">
                <c:v>Non-functional Test Automation</c:v>
              </c:pt>
              <c:pt idx="19">
                <c:v>Repository/git Management</c:v>
              </c:pt>
              <c:pt idx="20">
                <c:v>Script Execution</c:v>
              </c:pt>
              <c:pt idx="21">
                <c:v>Script Syntax</c:v>
              </c:pt>
              <c:pt idx="22">
                <c:v>User Permission</c:v>
              </c:pt>
            </c:strLit>
          </c:cat>
          <c:val>
            <c:numLit>
              <c:formatCode>General</c:formatCode>
              <c:ptCount val="23"/>
              <c:pt idx="0">
                <c:v>20</c:v>
              </c:pt>
              <c:pt idx="1">
                <c:v>23</c:v>
              </c:pt>
              <c:pt idx="2">
                <c:v>1</c:v>
              </c:pt>
              <c:pt idx="3">
                <c:v>36</c:v>
              </c:pt>
              <c:pt idx="4">
                <c:v>15</c:v>
              </c:pt>
              <c:pt idx="5">
                <c:v>22</c:v>
              </c:pt>
              <c:pt idx="6">
                <c:v>12</c:v>
              </c:pt>
              <c:pt idx="7">
                <c:v>6</c:v>
              </c:pt>
              <c:pt idx="8">
                <c:v>6</c:v>
              </c:pt>
              <c:pt idx="9">
                <c:v>14</c:v>
              </c:pt>
              <c:pt idx="10">
                <c:v>9</c:v>
              </c:pt>
              <c:pt idx="11">
                <c:v>5</c:v>
              </c:pt>
              <c:pt idx="12">
                <c:v>3</c:v>
              </c:pt>
              <c:pt idx="13">
                <c:v>15</c:v>
              </c:pt>
              <c:pt idx="14">
                <c:v>7</c:v>
              </c:pt>
              <c:pt idx="15">
                <c:v>33</c:v>
              </c:pt>
              <c:pt idx="16">
                <c:v>25</c:v>
              </c:pt>
              <c:pt idx="17">
                <c:v>24</c:v>
              </c:pt>
              <c:pt idx="18">
                <c:v>6</c:v>
              </c:pt>
              <c:pt idx="19">
                <c:v>6</c:v>
              </c:pt>
              <c:pt idx="20">
                <c:v>4</c:v>
              </c:pt>
              <c:pt idx="21">
                <c:v>34</c:v>
              </c:pt>
              <c:pt idx="22">
                <c:v>25</c:v>
              </c:pt>
            </c:numLit>
          </c:val>
          <c:extLst>
            <c:ext xmlns:c16="http://schemas.microsoft.com/office/drawing/2014/chart" uri="{C3380CC4-5D6E-409C-BE32-E72D297353CC}">
              <c16:uniqueId val="{0000002E-EA70-AA42-8A05-D89A91658A60}"/>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s>
    <c:plotArea>
      <c:layout/>
      <c:pieChart>
        <c:varyColors val="1"/>
        <c:ser>
          <c:idx val="0"/>
          <c:order val="0"/>
          <c:tx>
            <c:v>Testing</c:v>
          </c:tx>
          <c:dPt>
            <c:idx val="0"/>
            <c:bubble3D val="0"/>
            <c:spPr>
              <a:solidFill>
                <a:schemeClr val="accent1"/>
              </a:solidFill>
              <a:ln>
                <a:noFill/>
              </a:ln>
              <a:effectLst/>
            </c:spPr>
            <c:extLst>
              <c:ext xmlns:c16="http://schemas.microsoft.com/office/drawing/2014/chart" uri="{C3380CC4-5D6E-409C-BE32-E72D297353CC}">
                <c16:uniqueId val="{00000001-9562-BD44-B00B-38445B524C3B}"/>
              </c:ext>
            </c:extLst>
          </c:dPt>
          <c:dPt>
            <c:idx val="1"/>
            <c:bubble3D val="0"/>
            <c:spPr>
              <a:solidFill>
                <a:schemeClr val="accent2"/>
              </a:solidFill>
              <a:ln>
                <a:noFill/>
              </a:ln>
              <a:effectLst/>
            </c:spPr>
            <c:extLst>
              <c:ext xmlns:c16="http://schemas.microsoft.com/office/drawing/2014/chart" uri="{C3380CC4-5D6E-409C-BE32-E72D297353CC}">
                <c16:uniqueId val="{00000003-9562-BD44-B00B-38445B524C3B}"/>
              </c:ext>
            </c:extLst>
          </c:dPt>
          <c:dPt>
            <c:idx val="2"/>
            <c:bubble3D val="0"/>
            <c:spPr>
              <a:solidFill>
                <a:schemeClr val="accent3"/>
              </a:solidFill>
              <a:ln>
                <a:noFill/>
              </a:ln>
              <a:effectLst/>
            </c:spPr>
            <c:extLst>
              <c:ext xmlns:c16="http://schemas.microsoft.com/office/drawing/2014/chart" uri="{C3380CC4-5D6E-409C-BE32-E72D297353CC}">
                <c16:uniqueId val="{00000005-9562-BD44-B00B-38445B524C3B}"/>
              </c:ext>
            </c:extLst>
          </c:dPt>
          <c:dPt>
            <c:idx val="3"/>
            <c:bubble3D val="0"/>
            <c:spPr>
              <a:solidFill>
                <a:schemeClr val="accent4"/>
              </a:solidFill>
              <a:ln>
                <a:noFill/>
              </a:ln>
              <a:effectLst/>
            </c:spPr>
            <c:extLst>
              <c:ext xmlns:c16="http://schemas.microsoft.com/office/drawing/2014/chart" uri="{C3380CC4-5D6E-409C-BE32-E72D297353CC}">
                <c16:uniqueId val="{00000007-9562-BD44-B00B-38445B524C3B}"/>
              </c:ext>
            </c:extLst>
          </c:dPt>
          <c:dPt>
            <c:idx val="4"/>
            <c:bubble3D val="0"/>
            <c:spPr>
              <a:solidFill>
                <a:schemeClr val="accent5"/>
              </a:solidFill>
              <a:ln>
                <a:noFill/>
              </a:ln>
              <a:effectLst/>
            </c:spPr>
            <c:extLst>
              <c:ext xmlns:c16="http://schemas.microsoft.com/office/drawing/2014/chart" uri="{C3380CC4-5D6E-409C-BE32-E72D297353CC}">
                <c16:uniqueId val="{00000009-9562-BD44-B00B-38445B524C3B}"/>
              </c:ext>
            </c:extLst>
          </c:dPt>
          <c:dPt>
            <c:idx val="5"/>
            <c:bubble3D val="0"/>
            <c:spPr>
              <a:solidFill>
                <a:schemeClr val="accent6"/>
              </a:solidFill>
              <a:ln>
                <a:noFill/>
              </a:ln>
              <a:effectLst/>
            </c:spPr>
            <c:extLst>
              <c:ext xmlns:c16="http://schemas.microsoft.com/office/drawing/2014/chart" uri="{C3380CC4-5D6E-409C-BE32-E72D297353CC}">
                <c16:uniqueId val="{0000000B-9562-BD44-B00B-38445B524C3B}"/>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9562-BD44-B00B-38445B524C3B}"/>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9562-BD44-B00B-38445B524C3B}"/>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9562-BD44-B00B-38445B524C3B}"/>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9562-BD44-B00B-38445B524C3B}"/>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9562-BD44-B00B-38445B524C3B}"/>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9562-BD44-B00B-38445B524C3B}"/>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9562-BD44-B00B-38445B524C3B}"/>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9562-BD44-B00B-38445B524C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4"/>
              <c:pt idx="0">
                <c:v>Azure DevOps Development Pipeline</c:v>
              </c:pt>
              <c:pt idx="1">
                <c:v>Cloud Infra Automation</c:v>
              </c:pt>
              <c:pt idx="2">
                <c:v>Configuration Automation</c:v>
              </c:pt>
              <c:pt idx="3">
                <c:v>Docker</c:v>
              </c:pt>
              <c:pt idx="4">
                <c:v>Exception Handling</c:v>
              </c:pt>
              <c:pt idx="5">
                <c:v>Functional Test Automation</c:v>
              </c:pt>
              <c:pt idx="6">
                <c:v>Jenkins Build from Git Branch</c:v>
              </c:pt>
              <c:pt idx="7">
                <c:v>Jenkins Build Mobile Application</c:v>
              </c:pt>
              <c:pt idx="8">
                <c:v>Jenkins Build Projects</c:v>
              </c:pt>
              <c:pt idx="9">
                <c:v>Jenkins Distributed Architecture</c:v>
              </c:pt>
              <c:pt idx="10">
                <c:v>Jenkins Pipeline</c:v>
              </c:pt>
              <c:pt idx="11">
                <c:v>Kubernetes Traffic Management</c:v>
              </c:pt>
              <c:pt idx="12">
                <c:v>Non-functional Test Automation</c:v>
              </c:pt>
              <c:pt idx="13">
                <c:v>Script Execution</c:v>
              </c:pt>
            </c:strLit>
          </c:cat>
          <c:val>
            <c:numLit>
              <c:formatCode>General</c:formatCode>
              <c:ptCount val="14"/>
              <c:pt idx="0">
                <c:v>13</c:v>
              </c:pt>
              <c:pt idx="1">
                <c:v>1</c:v>
              </c:pt>
              <c:pt idx="2">
                <c:v>1</c:v>
              </c:pt>
              <c:pt idx="3">
                <c:v>1</c:v>
              </c:pt>
              <c:pt idx="4">
                <c:v>2</c:v>
              </c:pt>
              <c:pt idx="5">
                <c:v>16</c:v>
              </c:pt>
              <c:pt idx="6">
                <c:v>1</c:v>
              </c:pt>
              <c:pt idx="7">
                <c:v>2</c:v>
              </c:pt>
              <c:pt idx="8">
                <c:v>3</c:v>
              </c:pt>
              <c:pt idx="9">
                <c:v>3</c:v>
              </c:pt>
              <c:pt idx="10">
                <c:v>2</c:v>
              </c:pt>
              <c:pt idx="11">
                <c:v>5</c:v>
              </c:pt>
              <c:pt idx="12">
                <c:v>9</c:v>
              </c:pt>
              <c:pt idx="13">
                <c:v>1</c:v>
              </c:pt>
            </c:numLit>
          </c:val>
          <c:extLst>
            <c:ext xmlns:c16="http://schemas.microsoft.com/office/drawing/2014/chart" uri="{C3380CC4-5D6E-409C-BE32-E72D297353CC}">
              <c16:uniqueId val="{0000001C-9562-BD44-B00B-38445B524C3B}"/>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s>
    <c:plotArea>
      <c:layout/>
      <c:pieChart>
        <c:varyColors val="1"/>
        <c:ser>
          <c:idx val="0"/>
          <c:order val="0"/>
          <c:tx>
            <c:v>Monitoring</c:v>
          </c:tx>
          <c:dPt>
            <c:idx val="0"/>
            <c:bubble3D val="0"/>
            <c:spPr>
              <a:solidFill>
                <a:schemeClr val="accent1"/>
              </a:solidFill>
              <a:ln>
                <a:noFill/>
              </a:ln>
              <a:effectLst/>
            </c:spPr>
            <c:extLst>
              <c:ext xmlns:c16="http://schemas.microsoft.com/office/drawing/2014/chart" uri="{C3380CC4-5D6E-409C-BE32-E72D297353CC}">
                <c16:uniqueId val="{00000001-6E9C-6A4B-B42B-69D0850C750C}"/>
              </c:ext>
            </c:extLst>
          </c:dPt>
          <c:dPt>
            <c:idx val="1"/>
            <c:bubble3D val="0"/>
            <c:spPr>
              <a:solidFill>
                <a:schemeClr val="accent2"/>
              </a:solidFill>
              <a:ln>
                <a:noFill/>
              </a:ln>
              <a:effectLst/>
            </c:spPr>
            <c:extLst>
              <c:ext xmlns:c16="http://schemas.microsoft.com/office/drawing/2014/chart" uri="{C3380CC4-5D6E-409C-BE32-E72D297353CC}">
                <c16:uniqueId val="{00000003-6E9C-6A4B-B42B-69D0850C750C}"/>
              </c:ext>
            </c:extLst>
          </c:dPt>
          <c:dPt>
            <c:idx val="2"/>
            <c:bubble3D val="0"/>
            <c:spPr>
              <a:solidFill>
                <a:schemeClr val="accent3"/>
              </a:solidFill>
              <a:ln>
                <a:noFill/>
              </a:ln>
              <a:effectLst/>
            </c:spPr>
            <c:extLst>
              <c:ext xmlns:c16="http://schemas.microsoft.com/office/drawing/2014/chart" uri="{C3380CC4-5D6E-409C-BE32-E72D297353CC}">
                <c16:uniqueId val="{00000005-6E9C-6A4B-B42B-69D0850C750C}"/>
              </c:ext>
            </c:extLst>
          </c:dPt>
          <c:dPt>
            <c:idx val="3"/>
            <c:bubble3D val="0"/>
            <c:spPr>
              <a:solidFill>
                <a:schemeClr val="accent4"/>
              </a:solidFill>
              <a:ln>
                <a:noFill/>
              </a:ln>
              <a:effectLst/>
            </c:spPr>
            <c:extLst>
              <c:ext xmlns:c16="http://schemas.microsoft.com/office/drawing/2014/chart" uri="{C3380CC4-5D6E-409C-BE32-E72D297353CC}">
                <c16:uniqueId val="{00000007-6E9C-6A4B-B42B-69D0850C750C}"/>
              </c:ext>
            </c:extLst>
          </c:dPt>
          <c:dPt>
            <c:idx val="4"/>
            <c:bubble3D val="0"/>
            <c:spPr>
              <a:solidFill>
                <a:schemeClr val="accent5"/>
              </a:solidFill>
              <a:ln>
                <a:noFill/>
              </a:ln>
              <a:effectLst/>
            </c:spPr>
            <c:extLst>
              <c:ext xmlns:c16="http://schemas.microsoft.com/office/drawing/2014/chart" uri="{C3380CC4-5D6E-409C-BE32-E72D297353CC}">
                <c16:uniqueId val="{00000009-6E9C-6A4B-B42B-69D0850C750C}"/>
              </c:ext>
            </c:extLst>
          </c:dPt>
          <c:dPt>
            <c:idx val="5"/>
            <c:bubble3D val="0"/>
            <c:spPr>
              <a:solidFill>
                <a:schemeClr val="accent6"/>
              </a:solidFill>
              <a:ln>
                <a:noFill/>
              </a:ln>
              <a:effectLst/>
            </c:spPr>
            <c:extLst>
              <c:ext xmlns:c16="http://schemas.microsoft.com/office/drawing/2014/chart" uri="{C3380CC4-5D6E-409C-BE32-E72D297353CC}">
                <c16:uniqueId val="{0000000B-6E9C-6A4B-B42B-69D0850C750C}"/>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6E9C-6A4B-B42B-69D0850C750C}"/>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6E9C-6A4B-B42B-69D0850C750C}"/>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6E9C-6A4B-B42B-69D0850C750C}"/>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6E9C-6A4B-B42B-69D0850C750C}"/>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6E9C-6A4B-B42B-69D0850C750C}"/>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6E9C-6A4B-B42B-69D0850C750C}"/>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6E9C-6A4B-B42B-69D0850C750C}"/>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6E9C-6A4B-B42B-69D0850C750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4"/>
              <c:pt idx="0">
                <c:v>Azure DevOps Deployment</c:v>
              </c:pt>
              <c:pt idx="1">
                <c:v>Azure DevOps Development Pipeline</c:v>
              </c:pt>
              <c:pt idx="2">
                <c:v>Docker</c:v>
              </c:pt>
              <c:pt idx="3">
                <c:v>File Management</c:v>
              </c:pt>
              <c:pt idx="4">
                <c:v>IBM Cloud</c:v>
              </c:pt>
              <c:pt idx="5">
                <c:v>Jenkins Build from Git Branch</c:v>
              </c:pt>
              <c:pt idx="6">
                <c:v>Jenkins Distributed Architecture</c:v>
              </c:pt>
              <c:pt idx="7">
                <c:v>Jenkins Pipeline</c:v>
              </c:pt>
              <c:pt idx="8">
                <c:v>Kubernetes POD</c:v>
              </c:pt>
              <c:pt idx="9">
                <c:v>Kubernetes Traffic Management</c:v>
              </c:pt>
              <c:pt idx="10">
                <c:v>Non-functional Test Automation</c:v>
              </c:pt>
              <c:pt idx="11">
                <c:v>Repository/git Management</c:v>
              </c:pt>
              <c:pt idx="12">
                <c:v>Script Syntax</c:v>
              </c:pt>
              <c:pt idx="13">
                <c:v>User Permission</c:v>
              </c:pt>
            </c:strLit>
          </c:cat>
          <c:val>
            <c:numLit>
              <c:formatCode>General</c:formatCode>
              <c:ptCount val="14"/>
              <c:pt idx="0">
                <c:v>1</c:v>
              </c:pt>
              <c:pt idx="1">
                <c:v>1</c:v>
              </c:pt>
              <c:pt idx="2">
                <c:v>1</c:v>
              </c:pt>
              <c:pt idx="3">
                <c:v>2</c:v>
              </c:pt>
              <c:pt idx="4">
                <c:v>3</c:v>
              </c:pt>
              <c:pt idx="5">
                <c:v>1</c:v>
              </c:pt>
              <c:pt idx="6">
                <c:v>1</c:v>
              </c:pt>
              <c:pt idx="7">
                <c:v>1</c:v>
              </c:pt>
              <c:pt idx="8">
                <c:v>6</c:v>
              </c:pt>
              <c:pt idx="9">
                <c:v>2</c:v>
              </c:pt>
              <c:pt idx="10">
                <c:v>7</c:v>
              </c:pt>
              <c:pt idx="11">
                <c:v>1</c:v>
              </c:pt>
              <c:pt idx="12">
                <c:v>1</c:v>
              </c:pt>
              <c:pt idx="13">
                <c:v>2</c:v>
              </c:pt>
            </c:numLit>
          </c:val>
          <c:extLst>
            <c:ext xmlns:c16="http://schemas.microsoft.com/office/drawing/2014/chart" uri="{C3380CC4-5D6E-409C-BE32-E72D297353CC}">
              <c16:uniqueId val="{0000001C-6E9C-6A4B-B42B-69D0850C750C}"/>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685127</xdr:colOff>
      <xdr:row>34</xdr:row>
      <xdr:rowOff>26089</xdr:rowOff>
    </xdr:from>
    <xdr:to>
      <xdr:col>14</xdr:col>
      <xdr:colOff>308568</xdr:colOff>
      <xdr:row>67</xdr:row>
      <xdr:rowOff>25656</xdr:rowOff>
    </xdr:to>
    <xdr:graphicFrame macro="">
      <xdr:nvGraphicFramePr>
        <xdr:cNvPr id="2" name="Chart 1">
          <a:extLst>
            <a:ext uri="{FF2B5EF4-FFF2-40B4-BE49-F238E27FC236}">
              <a16:creationId xmlns:a16="http://schemas.microsoft.com/office/drawing/2014/main" id="{BB21A30C-6BA7-F94A-908A-7C134FF5E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565727</xdr:colOff>
      <xdr:row>69</xdr:row>
      <xdr:rowOff>80818</xdr:rowOff>
    </xdr:from>
    <xdr:to>
      <xdr:col>14</xdr:col>
      <xdr:colOff>189168</xdr:colOff>
      <xdr:row>102</xdr:row>
      <xdr:rowOff>80385</xdr:rowOff>
    </xdr:to>
    <xdr:graphicFrame macro="">
      <xdr:nvGraphicFramePr>
        <xdr:cNvPr id="3" name="Chart 2">
          <a:extLst>
            <a:ext uri="{FF2B5EF4-FFF2-40B4-BE49-F238E27FC236}">
              <a16:creationId xmlns:a16="http://schemas.microsoft.com/office/drawing/2014/main" id="{B5B58175-2F6E-4F4F-9DA7-684A978DA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685127</xdr:colOff>
      <xdr:row>34</xdr:row>
      <xdr:rowOff>26089</xdr:rowOff>
    </xdr:from>
    <xdr:to>
      <xdr:col>14</xdr:col>
      <xdr:colOff>308568</xdr:colOff>
      <xdr:row>67</xdr:row>
      <xdr:rowOff>25656</xdr:rowOff>
    </xdr:to>
    <xdr:graphicFrame macro="">
      <xdr:nvGraphicFramePr>
        <xdr:cNvPr id="2" name="Chart 1">
          <a:extLst>
            <a:ext uri="{FF2B5EF4-FFF2-40B4-BE49-F238E27FC236}">
              <a16:creationId xmlns:a16="http://schemas.microsoft.com/office/drawing/2014/main" id="{3BC6E811-3195-5148-A66E-84D4E0C8A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565727</xdr:colOff>
      <xdr:row>69</xdr:row>
      <xdr:rowOff>80818</xdr:rowOff>
    </xdr:from>
    <xdr:to>
      <xdr:col>14</xdr:col>
      <xdr:colOff>189168</xdr:colOff>
      <xdr:row>102</xdr:row>
      <xdr:rowOff>80385</xdr:rowOff>
    </xdr:to>
    <xdr:graphicFrame macro="">
      <xdr:nvGraphicFramePr>
        <xdr:cNvPr id="3" name="Chart 2">
          <a:extLst>
            <a:ext uri="{FF2B5EF4-FFF2-40B4-BE49-F238E27FC236}">
              <a16:creationId xmlns:a16="http://schemas.microsoft.com/office/drawing/2014/main" id="{8A9235C2-6B8D-D94D-B383-7455D88F3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9</xdr:col>
      <xdr:colOff>723900</xdr:colOff>
      <xdr:row>34</xdr:row>
      <xdr:rowOff>25400</xdr:rowOff>
    </xdr:to>
    <xdr:graphicFrame macro="">
      <xdr:nvGraphicFramePr>
        <xdr:cNvPr id="2" name="Chart 1">
          <a:extLst>
            <a:ext uri="{FF2B5EF4-FFF2-40B4-BE49-F238E27FC236}">
              <a16:creationId xmlns:a16="http://schemas.microsoft.com/office/drawing/2014/main" id="{223FFF3A-5056-4143-9BDB-D62CD5ABC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xdr:row>
      <xdr:rowOff>0</xdr:rowOff>
    </xdr:from>
    <xdr:to>
      <xdr:col>19</xdr:col>
      <xdr:colOff>723900</xdr:colOff>
      <xdr:row>34</xdr:row>
      <xdr:rowOff>25400</xdr:rowOff>
    </xdr:to>
    <xdr:graphicFrame macro="">
      <xdr:nvGraphicFramePr>
        <xdr:cNvPr id="3" name="Chart 2">
          <a:extLst>
            <a:ext uri="{FF2B5EF4-FFF2-40B4-BE49-F238E27FC236}">
              <a16:creationId xmlns:a16="http://schemas.microsoft.com/office/drawing/2014/main" id="{AE759385-1559-734E-8F5A-8DE890A56C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37</xdr:row>
      <xdr:rowOff>0</xdr:rowOff>
    </xdr:from>
    <xdr:to>
      <xdr:col>9</xdr:col>
      <xdr:colOff>723900</xdr:colOff>
      <xdr:row>70</xdr:row>
      <xdr:rowOff>25400</xdr:rowOff>
    </xdr:to>
    <xdr:graphicFrame macro="">
      <xdr:nvGraphicFramePr>
        <xdr:cNvPr id="4" name="Chart 3">
          <a:extLst>
            <a:ext uri="{FF2B5EF4-FFF2-40B4-BE49-F238E27FC236}">
              <a16:creationId xmlns:a16="http://schemas.microsoft.com/office/drawing/2014/main" id="{41F65BFC-4088-7147-8E00-9DD5E5BE4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37</xdr:row>
      <xdr:rowOff>0</xdr:rowOff>
    </xdr:from>
    <xdr:to>
      <xdr:col>19</xdr:col>
      <xdr:colOff>723900</xdr:colOff>
      <xdr:row>70</xdr:row>
      <xdr:rowOff>25400</xdr:rowOff>
    </xdr:to>
    <xdr:graphicFrame macro="">
      <xdr:nvGraphicFramePr>
        <xdr:cNvPr id="5" name="Chart 4">
          <a:extLst>
            <a:ext uri="{FF2B5EF4-FFF2-40B4-BE49-F238E27FC236}">
              <a16:creationId xmlns:a16="http://schemas.microsoft.com/office/drawing/2014/main" id="{06345E5C-0C92-0945-9B82-2C665ACC3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72</xdr:row>
      <xdr:rowOff>0</xdr:rowOff>
    </xdr:from>
    <xdr:to>
      <xdr:col>9</xdr:col>
      <xdr:colOff>723900</xdr:colOff>
      <xdr:row>105</xdr:row>
      <xdr:rowOff>25400</xdr:rowOff>
    </xdr:to>
    <xdr:graphicFrame macro="">
      <xdr:nvGraphicFramePr>
        <xdr:cNvPr id="6" name="Chart 5">
          <a:extLst>
            <a:ext uri="{FF2B5EF4-FFF2-40B4-BE49-F238E27FC236}">
              <a16:creationId xmlns:a16="http://schemas.microsoft.com/office/drawing/2014/main" id="{18708287-715D-7A45-8460-0126C204E9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72</xdr:row>
      <xdr:rowOff>0</xdr:rowOff>
    </xdr:from>
    <xdr:to>
      <xdr:col>18</xdr:col>
      <xdr:colOff>190500</xdr:colOff>
      <xdr:row>95</xdr:row>
      <xdr:rowOff>57150</xdr:rowOff>
    </xdr:to>
    <xdr:graphicFrame macro="">
      <xdr:nvGraphicFramePr>
        <xdr:cNvPr id="7" name="Chart 6">
          <a:extLst>
            <a:ext uri="{FF2B5EF4-FFF2-40B4-BE49-F238E27FC236}">
              <a16:creationId xmlns:a16="http://schemas.microsoft.com/office/drawing/2014/main" id="{1898EA52-9468-9645-8C65-24E447ED5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342899</xdr:colOff>
      <xdr:row>7</xdr:row>
      <xdr:rowOff>38099</xdr:rowOff>
    </xdr:from>
    <xdr:to>
      <xdr:col>16</xdr:col>
      <xdr:colOff>228600</xdr:colOff>
      <xdr:row>28</xdr:row>
      <xdr:rowOff>9525</xdr:rowOff>
    </xdr:to>
    <xdr:graphicFrame macro="">
      <xdr:nvGraphicFramePr>
        <xdr:cNvPr id="2" name="Chart 1">
          <a:extLst>
            <a:ext uri="{FF2B5EF4-FFF2-40B4-BE49-F238E27FC236}">
              <a16:creationId xmlns:a16="http://schemas.microsoft.com/office/drawing/2014/main" id="{4D3AD937-2164-5541-ABAE-80FB3F679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342899</xdr:colOff>
      <xdr:row>7</xdr:row>
      <xdr:rowOff>38099</xdr:rowOff>
    </xdr:from>
    <xdr:to>
      <xdr:col>16</xdr:col>
      <xdr:colOff>228600</xdr:colOff>
      <xdr:row>28</xdr:row>
      <xdr:rowOff>9525</xdr:rowOff>
    </xdr:to>
    <xdr:graphicFrame macro="">
      <xdr:nvGraphicFramePr>
        <xdr:cNvPr id="2" name="Chart 1">
          <a:extLst>
            <a:ext uri="{FF2B5EF4-FFF2-40B4-BE49-F238E27FC236}">
              <a16:creationId xmlns:a16="http://schemas.microsoft.com/office/drawing/2014/main" id="{943EFB40-1FEF-FD4A-9B1E-61F84B59CC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368397</xdr:colOff>
      <xdr:row>29</xdr:row>
      <xdr:rowOff>184198</xdr:rowOff>
    </xdr:from>
    <xdr:to>
      <xdr:col>16</xdr:col>
      <xdr:colOff>254098</xdr:colOff>
      <xdr:row>50</xdr:row>
      <xdr:rowOff>155625</xdr:rowOff>
    </xdr:to>
    <xdr:graphicFrame macro="">
      <xdr:nvGraphicFramePr>
        <xdr:cNvPr id="3" name="Chart 2">
          <a:extLst>
            <a:ext uri="{FF2B5EF4-FFF2-40B4-BE49-F238E27FC236}">
              <a16:creationId xmlns:a16="http://schemas.microsoft.com/office/drawing/2014/main" id="{EEA5D8D0-5E33-D14A-8D4D-D75D52F94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119400</xdr:colOff>
      <xdr:row>33</xdr:row>
      <xdr:rowOff>141544</xdr:rowOff>
    </xdr:from>
    <xdr:to>
      <xdr:col>13</xdr:col>
      <xdr:colOff>412477</xdr:colOff>
      <xdr:row>66</xdr:row>
      <xdr:rowOff>141111</xdr:rowOff>
    </xdr:to>
    <xdr:graphicFrame macro="">
      <xdr:nvGraphicFramePr>
        <xdr:cNvPr id="3" name="Chart 2">
          <a:extLst>
            <a:ext uri="{FF2B5EF4-FFF2-40B4-BE49-F238E27FC236}">
              <a16:creationId xmlns:a16="http://schemas.microsoft.com/office/drawing/2014/main" id="{D584BADB-708D-5941-9009-E6649A3702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0.19085</cdr:x>
      <cdr:y>0.80638</cdr:y>
    </cdr:from>
    <cdr:to>
      <cdr:x>0.36238</cdr:x>
      <cdr:y>0.94276</cdr:y>
    </cdr:to>
    <cdr:sp macro="" textlink="">
      <cdr:nvSpPr>
        <cdr:cNvPr id="2" name="TextBox 1">
          <a:extLst xmlns:a="http://schemas.openxmlformats.org/drawingml/2006/main">
            <a:ext uri="{FF2B5EF4-FFF2-40B4-BE49-F238E27FC236}">
              <a16:creationId xmlns:a16="http://schemas.microsoft.com/office/drawing/2014/main" id="{372E7D98-5CAE-A94E-9DEF-E7739CD440D1}"/>
            </a:ext>
          </a:extLst>
        </cdr:cNvPr>
        <cdr:cNvSpPr txBox="1"/>
      </cdr:nvSpPr>
      <cdr:spPr>
        <a:xfrm xmlns:a="http://schemas.openxmlformats.org/drawingml/2006/main">
          <a:off x="2504568" y="5198970"/>
          <a:ext cx="2251083" cy="87923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solidFill>
                <a:srgbClr val="002060"/>
              </a:solidFill>
            </a:rPr>
            <a:t>Hig</a:t>
          </a:r>
          <a:r>
            <a:rPr lang="en-GB" sz="1100" baseline="0">
              <a:solidFill>
                <a:srgbClr val="002060"/>
              </a:solidFill>
            </a:rPr>
            <a:t>h Post - Many Questions/Problems</a:t>
          </a:r>
        </a:p>
        <a:p xmlns:a="http://schemas.openxmlformats.org/drawingml/2006/main">
          <a:r>
            <a:rPr lang="en-GB" sz="1100" baseline="0">
              <a:solidFill>
                <a:srgbClr val="002060"/>
              </a:solidFill>
            </a:rPr>
            <a:t>Low Difficulty - Active community</a:t>
          </a:r>
        </a:p>
        <a:p xmlns:a="http://schemas.openxmlformats.org/drawingml/2006/main">
          <a:r>
            <a:rPr lang="en-GB" sz="1100" baseline="0">
              <a:solidFill>
                <a:srgbClr val="002060"/>
              </a:solidFill>
            </a:rPr>
            <a:t>Low view - unique problems</a:t>
          </a:r>
          <a:endParaRPr lang="en-GB" sz="1100">
            <a:solidFill>
              <a:srgbClr val="002060"/>
            </a:solidFill>
          </a:endParaRPr>
        </a:p>
      </cdr:txBody>
    </cdr:sp>
  </cdr:relSizeAnchor>
  <cdr:relSizeAnchor xmlns:cdr="http://schemas.openxmlformats.org/drawingml/2006/chartDrawing">
    <cdr:from>
      <cdr:x>0.11145</cdr:x>
      <cdr:y>0.34124</cdr:y>
    </cdr:from>
    <cdr:to>
      <cdr:x>0.28298</cdr:x>
      <cdr:y>0.47761</cdr:y>
    </cdr:to>
    <cdr:sp macro="" textlink="">
      <cdr:nvSpPr>
        <cdr:cNvPr id="3" name="TextBox 1">
          <a:extLst xmlns:a="http://schemas.openxmlformats.org/drawingml/2006/main">
            <a:ext uri="{FF2B5EF4-FFF2-40B4-BE49-F238E27FC236}">
              <a16:creationId xmlns:a16="http://schemas.microsoft.com/office/drawing/2014/main" id="{28A3EA98-66EF-6345-92E3-29CC6D27E67C}"/>
            </a:ext>
          </a:extLst>
        </cdr:cNvPr>
        <cdr:cNvSpPr txBox="1"/>
      </cdr:nvSpPr>
      <cdr:spPr>
        <a:xfrm xmlns:a="http://schemas.openxmlformats.org/drawingml/2006/main">
          <a:off x="1657295" y="2200031"/>
          <a:ext cx="2550855" cy="8792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solidFill>
                <a:srgbClr val="002060"/>
              </a:solidFill>
            </a:rPr>
            <a:t>Mid</a:t>
          </a:r>
          <a:r>
            <a:rPr lang="en-GB" sz="1100" baseline="0">
              <a:solidFill>
                <a:srgbClr val="002060"/>
              </a:solidFill>
            </a:rPr>
            <a:t> Post - Moderate  Problems,</a:t>
          </a:r>
        </a:p>
        <a:p xmlns:a="http://schemas.openxmlformats.org/drawingml/2006/main">
          <a:r>
            <a:rPr lang="en-GB" sz="1100" baseline="0">
              <a:solidFill>
                <a:srgbClr val="002060"/>
              </a:solidFill>
            </a:rPr>
            <a:t>Low Difficulty - Active community</a:t>
          </a:r>
        </a:p>
        <a:p xmlns:a="http://schemas.openxmlformats.org/drawingml/2006/main">
          <a:r>
            <a:rPr lang="en-GB" sz="1100" baseline="0">
              <a:solidFill>
                <a:srgbClr val="002060"/>
              </a:solidFill>
            </a:rPr>
            <a:t>High view - more common problems</a:t>
          </a:r>
          <a:endParaRPr lang="en-GB" sz="1100">
            <a:solidFill>
              <a:srgbClr val="002060"/>
            </a:solidFill>
          </a:endParaRPr>
        </a:p>
      </cdr:txBody>
    </cdr:sp>
  </cdr:relSizeAnchor>
  <cdr:relSizeAnchor xmlns:cdr="http://schemas.openxmlformats.org/drawingml/2006/chartDrawing">
    <cdr:from>
      <cdr:x>0.16911</cdr:x>
      <cdr:y>0.48266</cdr:y>
    </cdr:from>
    <cdr:to>
      <cdr:x>0.34064</cdr:x>
      <cdr:y>0.61903</cdr:y>
    </cdr:to>
    <cdr:sp macro="" textlink="">
      <cdr:nvSpPr>
        <cdr:cNvPr id="4" name="TextBox 1">
          <a:extLst xmlns:a="http://schemas.openxmlformats.org/drawingml/2006/main">
            <a:ext uri="{FF2B5EF4-FFF2-40B4-BE49-F238E27FC236}">
              <a16:creationId xmlns:a16="http://schemas.microsoft.com/office/drawing/2014/main" id="{31DDDA9E-48FD-8643-BE5A-5783F5189192}"/>
            </a:ext>
          </a:extLst>
        </cdr:cNvPr>
        <cdr:cNvSpPr txBox="1"/>
      </cdr:nvSpPr>
      <cdr:spPr>
        <a:xfrm xmlns:a="http://schemas.openxmlformats.org/drawingml/2006/main">
          <a:off x="2514817" y="3111825"/>
          <a:ext cx="2550855" cy="8792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solidFill>
                <a:srgbClr val="002060"/>
              </a:solidFill>
            </a:rPr>
            <a:t>Low</a:t>
          </a:r>
          <a:r>
            <a:rPr lang="en-GB" sz="1100" baseline="0">
              <a:solidFill>
                <a:srgbClr val="002060"/>
              </a:solidFill>
            </a:rPr>
            <a:t> Post - Few Problems,</a:t>
          </a:r>
        </a:p>
        <a:p xmlns:a="http://schemas.openxmlformats.org/drawingml/2006/main">
          <a:r>
            <a:rPr lang="en-GB" sz="1100" baseline="0">
              <a:solidFill>
                <a:srgbClr val="002060"/>
              </a:solidFill>
            </a:rPr>
            <a:t>Low Difficulty - Active community</a:t>
          </a:r>
        </a:p>
        <a:p xmlns:a="http://schemas.openxmlformats.org/drawingml/2006/main">
          <a:r>
            <a:rPr lang="en-GB" sz="1100" baseline="0">
              <a:solidFill>
                <a:srgbClr val="002060"/>
              </a:solidFill>
            </a:rPr>
            <a:t>MId view - common problems</a:t>
          </a:r>
          <a:endParaRPr lang="en-GB" sz="1100">
            <a:solidFill>
              <a:srgbClr val="002060"/>
            </a:solidFill>
          </a:endParaRPr>
        </a:p>
      </cdr:txBody>
    </cdr:sp>
  </cdr:relSizeAnchor>
  <cdr:relSizeAnchor xmlns:cdr="http://schemas.openxmlformats.org/drawingml/2006/chartDrawing">
    <cdr:from>
      <cdr:x>0.40828</cdr:x>
      <cdr:y>0.05334</cdr:y>
    </cdr:from>
    <cdr:to>
      <cdr:x>0.65403</cdr:x>
      <cdr:y>0.18971</cdr:y>
    </cdr:to>
    <cdr:sp macro="" textlink="">
      <cdr:nvSpPr>
        <cdr:cNvPr id="5" name="TextBox 1">
          <a:extLst xmlns:a="http://schemas.openxmlformats.org/drawingml/2006/main">
            <a:ext uri="{FF2B5EF4-FFF2-40B4-BE49-F238E27FC236}">
              <a16:creationId xmlns:a16="http://schemas.microsoft.com/office/drawing/2014/main" id="{0FD3744A-003F-D542-8A61-42B0B4FD609C}"/>
            </a:ext>
          </a:extLst>
        </cdr:cNvPr>
        <cdr:cNvSpPr txBox="1"/>
      </cdr:nvSpPr>
      <cdr:spPr>
        <a:xfrm xmlns:a="http://schemas.openxmlformats.org/drawingml/2006/main">
          <a:off x="5357952" y="343877"/>
          <a:ext cx="3225084" cy="879231"/>
        </a:xfrm>
        <a:prstGeom xmlns:a="http://schemas.openxmlformats.org/drawingml/2006/main" prst="rect">
          <a:avLst/>
        </a:prstGeom>
        <a:ln xmlns:a="http://schemas.openxmlformats.org/drawingml/2006/main">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solidFill>
                <a:srgbClr val="002060"/>
              </a:solidFill>
            </a:rPr>
            <a:t>Mid</a:t>
          </a:r>
          <a:r>
            <a:rPr lang="en-GB" sz="1100" baseline="0">
              <a:solidFill>
                <a:srgbClr val="002060"/>
              </a:solidFill>
            </a:rPr>
            <a:t> Post - Few Problems,</a:t>
          </a:r>
        </a:p>
        <a:p xmlns:a="http://schemas.openxmlformats.org/drawingml/2006/main">
          <a:r>
            <a:rPr lang="en-GB" sz="1100" baseline="0">
              <a:solidFill>
                <a:srgbClr val="002060"/>
              </a:solidFill>
            </a:rPr>
            <a:t>Mid Difficulty - community less active, less incentive to solve</a:t>
          </a:r>
        </a:p>
        <a:p xmlns:a="http://schemas.openxmlformats.org/drawingml/2006/main">
          <a:r>
            <a:rPr lang="en-GB" sz="1100" baseline="0">
              <a:solidFill>
                <a:srgbClr val="002060"/>
              </a:solidFill>
            </a:rPr>
            <a:t>High view - frequent problems</a:t>
          </a:r>
          <a:endParaRPr lang="en-GB" sz="1100">
            <a:solidFill>
              <a:srgbClr val="002060"/>
            </a:solidFill>
          </a:endParaRPr>
        </a:p>
      </cdr:txBody>
    </cdr:sp>
  </cdr:relSizeAnchor>
  <cdr:relSizeAnchor xmlns:cdr="http://schemas.openxmlformats.org/drawingml/2006/chartDrawing">
    <cdr:from>
      <cdr:x>0.73423</cdr:x>
      <cdr:y>0.02472</cdr:y>
    </cdr:from>
    <cdr:to>
      <cdr:x>0.97998</cdr:x>
      <cdr:y>0.16109</cdr:y>
    </cdr:to>
    <cdr:sp macro="" textlink="">
      <cdr:nvSpPr>
        <cdr:cNvPr id="6" name="TextBox 1">
          <a:extLst xmlns:a="http://schemas.openxmlformats.org/drawingml/2006/main">
            <a:ext uri="{FF2B5EF4-FFF2-40B4-BE49-F238E27FC236}">
              <a16:creationId xmlns:a16="http://schemas.microsoft.com/office/drawing/2014/main" id="{CB1D3BD1-B555-6E44-B2CE-9F729A591A3B}"/>
            </a:ext>
          </a:extLst>
        </cdr:cNvPr>
        <cdr:cNvSpPr txBox="1"/>
      </cdr:nvSpPr>
      <cdr:spPr>
        <a:xfrm xmlns:a="http://schemas.openxmlformats.org/drawingml/2006/main">
          <a:off x="9635501" y="159347"/>
          <a:ext cx="3225084" cy="8792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baseline="0">
              <a:solidFill>
                <a:srgbClr val="002060"/>
              </a:solidFill>
            </a:rPr>
            <a:t>High Post - Too many Problems,</a:t>
          </a:r>
        </a:p>
        <a:p xmlns:a="http://schemas.openxmlformats.org/drawingml/2006/main">
          <a:r>
            <a:rPr lang="en-GB" sz="1100" baseline="0">
              <a:solidFill>
                <a:srgbClr val="002060"/>
              </a:solidFill>
            </a:rPr>
            <a:t>Mid Difficulty - community less active compared to the active community size, posted problems are too many to solve.</a:t>
          </a:r>
        </a:p>
        <a:p xmlns:a="http://schemas.openxmlformats.org/drawingml/2006/main">
          <a:r>
            <a:rPr lang="en-GB" sz="1100" baseline="0">
              <a:solidFill>
                <a:srgbClr val="002060"/>
              </a:solidFill>
            </a:rPr>
            <a:t>High view - frequent problems</a:t>
          </a:r>
          <a:endParaRPr lang="en-GB" sz="1100">
            <a:solidFill>
              <a:srgbClr val="002060"/>
            </a:solidFill>
          </a:endParaRPr>
        </a:p>
      </cdr:txBody>
    </cdr:sp>
  </cdr:relSizeAnchor>
  <cdr:relSizeAnchor xmlns:cdr="http://schemas.openxmlformats.org/drawingml/2006/chartDrawing">
    <cdr:from>
      <cdr:x>0.39031</cdr:x>
      <cdr:y>0.32272</cdr:y>
    </cdr:from>
    <cdr:to>
      <cdr:x>0.63606</cdr:x>
      <cdr:y>0.45909</cdr:y>
    </cdr:to>
    <cdr:sp macro="" textlink="">
      <cdr:nvSpPr>
        <cdr:cNvPr id="7" name="TextBox 1">
          <a:extLst xmlns:a="http://schemas.openxmlformats.org/drawingml/2006/main">
            <a:ext uri="{FF2B5EF4-FFF2-40B4-BE49-F238E27FC236}">
              <a16:creationId xmlns:a16="http://schemas.microsoft.com/office/drawing/2014/main" id="{B465FC50-58F8-CF4A-9BFD-FCB51D7D3E15}"/>
            </a:ext>
          </a:extLst>
        </cdr:cNvPr>
        <cdr:cNvSpPr txBox="1"/>
      </cdr:nvSpPr>
      <cdr:spPr>
        <a:xfrm xmlns:a="http://schemas.openxmlformats.org/drawingml/2006/main">
          <a:off x="5122181" y="2080630"/>
          <a:ext cx="3225084" cy="8792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baseline="0">
              <a:solidFill>
                <a:srgbClr val="002060"/>
              </a:solidFill>
            </a:rPr>
            <a:t>Mid Post - fewer problems,</a:t>
          </a:r>
        </a:p>
        <a:p xmlns:a="http://schemas.openxmlformats.org/drawingml/2006/main">
          <a:r>
            <a:rPr lang="en-GB" sz="1100" baseline="0">
              <a:solidFill>
                <a:srgbClr val="002060"/>
              </a:solidFill>
            </a:rPr>
            <a:t>Mid Difficulty - community less active compared to the active community size, posted problems are too many to solve.</a:t>
          </a:r>
        </a:p>
        <a:p xmlns:a="http://schemas.openxmlformats.org/drawingml/2006/main">
          <a:r>
            <a:rPr lang="en-GB" sz="1100" baseline="0">
              <a:solidFill>
                <a:srgbClr val="002060"/>
              </a:solidFill>
            </a:rPr>
            <a:t>High view - frequent problems</a:t>
          </a:r>
          <a:endParaRPr lang="en-GB" sz="1100">
            <a:solidFill>
              <a:srgbClr val="002060"/>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41.791398726855" createdVersion="7" refreshedVersion="7" minRefreshableVersion="3" recordCount="24" xr:uid="{34FBFBC3-5A37-7240-93D0-387E57CE0296}">
  <cacheSource type="worksheet">
    <worksheetSource name="Table14"/>
  </cacheSource>
  <cacheFields count="14">
    <cacheField name="Topic Name" numFmtId="0">
      <sharedItems/>
    </cacheField>
    <cacheField name="Difficulty" numFmtId="164">
      <sharedItems containsSemiMixedTypes="0" containsString="0" containsNumber="1" minValue="44.928409947249435" maxValue="65.554553651938676"/>
    </cacheField>
    <cacheField name="Avg. View" numFmtId="164">
      <sharedItems containsSemiMixedTypes="0" containsString="0" containsNumber="1" minValue="421.06" maxValue="2805.36"/>
    </cacheField>
    <cacheField name="Posts" numFmtId="164">
      <sharedItems containsSemiMixedTypes="0" containsString="0" containsNumber="1" containsInteger="1" minValue="3031" maxValue="23232" count="24">
        <n v="5745"/>
        <n v="6168"/>
        <n v="3031"/>
        <n v="23232"/>
        <n v="8584"/>
        <n v="5930"/>
        <n v="5274"/>
        <n v="9073"/>
        <n v="5477"/>
        <n v="6818"/>
        <n v="5382"/>
        <n v="8442"/>
        <n v="4997"/>
        <n v="8657"/>
        <n v="6288"/>
        <n v="6635"/>
        <n v="15040"/>
        <n v="10831"/>
        <n v="4772"/>
        <n v="4388"/>
        <n v="5541"/>
        <n v="3327"/>
        <n v="5391"/>
        <n v="5670"/>
      </sharedItems>
    </cacheField>
    <cacheField name="Avg. Favorite" numFmtId="43">
      <sharedItems containsSemiMixedTypes="0" containsString="0" containsNumber="1" minValue="0.16" maxValue="0.74"/>
    </cacheField>
    <cacheField name="Avg. Score" numFmtId="43">
      <sharedItems containsSemiMixedTypes="0" containsString="0" containsNumber="1" minValue="0.66" maxValue="2.5499999999999998"/>
    </cacheField>
    <cacheField name="Ans Hour" numFmtId="164">
      <sharedItems containsSemiMixedTypes="0" containsString="0" containsNumber="1" minValue="72.862697814619395" maxValue="251.053422370617"/>
    </cacheField>
    <cacheField name="% Acc Answer" numFmtId="164">
      <sharedItems containsSemiMixedTypes="0" containsString="0" containsNumber="1" minValue="34.445446348061317" maxValue="55.071590052750565"/>
    </cacheField>
    <cacheField name="Category" numFmtId="0">
      <sharedItems/>
    </cacheField>
    <cacheField name="Median" numFmtId="164">
      <sharedItems containsSemiMixedTypes="0" containsString="0" containsNumber="1" containsInteger="1" minValue="4000" maxValue="24000"/>
    </cacheField>
    <cacheField name="Post View" numFmtId="164">
      <sharedItems containsSemiMixedTypes="0" containsString="0" containsNumber="1" minValue="2266144.92" maxValue="58148209.151999995"/>
    </cacheField>
    <cacheField name="Post View (M)" numFmtId="164">
      <sharedItems containsSemiMixedTypes="0" containsString="0" containsNumber="1" containsInteger="1" minValue="3" maxValue="59"/>
    </cacheField>
    <cacheField name="%" numFmtId="9">
      <sharedItems containsSemiMixedTypes="0" containsString="0" containsNumber="1" minValue="1.7350437624861902E-2" maxValue="0.13298758393295668"/>
    </cacheField>
    <cacheField name="Tool/Phase" numFmtId="0">
      <sharedItems count="6">
        <s v="Build"/>
        <s v="Integration"/>
        <s v="Cloud Infra automation"/>
        <s v="Containerization"/>
        <s v="Configuration Automation"/>
        <s v="Testin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s v="Repository/git Management"/>
    <n v="58.69451697127937"/>
    <n v="2739.8"/>
    <x v="0"/>
    <n v="0.72"/>
    <n v="2.4900000000000002"/>
    <n v="222.37302001740599"/>
    <n v="41.30548302872063"/>
    <s v="CI/CD Tool"/>
    <n v="6000"/>
    <n v="15740151.000000002"/>
    <n v="16"/>
    <n v="3.2886263330528416E-2"/>
    <x v="0"/>
  </r>
  <r>
    <s v="Gitlab CI/CD"/>
    <n v="60.100518806744489"/>
    <n v="1415.8"/>
    <x v="1"/>
    <n v="0.56999999999999995"/>
    <n v="2.09"/>
    <n v="249.84176394293101"/>
    <n v="39.899481193255511"/>
    <s v="CI/CD Tool"/>
    <n v="7000"/>
    <n v="8732654.4000000004"/>
    <n v="9"/>
    <n v="3.5307653998729198E-2"/>
    <x v="1"/>
  </r>
  <r>
    <s v="Jenkins Build Mobile Application"/>
    <n v="61.13493896403827"/>
    <n v="1543.45"/>
    <x v="2"/>
    <n v="0.74"/>
    <n v="2.38"/>
    <n v="248.19333553282701"/>
    <n v="38.86506103596173"/>
    <s v="CI/CD Tool"/>
    <n v="4000"/>
    <n v="4678196.95"/>
    <n v="5"/>
    <n v="1.7350437624861902E-2"/>
    <x v="0"/>
  </r>
  <r>
    <s v="Jenkins Pipeline"/>
    <n v="61.684000000000005"/>
    <n v="2502.9359999999997"/>
    <x v="3"/>
    <n v="0.53200000000000003"/>
    <n v="2.1859999999999999"/>
    <n v="193.76247778000001"/>
    <n v="38.315999999999995"/>
    <s v="CI/CD Tool"/>
    <n v="24000"/>
    <n v="58148209.151999995"/>
    <n v="59"/>
    <n v="0.13298758393295668"/>
    <x v="1"/>
  </r>
  <r>
    <s v="Jenkins Build from Git Branch"/>
    <n v="62.115563839701771"/>
    <n v="2065.02"/>
    <x v="4"/>
    <n v="0.7"/>
    <n v="2.5499999999999998"/>
    <n v="236.47122553588"/>
    <n v="37.884436160298229"/>
    <s v="CI/CD Tool"/>
    <n v="9000"/>
    <n v="17726131.68"/>
    <n v="18"/>
    <n v="4.9137630013795633E-2"/>
    <x v="0"/>
  </r>
  <r>
    <s v="Jenkins Build Projects"/>
    <n v="63.338954468802697"/>
    <n v="2035.07"/>
    <x v="5"/>
    <n v="0.46"/>
    <n v="1.78"/>
    <n v="154.251096121416"/>
    <n v="36.661045531197303"/>
    <s v="CI/CD Tool"/>
    <n v="6000"/>
    <n v="12067965.1"/>
    <n v="13"/>
    <n v="3.3945263977377453E-2"/>
    <x v="1"/>
  </r>
  <r>
    <s v="Jenkins Distributed Architecture"/>
    <n v="64.675767918088738"/>
    <n v="2332.35"/>
    <x v="6"/>
    <n v="0.52"/>
    <n v="1.9"/>
    <n v="173.93117178611999"/>
    <n v="35.324232081911262"/>
    <s v="CI/CD Tool"/>
    <n v="6000"/>
    <n v="12300813.9"/>
    <n v="13"/>
    <n v="3.0190104926928956E-2"/>
    <x v="2"/>
  </r>
  <r>
    <s v="Azure DevOps Development Pipeline"/>
    <n v="45.806238289430176"/>
    <n v="607.44000000000005"/>
    <x v="7"/>
    <n v="0.24"/>
    <n v="1.0900000000000001"/>
    <n v="131.64763584260899"/>
    <n v="54.193761710569824"/>
    <s v="Cloud CI/CD"/>
    <n v="10000"/>
    <n v="5511303.1200000001"/>
    <n v="6"/>
    <n v="5.1936826318169586E-2"/>
    <x v="1"/>
  </r>
  <r>
    <s v="Azure DevOps Build Project"/>
    <n v="46.375753149534418"/>
    <n v="1391.26"/>
    <x v="8"/>
    <n v="0.46"/>
    <n v="1.93"/>
    <n v="163.93609640314"/>
    <n v="53.624246850465582"/>
    <s v="Cloud CI/CD"/>
    <n v="6000"/>
    <n v="7619931.0199999996"/>
    <n v="8"/>
    <n v="3.13521434745525E-2"/>
    <x v="0"/>
  </r>
  <r>
    <s v="Azure DevOps Deployment"/>
    <n v="56.761513640363745"/>
    <n v="932.96"/>
    <x v="9"/>
    <n v="0.69"/>
    <n v="1.75"/>
    <n v="141.885303608096"/>
    <n v="43.238486359636255"/>
    <s v="Cloud CI/CD"/>
    <n v="7000"/>
    <n v="6360921.2800000003"/>
    <n v="7"/>
    <n v="3.9028467082252868E-2"/>
    <x v="2"/>
  </r>
  <r>
    <s v="IBM Cloud"/>
    <n v="59.513192121887776"/>
    <n v="421.06"/>
    <x v="10"/>
    <n v="0.16"/>
    <n v="0.66"/>
    <n v="74.293942772203593"/>
    <n v="40.486807878112224"/>
    <s v="Cloud CI/CD"/>
    <n v="6000"/>
    <n v="2266144.92"/>
    <n v="3"/>
    <n v="3.0808332331575965E-2"/>
    <x v="2"/>
  </r>
  <r>
    <s v="Kubernetes POD"/>
    <n v="57.213930348258707"/>
    <n v="1381.11"/>
    <x v="11"/>
    <n v="0.46"/>
    <n v="1.89"/>
    <n v="127.395403932717"/>
    <n v="42.786069651741293"/>
    <s v="Container &amp; Orchestration"/>
    <n v="9000"/>
    <n v="11659330.619999999"/>
    <n v="12"/>
    <n v="4.832477546324123E-2"/>
    <x v="3"/>
  </r>
  <r>
    <s v="Docker"/>
    <n v="59.135481288773263"/>
    <n v="1434.59"/>
    <x v="12"/>
    <n v="0.6"/>
    <n v="1.94"/>
    <n v="138.48909345607299"/>
    <n v="40.864518711226737"/>
    <s v="Container &amp; Orchestration"/>
    <n v="5000"/>
    <n v="7168646.2299999995"/>
    <n v="8"/>
    <n v="2.8604466120565792E-2"/>
    <x v="3"/>
  </r>
  <r>
    <s v="Kubernetes Cluster"/>
    <n v="59.9168303107312"/>
    <n v="1020.49"/>
    <x v="13"/>
    <n v="0.42"/>
    <n v="1.44"/>
    <n v="105.934272842786"/>
    <n v="40.0831696892688"/>
    <s v="Container &amp; Orchestration"/>
    <n v="9000"/>
    <n v="8834381.9299999997"/>
    <n v="9"/>
    <n v="4.9555505944714445E-2"/>
    <x v="3"/>
  </r>
  <r>
    <s v="Kubernetes Traffic Management"/>
    <n v="61.847964376590333"/>
    <n v="921.61"/>
    <x v="14"/>
    <n v="0.38"/>
    <n v="1.38"/>
    <n v="107.15251272264599"/>
    <n v="38.152035623409667"/>
    <s v="Container &amp; Orchestration"/>
    <n v="7000"/>
    <n v="5795083.6799999997"/>
    <n v="6"/>
    <n v="3.5994573337225874E-2"/>
    <x v="3"/>
  </r>
  <r>
    <s v="Script Syntax"/>
    <n v="44.928409947249435"/>
    <n v="2018.2"/>
    <x v="15"/>
    <n v="0.28999999999999998"/>
    <n v="1.44"/>
    <n v="72.862697814619395"/>
    <n v="55.071590052750565"/>
    <s v="Infra as a Code"/>
    <n v="7000"/>
    <n v="13390757"/>
    <n v="14"/>
    <n v="3.7980915091045432E-2"/>
    <x v="2"/>
  </r>
  <r>
    <s v="Configuration Automation"/>
    <n v="51.598694675722783"/>
    <n v="2177.42"/>
    <x v="16"/>
    <n v="0.44500000000000001"/>
    <n v="1.8650000000000002"/>
    <n v="145.17871698488301"/>
    <n v="48.401305324277217"/>
    <s v="Infra as a Code"/>
    <n v="16000"/>
    <n v="32748396.800000001"/>
    <n v="33"/>
    <n v="8.6093890424916858E-2"/>
    <x v="4"/>
  </r>
  <r>
    <s v="Cloud Infra Automation"/>
    <n v="57.363210478972036"/>
    <n v="1087.365"/>
    <x v="17"/>
    <n v="0.38"/>
    <n v="1.615"/>
    <n v="132.5692661869746"/>
    <n v="42.636789521027964"/>
    <s v="Infra as a Code"/>
    <n v="11000"/>
    <n v="11777250.314999999"/>
    <n v="12"/>
    <n v="6.2000194627145906E-2"/>
    <x v="2"/>
  </r>
  <r>
    <s v="File Management"/>
    <n v="58.130762782900248"/>
    <n v="2805.36"/>
    <x v="18"/>
    <n v="0.4"/>
    <n v="2.0499999999999998"/>
    <n v="191.25230511315999"/>
    <n v="41.869237217099752"/>
    <s v="Infra as a Code"/>
    <n v="5000"/>
    <n v="13387177.92"/>
    <n v="14"/>
    <n v="2.7316492360884521E-2"/>
    <x v="2"/>
  </r>
  <r>
    <s v="User Permission"/>
    <n v="58.61440291704649"/>
    <n v="2508.8200000000002"/>
    <x v="19"/>
    <n v="0.63"/>
    <n v="2.23"/>
    <n v="216.372835004557"/>
    <n v="41.38559708295351"/>
    <s v="Infra as a Code"/>
    <n v="5000"/>
    <n v="11008702.16"/>
    <n v="12"/>
    <n v="2.5118350477695155E-2"/>
    <x v="2"/>
  </r>
  <r>
    <s v="Script Execution"/>
    <n v="59.050712867713408"/>
    <n v="2603.13"/>
    <x v="20"/>
    <n v="0.39"/>
    <n v="1.75"/>
    <n v="134.81537628586801"/>
    <n v="40.949287132286592"/>
    <s v="Infra as a Code"/>
    <n v="6000"/>
    <n v="14423943.33"/>
    <n v="15"/>
    <n v="3.1718500455084064E-2"/>
    <x v="4"/>
  </r>
  <r>
    <s v="Exception Handling"/>
    <n v="65.554553651938676"/>
    <n v="1970.01"/>
    <x v="21"/>
    <n v="0.42"/>
    <n v="1.74"/>
    <n v="131.665163811241"/>
    <n v="34.445446348061317"/>
    <s v="Infra as a Code"/>
    <n v="4000"/>
    <n v="6554223.2699999996"/>
    <n v="7"/>
    <n v="1.904483865982037E-2"/>
    <x v="2"/>
  </r>
  <r>
    <s v="Non-functional Test Automation"/>
    <n v="63.717306622148023"/>
    <n v="2061.62"/>
    <x v="22"/>
    <n v="0.46"/>
    <n v="1.95"/>
    <n v="251.053422370617"/>
    <n v="36.282693377851977"/>
    <s v="Quality Assurance"/>
    <n v="6000"/>
    <n v="11114193.42"/>
    <n v="12"/>
    <n v="3.0859851281963214E-2"/>
    <x v="5"/>
  </r>
  <r>
    <s v="Functional Test Automation"/>
    <n v="63.932980599647266"/>
    <n v="1399.63"/>
    <x v="23"/>
    <n v="0.5"/>
    <n v="1.65"/>
    <n v="196.93756613756599"/>
    <n v="36.067019400352734"/>
    <s v="Quality Assurance"/>
    <n v="6000"/>
    <n v="7935902.1000000006"/>
    <n v="8"/>
    <n v="3.2456938743967989E-2"/>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8869AF-1EFD-BD47-8368-C88D3B93EA97}" name="PivotTable2"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0" firstHeaderRow="1" firstDataRow="1" firstDataCol="1"/>
  <pivotFields count="14">
    <pivotField showAll="0"/>
    <pivotField dataField="1" numFmtId="164" showAll="0"/>
    <pivotField numFmtId="164" showAll="0"/>
    <pivotField numFmtId="164" showAll="0"/>
    <pivotField numFmtId="43" showAll="0"/>
    <pivotField numFmtId="43" showAll="0"/>
    <pivotField numFmtId="164" showAll="0"/>
    <pivotField numFmtId="164" showAll="0"/>
    <pivotField showAll="0"/>
    <pivotField numFmtId="164" showAll="0"/>
    <pivotField numFmtId="164" showAll="0"/>
    <pivotField numFmtId="164" showAll="0"/>
    <pivotField numFmtId="9" showAll="0"/>
    <pivotField axis="axisRow" showAll="0">
      <items count="7">
        <item x="0"/>
        <item x="2"/>
        <item x="3"/>
        <item x="1"/>
        <item x="5"/>
        <item x="4"/>
        <item t="default"/>
      </items>
    </pivotField>
  </pivotFields>
  <rowFields count="1">
    <field x="13"/>
  </rowFields>
  <rowItems count="7">
    <i>
      <x/>
    </i>
    <i>
      <x v="1"/>
    </i>
    <i>
      <x v="2"/>
    </i>
    <i>
      <x v="3"/>
    </i>
    <i>
      <x v="4"/>
    </i>
    <i>
      <x v="5"/>
    </i>
    <i t="grand">
      <x/>
    </i>
  </rowItems>
  <colItems count="1">
    <i/>
  </colItems>
  <dataFields count="1">
    <dataField name="Average of Difficulty" fld="1" subtotal="average" baseField="0" baseItem="0"/>
  </dataFields>
  <formats count="2">
    <format dxfId="76">
      <pivotArea collapsedLevelsAreSubtotals="1" fieldPosition="0">
        <references count="1">
          <reference field="13" count="0"/>
        </references>
      </pivotArea>
    </format>
    <format dxfId="75">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9CD19D-32AE-5647-AD53-6BF0D245B9F5}" name="PivotTable4"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4:F21" firstHeaderRow="1" firstDataRow="1" firstDataCol="1"/>
  <pivotFields count="14">
    <pivotField showAll="0"/>
    <pivotField numFmtId="164" showAll="0"/>
    <pivotField numFmtId="164" showAll="0"/>
    <pivotField dataField="1" numFmtId="164" showAll="0">
      <items count="25">
        <item x="2"/>
        <item x="21"/>
        <item x="19"/>
        <item x="18"/>
        <item x="12"/>
        <item x="6"/>
        <item x="10"/>
        <item x="22"/>
        <item x="8"/>
        <item x="20"/>
        <item x="23"/>
        <item x="0"/>
        <item x="5"/>
        <item x="1"/>
        <item x="14"/>
        <item x="15"/>
        <item x="9"/>
        <item x="11"/>
        <item x="4"/>
        <item x="13"/>
        <item x="7"/>
        <item x="17"/>
        <item x="16"/>
        <item x="3"/>
        <item t="default"/>
      </items>
    </pivotField>
    <pivotField numFmtId="43" showAll="0"/>
    <pivotField numFmtId="43" showAll="0"/>
    <pivotField numFmtId="164" showAll="0"/>
    <pivotField numFmtId="164" showAll="0"/>
    <pivotField showAll="0"/>
    <pivotField numFmtId="164" showAll="0"/>
    <pivotField numFmtId="164" showAll="0"/>
    <pivotField numFmtId="164" showAll="0"/>
    <pivotField numFmtId="9" showAll="0"/>
    <pivotField axis="axisRow" showAll="0">
      <items count="7">
        <item x="0"/>
        <item x="2"/>
        <item x="4"/>
        <item x="3"/>
        <item x="1"/>
        <item x="5"/>
        <item t="default"/>
      </items>
    </pivotField>
  </pivotFields>
  <rowFields count="1">
    <field x="13"/>
  </rowFields>
  <rowItems count="7">
    <i>
      <x/>
    </i>
    <i>
      <x v="1"/>
    </i>
    <i>
      <x v="2"/>
    </i>
    <i>
      <x v="3"/>
    </i>
    <i>
      <x v="4"/>
    </i>
    <i>
      <x v="5"/>
    </i>
    <i t="grand">
      <x/>
    </i>
  </rowItems>
  <colItems count="1">
    <i/>
  </colItems>
  <dataFields count="1">
    <dataField name="Sum of Post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1829C4-E48B-D544-AA06-3A3065FF25A6}" name="PivotTable3"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4:B21" firstHeaderRow="1" firstDataRow="1" firstDataCol="1"/>
  <pivotFields count="14">
    <pivotField showAll="0"/>
    <pivotField dataField="1" numFmtId="164" showAll="0"/>
    <pivotField numFmtId="164" showAll="0"/>
    <pivotField numFmtId="164" showAll="0"/>
    <pivotField numFmtId="43" showAll="0"/>
    <pivotField numFmtId="43" showAll="0"/>
    <pivotField numFmtId="164" showAll="0"/>
    <pivotField numFmtId="164" showAll="0"/>
    <pivotField showAll="0"/>
    <pivotField numFmtId="164" showAll="0"/>
    <pivotField numFmtId="164" showAll="0"/>
    <pivotField numFmtId="164" showAll="0"/>
    <pivotField numFmtId="9" showAll="0"/>
    <pivotField axis="axisRow" showAll="0">
      <items count="7">
        <item x="0"/>
        <item x="2"/>
        <item x="3"/>
        <item x="1"/>
        <item x="5"/>
        <item x="4"/>
        <item t="default"/>
      </items>
    </pivotField>
  </pivotFields>
  <rowFields count="1">
    <field x="13"/>
  </rowFields>
  <rowItems count="7">
    <i>
      <x/>
    </i>
    <i>
      <x v="1"/>
    </i>
    <i>
      <x v="2"/>
    </i>
    <i>
      <x v="3"/>
    </i>
    <i>
      <x v="4"/>
    </i>
    <i>
      <x v="5"/>
    </i>
    <i t="grand">
      <x/>
    </i>
  </rowItems>
  <colItems count="1">
    <i/>
  </colItems>
  <dataFields count="1">
    <dataField name="Average of Difficulty" fld="1" subtotal="average" baseField="0" baseItem="0"/>
  </dataFields>
  <formats count="2">
    <format dxfId="78">
      <pivotArea collapsedLevelsAreSubtotals="1" fieldPosition="0">
        <references count="1">
          <reference field="13" count="0"/>
        </references>
      </pivotArea>
    </format>
    <format dxfId="77">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D1B194D-2CCC-724A-9E43-D04A443652BD}" name="Table147" displayName="Table147" ref="A1:J26" totalsRowCount="1" headerRowDxfId="141" headerRowBorderDxfId="140" tableBorderDxfId="139" totalsRowBorderDxfId="138">
  <autoFilter ref="A1:J25" xr:uid="{631EA57B-6442-A04A-A5E8-00F8A9B79A53}"/>
  <sortState xmlns:xlrd2="http://schemas.microsoft.com/office/spreadsheetml/2017/richdata2" ref="A2:I25">
    <sortCondition ref="A1:A25"/>
  </sortState>
  <tableColumns count="10">
    <tableColumn id="1" xr3:uid="{294A3689-BD53-104F-AAF3-B89BF74BFA8B}" name="Topic Name" dataDxfId="137" totalsRowDxfId="136"/>
    <tableColumn id="10" xr3:uid="{506FBC1A-BD84-014F-AD1D-9A07008727A7}" name="Difficulty" dataDxfId="135" totalsRowDxfId="134">
      <calculatedColumnFormula>100-Table147[[#This Row],[% Acc Answer]]</calculatedColumnFormula>
    </tableColumn>
    <tableColumn id="2" xr3:uid="{80BFB408-E7F9-1242-BD8E-6D6B94527184}" name="Avg. View" dataDxfId="133" totalsRowDxfId="132" dataCellStyle="Comma"/>
    <tableColumn id="11" xr3:uid="{8BAC35E1-4853-9D4C-A34C-E7AC857690C2}" name="Posts" dataDxfId="131" totalsRowDxfId="130" dataCellStyle="Comma"/>
    <tableColumn id="3" xr3:uid="{4F8E3442-F2ED-1841-A943-B6592FC31B4B}" name="Avg. Favorite" dataDxfId="129" totalsRowDxfId="128" dataCellStyle="Comma"/>
    <tableColumn id="4" xr3:uid="{B4016BC5-E84E-6B49-B1EB-B0746B7F1026}" name="Avg. Score" dataDxfId="127" totalsRowDxfId="126" dataCellStyle="Comma"/>
    <tableColumn id="12" xr3:uid="{8A1ECA7B-9434-EA44-9CC5-DBF3677C74F4}" name="Ans Hour" dataDxfId="125" totalsRowDxfId="124" dataCellStyle="Comma">
      <calculatedColumnFormula>VLOOKUP(Table147[[#This Row],[Topic Name]],Table2[],3,FALSE)</calculatedColumnFormula>
    </tableColumn>
    <tableColumn id="7" xr3:uid="{5E328036-E658-8347-AC24-713AD82191C6}" name="% Acc Answer" dataDxfId="123" totalsRowDxfId="122" dataCellStyle="Comma">
      <calculatedColumnFormula>VLOOKUP(Table147[[#This Row],[Topic Name]],Table2[],2,FALSE)</calculatedColumnFormula>
    </tableColumn>
    <tableColumn id="9" xr3:uid="{064F98DE-7E22-6344-9675-4E0AF4318741}" name="Category" dataDxfId="121" totalsRowDxfId="120">
      <calculatedColumnFormula>VLOOKUP(Table147[[#This Row],[Topic Name]],'Topic Post Count'!$D$2:$E$31,2, FALSE)</calculatedColumnFormula>
    </tableColumn>
    <tableColumn id="13" xr3:uid="{55A44F14-EACD-C846-8B12-B1BC193BA0B5}" name="Median" totalsRowFunction="custom" dataDxfId="119" totalsRowDxfId="118">
      <calculatedColumnFormula>_xlfn.CEILING.MATH(Table147[[#This Row],[Posts]]/1000)*1000</calculatedColumnFormula>
      <totalsRowFormula>MEDIAN(Table147[Median])</totalsRowFormula>
    </tableColumn>
  </tableColumns>
  <tableStyleInfo name="TableStyleLight15"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F597394-BCBD-EF45-8A60-1D78869EA551}" name="Table8" displayName="Table8" ref="A8:E52" totalsRowShown="0" headerRowDxfId="85" dataDxfId="84">
  <autoFilter ref="A8:E52" xr:uid="{B0CC2F00-AB0A-A245-904A-B7D2687B0E78}"/>
  <tableColumns count="5">
    <tableColumn id="5" xr3:uid="{F15299B6-8D6B-6446-874A-5278F97D039E}" name="#" dataDxfId="83"/>
    <tableColumn id="1" xr3:uid="{081FA7A1-067C-264A-87B6-B50829426527}" name="Theme" dataDxfId="82"/>
    <tableColumn id="2" xr3:uid="{357D6E68-347B-8F44-8F49-DFE04126C1A1}" name="Summary of Key Findings" dataDxfId="81"/>
    <tableColumn id="3" xr3:uid="{E2F8C216-F9F5-264A-8BB6-6D7940A57C0D}" name="Implication of each Key Finding" dataDxfId="80"/>
    <tableColumn id="4" xr3:uid="{D2E96762-9FA6-F441-AF0E-CC64804CCCE0}" name="Stakeholder affected by findings/implications" dataDxfId="79"/>
  </tableColumns>
  <tableStyleInfo name="TableStyleLight15"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321C11B-EC88-DD44-B229-858A9DD19D75}" name="Table14" displayName="Table14" ref="A1:N26" totalsRowCount="1" headerRowDxfId="74" headerRowBorderDxfId="73" tableBorderDxfId="72" totalsRowBorderDxfId="71">
  <autoFilter ref="A1:N25" xr:uid="{631EA57B-6442-A04A-A5E8-00F8A9B79A53}"/>
  <sortState xmlns:xlrd2="http://schemas.microsoft.com/office/spreadsheetml/2017/richdata2" ref="A2:M25">
    <sortCondition ref="I1:I25"/>
  </sortState>
  <tableColumns count="14">
    <tableColumn id="1" xr3:uid="{5E8AFE0E-5E8B-314D-A8B5-EBB4077B1157}" name="Topic Name" dataDxfId="70" totalsRowDxfId="69"/>
    <tableColumn id="10" xr3:uid="{176A98AA-AF48-F24D-A3BA-B174A9471D8B}" name="Difficulty" totalsRowFunction="custom" dataDxfId="68" totalsRowDxfId="67">
      <calculatedColumnFormula>100-Table14[[#This Row],[% Acc Answer]]</calculatedColumnFormula>
      <totalsRowFormula>MEDIAN(Table14[Difficulty])</totalsRowFormula>
    </tableColumn>
    <tableColumn id="2" xr3:uid="{CE7FB463-EE6F-AC4D-BD41-AA8A4CFCD07F}" name="Avg. View" totalsRowFunction="custom" dataDxfId="66" totalsRowDxfId="65" dataCellStyle="Comma">
      <totalsRowFormula>MEDIAN(Table14[Avg. View])</totalsRowFormula>
    </tableColumn>
    <tableColumn id="11" xr3:uid="{ABDEC07F-26A5-C14F-9AF9-4CAC57259513}" name="Posts" totalsRowFunction="custom" dataDxfId="64" totalsRowDxfId="63" dataCellStyle="Comma">
      <calculatedColumnFormula>SUMIF('Topic Post Count'!$D$2:$D$31,Table14[[#This Row],[Topic Name]],'Topic Post Count'!$H$2:$H$31)</calculatedColumnFormula>
      <totalsRowFormula>MEDIAN(Table14[Posts])</totalsRowFormula>
    </tableColumn>
    <tableColumn id="3" xr3:uid="{2D7DA7BE-C1D0-744B-8A03-45F87672B045}" name="Avg. Favorite" dataDxfId="62" totalsRowDxfId="61" dataCellStyle="Comma"/>
    <tableColumn id="4" xr3:uid="{25A6FE13-2ADD-FB4B-A992-A2B7489B76C3}" name="Avg. Score" dataDxfId="60" totalsRowDxfId="59" dataCellStyle="Comma"/>
    <tableColumn id="12" xr3:uid="{45A8D517-61E0-8741-9F5C-7D3BAEA40911}" name="Ans Hour" totalsRowFunction="custom" dataDxfId="58" totalsRowDxfId="57" dataCellStyle="Comma">
      <calculatedColumnFormula>VLOOKUP(Table14[[#This Row],[Topic Name]],Table2[],3,FALSE)</calculatedColumnFormula>
      <totalsRowFormula>MEDIAN(Table14[Ans Hour])</totalsRowFormula>
    </tableColumn>
    <tableColumn id="7" xr3:uid="{509F40A6-2EB7-564C-855D-2DE5A751E7A5}" name="% Acc Answer" dataDxfId="56" totalsRowDxfId="55" dataCellStyle="Comma">
      <calculatedColumnFormula>VLOOKUP(Table14[[#This Row],[Topic Name]],Table2[],2,FALSE)</calculatedColumnFormula>
    </tableColumn>
    <tableColumn id="9" xr3:uid="{DF927584-D92E-964F-A6FD-EC20E604E651}" name="Category" dataDxfId="54" totalsRowDxfId="53">
      <calculatedColumnFormula>VLOOKUP(Table14[[#This Row],[Topic Name]],'Topic Post Count'!$D$2:$E$31,2, FALSE)</calculatedColumnFormula>
    </tableColumn>
    <tableColumn id="13" xr3:uid="{EEDAC43A-7B12-754E-A164-74D7E64CDAF9}" name="Median" totalsRowFunction="custom" dataDxfId="52" totalsRowDxfId="51">
      <calculatedColumnFormula>_xlfn.CEILING.MATH(Table14[[#This Row],[Posts]]/1000)*1000</calculatedColumnFormula>
      <totalsRowFormula>MEDIAN(Table14[Median])</totalsRowFormula>
    </tableColumn>
    <tableColumn id="5" xr3:uid="{C28E26EC-227B-DA40-9EA4-92A16D0F35A7}" name="Post View" dataDxfId="50" totalsRowDxfId="49" dataCellStyle="Comma">
      <calculatedColumnFormula>Table14[[#This Row],[Posts]]*Table14[[#This Row],[Avg. View]]</calculatedColumnFormula>
    </tableColumn>
    <tableColumn id="6" xr3:uid="{7B35330E-ACBF-CF44-AD7F-E296E16E64B3}" name="Post View (M)" dataDxfId="48" totalsRowDxfId="47">
      <calculatedColumnFormula>_xlfn.CEILING.MATH(Table14[[#This Row],[Post View]]/1000000)</calculatedColumnFormula>
    </tableColumn>
    <tableColumn id="8" xr3:uid="{D9B00090-076E-0548-89EF-2DC6BDA12FEA}" name="%" dataDxfId="46" totalsRowDxfId="45" dataCellStyle="Per cent">
      <calculatedColumnFormula>D2/$O$2</calculatedColumnFormula>
    </tableColumn>
    <tableColumn id="14" xr3:uid="{B86DB5D6-7459-014C-9604-2878A43A7370}" name="Tool/Phase" totalsRowDxfId="44"/>
  </tableColumns>
  <tableStyleInfo name="TableStyleLight15"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440CA69-61AF-594C-92BE-8CBAFADDC73B}" name="Table55" displayName="Table55" ref="A28:H33" totalsRowShown="0">
  <autoFilter ref="A28:H33" xr:uid="{5E7C6A05-1576-2749-9225-9FF3E64B2385}"/>
  <sortState xmlns:xlrd2="http://schemas.microsoft.com/office/spreadsheetml/2017/richdata2" ref="A29:G33">
    <sortCondition ref="B28:B33"/>
  </sortState>
  <tableColumns count="8">
    <tableColumn id="1" xr3:uid="{C18CA962-D20B-1F42-9BFA-CC762A0BF53F}" name="Category"/>
    <tableColumn id="2" xr3:uid="{690E3349-F468-1B4F-830B-60DDFECF7399}" name="Difficulty" dataDxfId="43" dataCellStyle="Comma">
      <calculatedColumnFormula>100-Table55[[#This Row],[% Acc Answer]]</calculatedColumnFormula>
    </tableColumn>
    <tableColumn id="3" xr3:uid="{18D6423A-E226-FF42-BD75-6B9B7B3EF54F}" name="Avg. View" dataDxfId="42" dataCellStyle="Comma">
      <calculatedColumnFormula>AVERAGEIF(Table14[Category],$A29,Table14[Avg. View])</calculatedColumnFormula>
    </tableColumn>
    <tableColumn id="8" xr3:uid="{77224ADF-0C2E-0843-843C-3E3E71B3CFFB}" name="Posts" dataDxfId="41" dataCellStyle="Comma">
      <calculatedColumnFormula>SUMIF(Table14[Category],$A29,Table14[Posts])</calculatedColumnFormula>
    </tableColumn>
    <tableColumn id="4" xr3:uid="{21329758-F7D8-9D4B-90A3-FCA18FD6EC73}" name="Avg. Favorite" dataDxfId="40" dataCellStyle="Comma">
      <calculatedColumnFormula>AVERAGEIF(Table14[Category],$A29,Table14[Avg. Favorite])</calculatedColumnFormula>
    </tableColumn>
    <tableColumn id="5" xr3:uid="{E227DDDD-11A1-AD48-B4EB-70410E4A9640}" name="Avg. Score" dataDxfId="39" dataCellStyle="Comma">
      <calculatedColumnFormula>AVERAGEIF(Table14[Category],$A29,Table14[Avg. Score])</calculatedColumnFormula>
    </tableColumn>
    <tableColumn id="6" xr3:uid="{704639F0-FB16-974F-86A4-95959BF229FC}" name="Ans Hour" dataDxfId="38" dataCellStyle="Comma">
      <calculatedColumnFormula>AVERAGEIF(Table14[Category],$A29,Table14[Ans Hour])</calculatedColumnFormula>
    </tableColumn>
    <tableColumn id="7" xr3:uid="{C735FDD1-F236-E744-A4B3-BED0E6B611DD}" name="% Acc Answer" dataDxfId="37" dataCellStyle="Comma">
      <calculatedColumnFormula>AVERAGEIF(Table14[Category],$A29,Table14[% Acc Answer])</calculatedColumnFormula>
    </tableColumn>
  </tableColumns>
  <tableStyleInfo name="TableStyleLight15"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499B5E-7390-EE43-8B17-82313BE2CFB8}" name="Table1" displayName="Table1" ref="A1:J26" totalsRowCount="1" headerRowDxfId="36" headerRowBorderDxfId="35" tableBorderDxfId="34" totalsRowBorderDxfId="33">
  <autoFilter ref="A1:J25" xr:uid="{631EA57B-6442-A04A-A5E8-00F8A9B79A53}"/>
  <sortState xmlns:xlrd2="http://schemas.microsoft.com/office/spreadsheetml/2017/richdata2" ref="A2:I25">
    <sortCondition ref="A1:A25"/>
  </sortState>
  <tableColumns count="10">
    <tableColumn id="1" xr3:uid="{9E0C449F-C9E1-6148-B3C3-B846EE357BE8}" name="Topic Name" dataDxfId="32" totalsRowDxfId="31"/>
    <tableColumn id="10" xr3:uid="{4AD35651-2FD8-6245-91D8-92C11DBC4B24}" name="Difficulty" dataDxfId="30" totalsRowDxfId="29">
      <calculatedColumnFormula>100-Table1[[#This Row],[% Acc Answer]]</calculatedColumnFormula>
    </tableColumn>
    <tableColumn id="2" xr3:uid="{B623F84D-7B67-D248-A9C4-C8EAF13DCDA3}" name="Avg. View" dataDxfId="28" totalsRowDxfId="27" dataCellStyle="Comma"/>
    <tableColumn id="11" xr3:uid="{E5CEDC25-3513-1E40-A14F-E78E640DE8F2}" name="Posts" dataDxfId="26" totalsRowDxfId="25" dataCellStyle="Comma">
      <calculatedColumnFormula>SUMIF('Topic Post Count'!$D$2:$D$31,Table1[[#This Row],[Topic Name]],'Topic Post Count'!$H$2:$H$31)</calculatedColumnFormula>
    </tableColumn>
    <tableColumn id="3" xr3:uid="{8D44B7D0-A082-A446-A6B1-E79FA0655668}" name="Avg. Favorite" dataDxfId="24" totalsRowDxfId="23" dataCellStyle="Comma"/>
    <tableColumn id="4" xr3:uid="{DE55F6E9-9BC0-034D-9E79-3619B3903FD4}" name="Avg. Score" dataDxfId="22" totalsRowDxfId="21" dataCellStyle="Comma"/>
    <tableColumn id="12" xr3:uid="{6501A3EE-115F-3C44-9255-B85EFBDB3902}" name="Ans Hour" dataDxfId="20" totalsRowDxfId="19" dataCellStyle="Comma">
      <calculatedColumnFormula>VLOOKUP(Table1[[#This Row],[Topic Name]],Table2[],3,FALSE)</calculatedColumnFormula>
    </tableColumn>
    <tableColumn id="7" xr3:uid="{966EEA65-21FF-A84E-83A5-23DA71A69A3D}" name="% Acc Answer" dataDxfId="18" totalsRowDxfId="17" dataCellStyle="Comma">
      <calculatedColumnFormula>VLOOKUP(Table1[[#This Row],[Topic Name]],Table2[],2,FALSE)</calculatedColumnFormula>
    </tableColumn>
    <tableColumn id="9" xr3:uid="{F4383C5B-2917-1D4C-8ACF-1647AEF2A090}" name="Category" dataDxfId="16" totalsRowDxfId="15">
      <calculatedColumnFormula>VLOOKUP(Table1[[#This Row],[Topic Name]],'Topic Post Count'!$D$2:$E$31,2, FALSE)</calculatedColumnFormula>
    </tableColumn>
    <tableColumn id="13" xr3:uid="{285BE056-4B19-5842-A338-A00DC240D2EE}" name="Median" totalsRowFunction="custom" dataDxfId="14" totalsRowDxfId="13">
      <calculatedColumnFormula>_xlfn.CEILING.MATH(Table1[[#This Row],[Posts]]/1000)*1000</calculatedColumnFormula>
      <totalsRowFormula>MEDIAN(Table1[Median])</totalsRowFormula>
    </tableColumn>
  </tableColumns>
  <tableStyleInfo name="TableStyleLight15"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79C93FA-34FB-4648-9913-F98DE9DDAA38}" name="Table5" displayName="Table5" ref="A28:H33" totalsRowShown="0">
  <autoFilter ref="A28:H33" xr:uid="{5E7C6A05-1576-2749-9225-9FF3E64B2385}"/>
  <sortState xmlns:xlrd2="http://schemas.microsoft.com/office/spreadsheetml/2017/richdata2" ref="A29:G33">
    <sortCondition ref="B28:B33"/>
  </sortState>
  <tableColumns count="8">
    <tableColumn id="1" xr3:uid="{63BE91B9-C0D2-FB42-9B36-5F2E23ACDF10}" name="Category"/>
    <tableColumn id="2" xr3:uid="{5A9D5A74-2B52-0548-9D6D-962E50CD5D2E}" name="Difficulty" dataDxfId="12" dataCellStyle="Comma">
      <calculatedColumnFormula>100-Table5[[#This Row],[% Acc Answer]]</calculatedColumnFormula>
    </tableColumn>
    <tableColumn id="3" xr3:uid="{D29B9E1A-66B8-D44F-B38E-7693A8FC96FF}" name="Avg. View" dataDxfId="11" dataCellStyle="Comma">
      <calculatedColumnFormula>AVERAGEIF(Table1[Category],$A29,Table1[Avg. View])</calculatedColumnFormula>
    </tableColumn>
    <tableColumn id="8" xr3:uid="{9946764E-63B4-BE42-BCAB-44832BB29EA1}" name="Posts" dataDxfId="10" dataCellStyle="Comma">
      <calculatedColumnFormula>SUMIF(Table1[Category],$A29,Table1[Posts])</calculatedColumnFormula>
    </tableColumn>
    <tableColumn id="4" xr3:uid="{F0E83308-74EA-DE46-8AC9-1DBFF600ED83}" name="Avg. Favorite" dataDxfId="9" dataCellStyle="Comma">
      <calculatedColumnFormula>AVERAGEIF(Table1[Category],$A29,Table1[Avg. Favorite])</calculatedColumnFormula>
    </tableColumn>
    <tableColumn id="5" xr3:uid="{3058E34E-B81F-C843-8325-23BB889CC880}" name="Avg. Score" dataDxfId="8" dataCellStyle="Comma">
      <calculatedColumnFormula>AVERAGEIF(Table1[Category],$A29,Table1[Avg. Score])</calculatedColumnFormula>
    </tableColumn>
    <tableColumn id="6" xr3:uid="{30CAC442-3901-C249-B61F-BDE013899C55}" name="Ans Hour" dataDxfId="7" dataCellStyle="Comma">
      <calculatedColumnFormula>AVERAGEIF(Table1[Category],$A29,Table1[Ans Hour])</calculatedColumnFormula>
    </tableColumn>
    <tableColumn id="7" xr3:uid="{D70750BD-2689-6645-9C63-09C2DF4377D7}" name="% Acc Answer" dataDxfId="6" dataCellStyle="Comma">
      <calculatedColumnFormula>AVERAGEIF(Table1[Category],$A29,Table1[% Acc Answer])</calculatedColumnFormula>
    </tableColumn>
  </tableColumns>
  <tableStyleInfo name="TableStyleLight15"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BB6188-F244-9D42-AB3B-9489E7AB3C62}" name="Table2" displayName="Table2" ref="A1:C25" totalsRowShown="0" headerRowBorderDxfId="5" tableBorderDxfId="4" totalsRowBorderDxfId="3">
  <autoFilter ref="A1:C25" xr:uid="{D8972A50-CFC2-8046-B92A-E6DAE8F12842}"/>
  <sortState xmlns:xlrd2="http://schemas.microsoft.com/office/spreadsheetml/2017/richdata2" ref="A2:C25">
    <sortCondition ref="A1:A25"/>
  </sortState>
  <tableColumns count="3">
    <tableColumn id="1" xr3:uid="{2E09A5BF-3C2E-8549-A1CE-B2D6E8B49A8B}" name="Keywords" dataDxfId="2"/>
    <tableColumn id="2" xr3:uid="{091C146E-3996-A549-8CD6-09D8A15999EA}" name="(%) Acc. Answer" dataDxfId="1"/>
    <tableColumn id="3" xr3:uid="{79C5728A-710E-1A4B-A8A5-E327C1F5DF94}" name="Hours To Acc. Answer" dataDxfId="0"/>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6DB422-D9FB-A240-A643-94A4263DD58B}" name="Table558" displayName="Table558" ref="A28:H33" totalsRowShown="0">
  <autoFilter ref="A28:H33" xr:uid="{5E7C6A05-1576-2749-9225-9FF3E64B2385}"/>
  <sortState xmlns:xlrd2="http://schemas.microsoft.com/office/spreadsheetml/2017/richdata2" ref="A29:G33">
    <sortCondition ref="B28:B33"/>
  </sortState>
  <tableColumns count="8">
    <tableColumn id="1" xr3:uid="{DCF34B99-AA39-094E-8CD2-FD075E7198A2}" name="Category"/>
    <tableColumn id="2" xr3:uid="{5D8926B6-3C0F-114E-93E2-20A28792A72D}" name="Difficulty" dataDxfId="117" dataCellStyle="Comma">
      <calculatedColumnFormula>100-Table558[[#This Row],[% Acc Answer]]</calculatedColumnFormula>
    </tableColumn>
    <tableColumn id="3" xr3:uid="{0EAA91CB-F4AE-7440-9C2D-06A21A54EDD2}" name="Avg. View" dataDxfId="116" dataCellStyle="Comma">
      <calculatedColumnFormula>AVERAGEIF(Table147[Category],$A29,Table147[Avg. View])</calculatedColumnFormula>
    </tableColumn>
    <tableColumn id="8" xr3:uid="{4235769B-8BC5-3941-801E-28498E448810}" name="Posts" dataDxfId="115" dataCellStyle="Comma">
      <calculatedColumnFormula>SUMIF(Table147[Category],$A29,Table147[Posts])</calculatedColumnFormula>
    </tableColumn>
    <tableColumn id="4" xr3:uid="{3FF09B1D-6AF6-114D-B7EE-B984638982EF}" name="Avg. Favorite" dataDxfId="114" dataCellStyle="Comma">
      <calculatedColumnFormula>AVERAGEIF(Table147[Category],$A29,Table147[Avg. Favorite])</calculatedColumnFormula>
    </tableColumn>
    <tableColumn id="5" xr3:uid="{3C100533-5413-514B-9C09-6D095447F08E}" name="Avg. Score" dataDxfId="113" dataCellStyle="Comma">
      <calculatedColumnFormula>AVERAGEIF(Table147[Category],$A29,Table147[Avg. Score])</calculatedColumnFormula>
    </tableColumn>
    <tableColumn id="6" xr3:uid="{5451301A-F5E6-2B40-89B6-D923F18ED755}" name="Ans Hour" dataDxfId="112" dataCellStyle="Comma">
      <calculatedColumnFormula>AVERAGEIF(Table147[Category],$A29,Table147[Ans Hour])</calculatedColumnFormula>
    </tableColumn>
    <tableColumn id="7" xr3:uid="{0ED6FDED-E192-5846-B464-D9FB3D2250A1}" name="% Acc Answer" dataDxfId="111" dataCellStyle="Comma">
      <calculatedColumnFormula>AVERAGEIF(Table147[Category],$A29,Table147[% Acc Answer])</calculatedColumnFormula>
    </tableColumn>
  </tableColumns>
  <tableStyleInfo name="TableStyleLight15"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467FEB-1017-744F-A9DA-A4CBC8B6A76D}" name="Table111316" displayName="Table111316" ref="B2:D20" totalsRowShown="0" headerRowCellStyle="Normal 3" dataCellStyle="Normal 3">
  <autoFilter ref="B2:D20" xr:uid="{B9CC0BDA-6C14-1749-ABC0-EE6BE214E18C}"/>
  <tableColumns count="3">
    <tableColumn id="3" xr3:uid="{95CBDA05-6A9B-6249-ABB0-3F95E8C6907A}" name="#" dataCellStyle="Normal 3"/>
    <tableColumn id="1" xr3:uid="{D06D2F43-E7B7-2F4E-A7A8-1C5953169832}" name="Type" dataCellStyle="Normal 3"/>
    <tableColumn id="2" xr3:uid="{42F37FAC-CE22-7F45-9A9E-BCC0AAB3875C}" name="Question" dataDxfId="110" dataCellStyle="Normal 3"/>
  </tableColumns>
  <tableStyleInfo name="TableStyleLight15"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4E6E352-5BE8-184D-9521-CA3C4B0B7569}" name="Table13" displayName="Table13" ref="C23:D44" totalsRowShown="0">
  <autoFilter ref="C23:D44" xr:uid="{E4E6E352-5BE8-184D-9521-CA3C4B0B7569}"/>
  <tableColumns count="2">
    <tableColumn id="1" xr3:uid="{4156B5AC-DF10-884F-8423-A2048BBC761A}" name="Type" dataDxfId="109" dataCellStyle="Normal 3"/>
    <tableColumn id="2" xr3:uid="{B0BC1E63-17BD-F043-B2F7-3C7A85AD5E6A}" name="Question" dataDxfId="108"/>
  </tableColumns>
  <tableStyleInfo name="TableStyleLight15"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D268713-0BE6-0C4E-95DF-E8EC3B5F84A8}" name="Table81015" displayName="Table81015" ref="B8:J51" totalsRowShown="0" headerRowDxfId="107" dataDxfId="106">
  <autoFilter ref="B8:J51" xr:uid="{B0CC2F00-AB0A-A245-904A-B7D2687B0E78}">
    <filterColumn colId="8">
      <customFilters>
        <customFilter operator="notEqual" val=" "/>
      </customFilters>
    </filterColumn>
  </autoFilter>
  <sortState xmlns:xlrd2="http://schemas.microsoft.com/office/spreadsheetml/2017/richdata2" ref="B9:J51">
    <sortCondition ref="D8:D51"/>
  </sortState>
  <tableColumns count="9">
    <tableColumn id="5" xr3:uid="{E0CB44DE-2B58-5644-8B9E-99C809C88480}" name="#" dataDxfId="105"/>
    <tableColumn id="13" xr3:uid="{D5B8FB53-7868-7248-82CE-408944B16B04}" name="Observation#" dataDxfId="104"/>
    <tableColumn id="1" xr3:uid="{1CF87136-8E2D-7E4D-8F23-B910A8F70F02}" name="Research Question" dataDxfId="103"/>
    <tableColumn id="6" xr3:uid="{46922C3D-FBC9-6A46-B2C5-CF9AEBDD5E57}" name="Cluster" dataDxfId="102"/>
    <tableColumn id="9" xr3:uid="{D3A3C2E2-9A31-CD40-ACB3-996871BA647F}" name="Important" dataDxfId="101"/>
    <tableColumn id="2" xr3:uid="{72618870-77CA-0B44-904D-E0013A5E2D8F}" name="Summary of Key Findings" dataDxfId="100"/>
    <tableColumn id="3" xr3:uid="{AFE74EB9-CF88-2F49-96B4-927BE764FF95}" name="Implication of each Key Finding" dataDxfId="99"/>
    <tableColumn id="4" xr3:uid="{A3BAC99A-22AD-6048-B2D0-5019C2B3D7D9}" name="Stakeholder affected by findings/implications" dataDxfId="98"/>
    <tableColumn id="8" xr3:uid="{405C7FE8-1FEE-4942-A3F1-FFBD38024E10}" name="Survey Question" dataDxfId="97"/>
  </tableColumns>
  <tableStyleInfo name="TableStyleLight15"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5020E4E-9C46-E746-84A9-FEE1C80F92A6}" name="Table810" displayName="Table810" ref="A8:I48" totalsRowShown="0" headerRowDxfId="96" dataDxfId="95">
  <autoFilter ref="A8:I48" xr:uid="{B0CC2F00-AB0A-A245-904A-B7D2687B0E78}"/>
  <sortState xmlns:xlrd2="http://schemas.microsoft.com/office/spreadsheetml/2017/richdata2" ref="A9:H48">
    <sortCondition ref="B8:B48"/>
  </sortState>
  <tableColumns count="9">
    <tableColumn id="5" xr3:uid="{A3C8CBD7-6130-C34A-A5E5-D4BFB9CE3746}" name="#" dataDxfId="94"/>
    <tableColumn id="1" xr3:uid="{939E8168-D682-DC40-A542-C8CC8FF1117C}" name="Theme" dataDxfId="93"/>
    <tableColumn id="6" xr3:uid="{29708BF2-EF4D-D045-9D0D-9695B7955815}" name="Cluster" dataDxfId="92"/>
    <tableColumn id="9" xr3:uid="{3C6D5488-7CFD-D145-8752-62E4788AD86F}" name="Important" dataDxfId="91"/>
    <tableColumn id="2" xr3:uid="{EC8439A6-3A50-B149-BAF2-BA411356B861}" name="Summary of Key Findings" dataDxfId="90"/>
    <tableColumn id="3" xr3:uid="{FCA767C7-8523-1940-B98B-BBE4790DF234}" name="Implication of each Key Finding" dataDxfId="89"/>
    <tableColumn id="4" xr3:uid="{39A01F53-2A43-4042-B34E-9D1472CC0B30}" name="Stakeholder affected by findings/implications" dataDxfId="88"/>
    <tableColumn id="7" xr3:uid="{66A3A1F7-DA04-E649-B85A-17524CD7771D}" name="Survey Question" dataDxfId="87"/>
    <tableColumn id="8" xr3:uid="{EDFDEC0F-215E-E04E-BDB7-CDEDB659A65D}" name="Question" dataDxfId="86"/>
  </tableColumns>
  <tableStyleInfo name="TableStyleLight15"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B00AD4E-2239-D942-A2CB-B806428D5E6A}" name="Table111" displayName="Table111" ref="A2:C30" totalsRowShown="0">
  <autoFilter ref="A2:C30" xr:uid="{F1A9405A-4EDA-5A4A-8A44-2814CF6313A1}"/>
  <tableColumns count="3">
    <tableColumn id="1" xr3:uid="{CD7FC42E-86B6-5E46-A3B0-FA98AE2ADE0E}" name="q"/>
    <tableColumn id="2" xr3:uid="{3A8E77D9-2CFE-D641-B073-1C676CC0854C}" name="Keep"/>
    <tableColumn id="3" xr3:uid="{042004A6-E96E-2242-A176-3729204517ED}" name="new q"/>
  </tableColumns>
  <tableStyleInfo name="TableStyleLight15"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02DA57C-AB2F-9A4C-8724-22BD214A3A1D}" name="Table11" displayName="Table11" ref="E2:F24" totalsRowShown="0" headerRowCellStyle="Normal 3" dataCellStyle="Normal 3">
  <autoFilter ref="E2:F24" xr:uid="{E3382244-A6E1-BF45-AF49-8988413F9846}"/>
  <tableColumns count="2">
    <tableColumn id="1" xr3:uid="{2CC84D91-26C8-D041-88E2-BC378CA92E4A}" name="Type" dataCellStyle="Normal 3"/>
    <tableColumn id="2" xr3:uid="{65E0D63E-B7ED-F244-8A0A-D522633F2401}" name="Question" dataCellStyle="Normal 3"/>
  </tableColumns>
  <tableStyleInfo name="TableStyleLight15"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0E89EAA-54A5-AC45-B71B-15363A864395}" name="Table1113" displayName="Table1113" ref="H2:I24" totalsRowShown="0" headerRowCellStyle="Normal 3" dataCellStyle="Normal 3">
  <autoFilter ref="H2:I24" xr:uid="{B9CC0BDA-6C14-1749-ABC0-EE6BE214E18C}"/>
  <tableColumns count="2">
    <tableColumn id="1" xr3:uid="{2B751ABB-D49F-D943-A6B5-473CB4E7BF46}" name="Type" dataCellStyle="Normal 3"/>
    <tableColumn id="2" xr3:uid="{C25862E8-0ADD-0A45-BDD4-C6ED57B6C40B}" name="Question" dataCellStyle="Normal 3"/>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2.xm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2.xml"/><Relationship Id="rId4" Type="http://schemas.openxmlformats.org/officeDocument/2006/relationships/table" Target="../tables/table1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6.xml"/><Relationship Id="rId1" Type="http://schemas.openxmlformats.org/officeDocument/2006/relationships/printerSettings" Target="../printerSettings/printerSettings4.bin"/><Relationship Id="rId4"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313A1-DE7C-9840-ACBA-A1A62A8BBB91}">
  <dimension ref="A1:J33"/>
  <sheetViews>
    <sheetView zoomScale="110" zoomScaleNormal="110" workbookViewId="0">
      <selection activeCell="E14" sqref="E14"/>
    </sheetView>
  </sheetViews>
  <sheetFormatPr baseColWidth="10" defaultColWidth="8.83203125" defaultRowHeight="15" x14ac:dyDescent="0.2"/>
  <cols>
    <col min="1" max="1" width="34.6640625" bestFit="1" customWidth="1"/>
    <col min="2" max="2" width="10.6640625" customWidth="1"/>
    <col min="3" max="3" width="13.1640625" customWidth="1"/>
    <col min="4" max="4" width="11.1640625" customWidth="1"/>
    <col min="5" max="5" width="14.33203125" bestFit="1" customWidth="1"/>
    <col min="6" max="6" width="11.6640625" bestFit="1" customWidth="1"/>
    <col min="7" max="7" width="14.33203125" bestFit="1" customWidth="1"/>
    <col min="8" max="8" width="9.33203125" hidden="1" customWidth="1"/>
    <col min="9" max="9" width="21.5" bestFit="1" customWidth="1"/>
    <col min="10" max="10" width="10.33203125" bestFit="1" customWidth="1"/>
  </cols>
  <sheetData>
    <row r="1" spans="1:10" x14ac:dyDescent="0.2">
      <c r="A1" s="8" t="s">
        <v>76</v>
      </c>
      <c r="B1" s="8" t="s">
        <v>100</v>
      </c>
      <c r="C1" s="9" t="s">
        <v>79</v>
      </c>
      <c r="D1" s="9" t="s">
        <v>94</v>
      </c>
      <c r="E1" s="9" t="s">
        <v>80</v>
      </c>
      <c r="F1" s="10" t="s">
        <v>81</v>
      </c>
      <c r="G1" s="9" t="s">
        <v>101</v>
      </c>
      <c r="H1" s="9" t="s">
        <v>98</v>
      </c>
      <c r="I1" s="9" t="s">
        <v>99</v>
      </c>
      <c r="J1" s="9" t="s">
        <v>102</v>
      </c>
    </row>
    <row r="2" spans="1:10" x14ac:dyDescent="0.2">
      <c r="A2" s="6" t="s">
        <v>22</v>
      </c>
      <c r="B2" s="26">
        <f>100-Table147[[#This Row],[% Acc Answer]]</f>
        <v>46.375753149534418</v>
      </c>
      <c r="C2" s="22">
        <v>1391.26</v>
      </c>
      <c r="D2" s="24">
        <v>3068</v>
      </c>
      <c r="E2" s="17">
        <v>0.46</v>
      </c>
      <c r="F2" s="18">
        <v>1.93</v>
      </c>
      <c r="G2" s="24">
        <f>VLOOKUP(Table147[[#This Row],[Topic Name]],Table2[],3,FALSE)</f>
        <v>163.93609640314</v>
      </c>
      <c r="H2" s="24">
        <f>VLOOKUP(Table147[[#This Row],[Topic Name]],Table2[],2,FALSE)</f>
        <v>53.624246850465582</v>
      </c>
      <c r="I2" t="str">
        <f>VLOOKUP(Table147[[#This Row],[Topic Name]],'Topic Post Count'!$D$2:$E$31,2, FALSE)</f>
        <v>Cloud CI/CD</v>
      </c>
      <c r="J2" s="25">
        <f>_xlfn.CEILING.MATH(Table147[[#This Row],[Posts]]/1000)*1000</f>
        <v>4000</v>
      </c>
    </row>
    <row r="3" spans="1:10" x14ac:dyDescent="0.2">
      <c r="A3" s="6" t="s">
        <v>24</v>
      </c>
      <c r="B3" s="26">
        <f>100-Table147[[#This Row],[% Acc Answer]]</f>
        <v>56.761513640363745</v>
      </c>
      <c r="C3" s="22">
        <v>932.96</v>
      </c>
      <c r="D3" s="24">
        <v>4423</v>
      </c>
      <c r="E3" s="17">
        <v>0.69</v>
      </c>
      <c r="F3" s="18">
        <v>1.75</v>
      </c>
      <c r="G3" s="24">
        <f>VLOOKUP(Table147[[#This Row],[Topic Name]],Table2[],3,FALSE)</f>
        <v>141.885303608096</v>
      </c>
      <c r="H3" s="24">
        <f>VLOOKUP(Table147[[#This Row],[Topic Name]],Table2[],2,FALSE)</f>
        <v>43.238486359636255</v>
      </c>
      <c r="I3" t="str">
        <f>VLOOKUP(Table147[[#This Row],[Topic Name]],'Topic Post Count'!$D$2:$E$31,2, FALSE)</f>
        <v>Cloud CI/CD</v>
      </c>
      <c r="J3" s="25">
        <f>_xlfn.CEILING.MATH(Table147[[#This Row],[Posts]]/1000)*1000</f>
        <v>5000</v>
      </c>
    </row>
    <row r="4" spans="1:10" x14ac:dyDescent="0.2">
      <c r="A4" s="6" t="s">
        <v>26</v>
      </c>
      <c r="B4" s="26">
        <f>100-Table147[[#This Row],[% Acc Answer]]</f>
        <v>45.806238289430176</v>
      </c>
      <c r="C4" s="22">
        <v>607.44000000000005</v>
      </c>
      <c r="D4" s="24">
        <v>8310</v>
      </c>
      <c r="E4" s="17">
        <v>0.24</v>
      </c>
      <c r="F4" s="18">
        <v>1.0900000000000001</v>
      </c>
      <c r="G4" s="24">
        <f>VLOOKUP(Table147[[#This Row],[Topic Name]],Table2[],3,FALSE)</f>
        <v>131.64763584260899</v>
      </c>
      <c r="H4" s="24">
        <f>VLOOKUP(Table147[[#This Row],[Topic Name]],Table2[],2,FALSE)</f>
        <v>54.193761710569824</v>
      </c>
      <c r="I4" t="str">
        <f>VLOOKUP(Table147[[#This Row],[Topic Name]],'Topic Post Count'!$D$2:$E$31,2, FALSE)</f>
        <v>Cloud CI/CD</v>
      </c>
      <c r="J4" s="25">
        <f>_xlfn.CEILING.MATH(Table147[[#This Row],[Posts]]/1000)*1000</f>
        <v>9000</v>
      </c>
    </row>
    <row r="5" spans="1:10" x14ac:dyDescent="0.2">
      <c r="A5" s="6" t="s">
        <v>75</v>
      </c>
      <c r="B5" s="26">
        <f>100-Table147[[#This Row],[% Acc Answer]]</f>
        <v>57.363210478972036</v>
      </c>
      <c r="C5" s="22">
        <v>1087.365</v>
      </c>
      <c r="D5" s="24">
        <v>9171</v>
      </c>
      <c r="E5" s="17">
        <v>0.38</v>
      </c>
      <c r="F5" s="18">
        <v>1.615</v>
      </c>
      <c r="G5" s="24">
        <f>VLOOKUP(Table147[[#This Row],[Topic Name]],Table2[],3,FALSE)</f>
        <v>132.5692661869746</v>
      </c>
      <c r="H5" s="24">
        <f>VLOOKUP(Table147[[#This Row],[Topic Name]],Table2[],2,FALSE)</f>
        <v>42.636789521027964</v>
      </c>
      <c r="I5" t="str">
        <f>VLOOKUP(Table147[[#This Row],[Topic Name]],'Topic Post Count'!$D$2:$E$31,2, FALSE)</f>
        <v>Infra as a Code</v>
      </c>
      <c r="J5" s="25">
        <f>_xlfn.CEILING.MATH(Table147[[#This Row],[Posts]]/1000)*1000</f>
        <v>10000</v>
      </c>
    </row>
    <row r="6" spans="1:10" x14ac:dyDescent="0.2">
      <c r="A6" s="6" t="s">
        <v>43</v>
      </c>
      <c r="B6" s="26">
        <f>100-Table147[[#This Row],[% Acc Answer]]</f>
        <v>51.598694675722783</v>
      </c>
      <c r="C6" s="22">
        <v>2177.42</v>
      </c>
      <c r="D6" s="24">
        <v>7641</v>
      </c>
      <c r="E6" s="17">
        <v>0.44500000000000001</v>
      </c>
      <c r="F6" s="18">
        <v>1.8650000000000002</v>
      </c>
      <c r="G6" s="24">
        <f>VLOOKUP(Table147[[#This Row],[Topic Name]],Table2[],3,FALSE)</f>
        <v>145.17871698488301</v>
      </c>
      <c r="H6" s="24">
        <f>VLOOKUP(Table147[[#This Row],[Topic Name]],Table2[],2,FALSE)</f>
        <v>48.401305324277217</v>
      </c>
      <c r="I6" t="str">
        <f>VLOOKUP(Table147[[#This Row],[Topic Name]],'Topic Post Count'!$D$2:$E$31,2, FALSE)</f>
        <v>Infra as a Code</v>
      </c>
      <c r="J6" s="25">
        <f>_xlfn.CEILING.MATH(Table147[[#This Row],[Posts]]/1000)*1000</f>
        <v>8000</v>
      </c>
    </row>
    <row r="7" spans="1:10" x14ac:dyDescent="0.2">
      <c r="A7" s="6" t="s">
        <v>32</v>
      </c>
      <c r="B7" s="26">
        <f>100-Table147[[#This Row],[% Acc Answer]]</f>
        <v>59.135481288773263</v>
      </c>
      <c r="C7" s="22">
        <v>1434.59</v>
      </c>
      <c r="D7" s="24">
        <v>4227</v>
      </c>
      <c r="E7" s="17">
        <v>0.6</v>
      </c>
      <c r="F7" s="18">
        <v>1.94</v>
      </c>
      <c r="G7" s="24">
        <f>VLOOKUP(Table147[[#This Row],[Topic Name]],Table2[],3,FALSE)</f>
        <v>138.48909345607299</v>
      </c>
      <c r="H7" s="24">
        <f>VLOOKUP(Table147[[#This Row],[Topic Name]],Table2[],2,FALSE)</f>
        <v>40.864518711226737</v>
      </c>
      <c r="I7" t="str">
        <f>VLOOKUP(Table147[[#This Row],[Topic Name]],'Topic Post Count'!$D$2:$E$31,2, FALSE)</f>
        <v>Container &amp; Orchestration</v>
      </c>
      <c r="J7" s="25">
        <f>_xlfn.CEILING.MATH(Table147[[#This Row],[Posts]]/1000)*1000</f>
        <v>5000</v>
      </c>
    </row>
    <row r="8" spans="1:10" x14ac:dyDescent="0.2">
      <c r="A8" s="6" t="s">
        <v>97</v>
      </c>
      <c r="B8" s="26">
        <f>100-Table147[[#This Row],[% Acc Answer]]</f>
        <v>65.554553651938676</v>
      </c>
      <c r="C8" s="22">
        <v>1970.01</v>
      </c>
      <c r="D8" s="24">
        <v>2401</v>
      </c>
      <c r="E8" s="17">
        <v>0.42</v>
      </c>
      <c r="F8" s="18">
        <v>1.74</v>
      </c>
      <c r="G8" s="24">
        <f>VLOOKUP(Table147[[#This Row],[Topic Name]],Table2[],3,FALSE)</f>
        <v>131.665163811241</v>
      </c>
      <c r="H8" s="24">
        <f>VLOOKUP(Table147[[#This Row],[Topic Name]],Table2[],2,FALSE)</f>
        <v>34.445446348061317</v>
      </c>
      <c r="I8" t="str">
        <f>VLOOKUP(Table147[[#This Row],[Topic Name]],'Topic Post Count'!$D$2:$E$31,2, FALSE)</f>
        <v>Infra as a Code</v>
      </c>
      <c r="J8" s="25">
        <f>_xlfn.CEILING.MATH(Table147[[#This Row],[Posts]]/1000)*1000</f>
        <v>3000</v>
      </c>
    </row>
    <row r="9" spans="1:10" x14ac:dyDescent="0.2">
      <c r="A9" s="6" t="s">
        <v>95</v>
      </c>
      <c r="B9" s="26">
        <f>100-Table147[[#This Row],[% Acc Answer]]</f>
        <v>58.130762782900248</v>
      </c>
      <c r="C9" s="22">
        <v>2805.36</v>
      </c>
      <c r="D9" s="24">
        <v>3174</v>
      </c>
      <c r="E9" s="17">
        <v>0.4</v>
      </c>
      <c r="F9" s="18">
        <v>2.0499999999999998</v>
      </c>
      <c r="G9" s="24">
        <f>VLOOKUP(Table147[[#This Row],[Topic Name]],Table2[],3,FALSE)</f>
        <v>191.25230511315999</v>
      </c>
      <c r="H9" s="24">
        <f>VLOOKUP(Table147[[#This Row],[Topic Name]],Table2[],2,FALSE)</f>
        <v>41.869237217099752</v>
      </c>
      <c r="I9" t="str">
        <f>VLOOKUP(Table147[[#This Row],[Topic Name]],'Topic Post Count'!$D$2:$E$31,2, FALSE)</f>
        <v>Infra as a Code</v>
      </c>
      <c r="J9" s="25">
        <f>_xlfn.CEILING.MATH(Table147[[#This Row],[Posts]]/1000)*1000</f>
        <v>4000</v>
      </c>
    </row>
    <row r="10" spans="1:10" x14ac:dyDescent="0.2">
      <c r="A10" s="6" t="s">
        <v>68</v>
      </c>
      <c r="B10" s="26">
        <f>100-Table147[[#This Row],[% Acc Answer]]</f>
        <v>63.932980599647266</v>
      </c>
      <c r="C10" s="22">
        <v>1399.63</v>
      </c>
      <c r="D10" s="24">
        <v>2938</v>
      </c>
      <c r="E10" s="17">
        <v>0.5</v>
      </c>
      <c r="F10" s="18">
        <v>1.65</v>
      </c>
      <c r="G10" s="24">
        <f>VLOOKUP(Table147[[#This Row],[Topic Name]],Table2[],3,FALSE)</f>
        <v>196.93756613756599</v>
      </c>
      <c r="H10" s="24">
        <f>VLOOKUP(Table147[[#This Row],[Topic Name]],Table2[],2,FALSE)</f>
        <v>36.067019400352734</v>
      </c>
      <c r="I10" t="str">
        <f>VLOOKUP(Table147[[#This Row],[Topic Name]],'Topic Post Count'!$D$2:$E$31,2, FALSE)</f>
        <v>Quality Assurance</v>
      </c>
      <c r="J10" s="25">
        <f>_xlfn.CEILING.MATH(Table147[[#This Row],[Posts]]/1000)*1000</f>
        <v>3000</v>
      </c>
    </row>
    <row r="11" spans="1:10" x14ac:dyDescent="0.2">
      <c r="A11" s="6" t="s">
        <v>1</v>
      </c>
      <c r="B11" s="26">
        <f>100-Table147[[#This Row],[% Acc Answer]]</f>
        <v>60.100518806744489</v>
      </c>
      <c r="C11" s="22">
        <v>1415.8</v>
      </c>
      <c r="D11" s="24">
        <v>4822</v>
      </c>
      <c r="E11" s="17">
        <v>0.56999999999999995</v>
      </c>
      <c r="F11" s="18">
        <v>2.09</v>
      </c>
      <c r="G11" s="24">
        <f>VLOOKUP(Table147[[#This Row],[Topic Name]],Table2[],3,FALSE)</f>
        <v>249.84176394293101</v>
      </c>
      <c r="H11" s="24">
        <f>VLOOKUP(Table147[[#This Row],[Topic Name]],Table2[],2,FALSE)</f>
        <v>39.899481193255511</v>
      </c>
      <c r="I11" t="str">
        <f>VLOOKUP(Table147[[#This Row],[Topic Name]],'Topic Post Count'!$D$2:$E$31,2, FALSE)</f>
        <v>CI/CD Tool</v>
      </c>
      <c r="J11" s="25">
        <f>_xlfn.CEILING.MATH(Table147[[#This Row],[Posts]]/1000)*1000</f>
        <v>5000</v>
      </c>
    </row>
    <row r="12" spans="1:10" x14ac:dyDescent="0.2">
      <c r="A12" s="6" t="s">
        <v>29</v>
      </c>
      <c r="B12" s="26">
        <f>100-Table147[[#This Row],[% Acc Answer]]</f>
        <v>59.513192121887776</v>
      </c>
      <c r="C12" s="22">
        <v>421.06</v>
      </c>
      <c r="D12" s="24">
        <v>2551</v>
      </c>
      <c r="E12" s="17">
        <v>0.16</v>
      </c>
      <c r="F12" s="18">
        <v>0.66</v>
      </c>
      <c r="G12" s="24">
        <f>VLOOKUP(Table147[[#This Row],[Topic Name]],Table2[],3,FALSE)</f>
        <v>74.293942772203593</v>
      </c>
      <c r="H12" s="24">
        <f>VLOOKUP(Table147[[#This Row],[Topic Name]],Table2[],2,FALSE)</f>
        <v>40.486807878112224</v>
      </c>
      <c r="I12" t="str">
        <f>VLOOKUP(Table147[[#This Row],[Topic Name]],'Topic Post Count'!$D$2:$E$31,2, FALSE)</f>
        <v>Cloud CI/CD</v>
      </c>
      <c r="J12" s="25">
        <f>_xlfn.CEILING.MATH(Table147[[#This Row],[Posts]]/1000)*1000</f>
        <v>3000</v>
      </c>
    </row>
    <row r="13" spans="1:10" x14ac:dyDescent="0.2">
      <c r="A13" s="6" t="s">
        <v>3</v>
      </c>
      <c r="B13" s="26">
        <f>100-Table147[[#This Row],[% Acc Answer]]</f>
        <v>62.115563839701771</v>
      </c>
      <c r="C13" s="22">
        <v>2065.02</v>
      </c>
      <c r="D13" s="24">
        <v>5756</v>
      </c>
      <c r="E13" s="17">
        <v>0.7</v>
      </c>
      <c r="F13" s="18">
        <v>2.5499999999999998</v>
      </c>
      <c r="G13" s="24">
        <f>VLOOKUP(Table147[[#This Row],[Topic Name]],Table2[],3,FALSE)</f>
        <v>236.47122553588</v>
      </c>
      <c r="H13" s="24">
        <f>VLOOKUP(Table147[[#This Row],[Topic Name]],Table2[],2,FALSE)</f>
        <v>37.884436160298229</v>
      </c>
      <c r="I13" t="str">
        <f>VLOOKUP(Table147[[#This Row],[Topic Name]],'Topic Post Count'!$D$2:$E$31,2, FALSE)</f>
        <v>CI/CD Tool</v>
      </c>
      <c r="J13" s="25">
        <f>_xlfn.CEILING.MATH(Table147[[#This Row],[Posts]]/1000)*1000</f>
        <v>6000</v>
      </c>
    </row>
    <row r="14" spans="1:10" x14ac:dyDescent="0.2">
      <c r="A14" s="6" t="s">
        <v>5</v>
      </c>
      <c r="B14" s="26">
        <f>100-Table147[[#This Row],[% Acc Answer]]</f>
        <v>61.13493896403827</v>
      </c>
      <c r="C14" s="22">
        <v>1543.45</v>
      </c>
      <c r="D14" s="24">
        <v>1584</v>
      </c>
      <c r="E14" s="17">
        <v>0.74</v>
      </c>
      <c r="F14" s="18">
        <v>2.38</v>
      </c>
      <c r="G14" s="24">
        <f>VLOOKUP(Table147[[#This Row],[Topic Name]],Table2[],3,FALSE)</f>
        <v>248.19333553282701</v>
      </c>
      <c r="H14" s="24">
        <f>VLOOKUP(Table147[[#This Row],[Topic Name]],Table2[],2,FALSE)</f>
        <v>38.86506103596173</v>
      </c>
      <c r="I14" t="str">
        <f>VLOOKUP(Table147[[#This Row],[Topic Name]],'Topic Post Count'!$D$2:$E$31,2, FALSE)</f>
        <v>CI/CD Tool</v>
      </c>
      <c r="J14" s="25">
        <f>_xlfn.CEILING.MATH(Table147[[#This Row],[Posts]]/1000)*1000</f>
        <v>2000</v>
      </c>
    </row>
    <row r="15" spans="1:10" x14ac:dyDescent="0.2">
      <c r="A15" s="6" t="s">
        <v>8</v>
      </c>
      <c r="B15" s="26">
        <f>100-Table147[[#This Row],[% Acc Answer]]</f>
        <v>63.338954468802697</v>
      </c>
      <c r="C15" s="22">
        <v>2035.07</v>
      </c>
      <c r="D15" s="24">
        <v>2913</v>
      </c>
      <c r="E15" s="17">
        <v>0.46</v>
      </c>
      <c r="F15" s="18">
        <v>1.78</v>
      </c>
      <c r="G15" s="24">
        <f>VLOOKUP(Table147[[#This Row],[Topic Name]],Table2[],3,FALSE)</f>
        <v>154.251096121416</v>
      </c>
      <c r="H15" s="24">
        <f>VLOOKUP(Table147[[#This Row],[Topic Name]],Table2[],2,FALSE)</f>
        <v>36.661045531197303</v>
      </c>
      <c r="I15" t="str">
        <f>VLOOKUP(Table147[[#This Row],[Topic Name]],'Topic Post Count'!$D$2:$E$31,2, FALSE)</f>
        <v>CI/CD Tool</v>
      </c>
      <c r="J15" s="25">
        <f>_xlfn.CEILING.MATH(Table147[[#This Row],[Posts]]/1000)*1000</f>
        <v>3000</v>
      </c>
    </row>
    <row r="16" spans="1:10" x14ac:dyDescent="0.2">
      <c r="A16" s="6" t="s">
        <v>11</v>
      </c>
      <c r="B16" s="26">
        <f>100-Table147[[#This Row],[% Acc Answer]]</f>
        <v>64.675767918088738</v>
      </c>
      <c r="C16" s="22">
        <v>2332.35</v>
      </c>
      <c r="D16" s="24">
        <v>3150</v>
      </c>
      <c r="E16" s="17">
        <v>0.52</v>
      </c>
      <c r="F16" s="18">
        <v>1.9</v>
      </c>
      <c r="G16" s="24">
        <f>VLOOKUP(Table147[[#This Row],[Topic Name]],Table2[],3,FALSE)</f>
        <v>173.93117178611999</v>
      </c>
      <c r="H16" s="24">
        <f>VLOOKUP(Table147[[#This Row],[Topic Name]],Table2[],2,FALSE)</f>
        <v>35.324232081911262</v>
      </c>
      <c r="I16" t="str">
        <f>VLOOKUP(Table147[[#This Row],[Topic Name]],'Topic Post Count'!$D$2:$E$31,2, FALSE)</f>
        <v>CI/CD Tool</v>
      </c>
      <c r="J16" s="25">
        <f>_xlfn.CEILING.MATH(Table147[[#This Row],[Posts]]/1000)*1000</f>
        <v>4000</v>
      </c>
    </row>
    <row r="17" spans="1:10" x14ac:dyDescent="0.2">
      <c r="A17" s="6" t="s">
        <v>15</v>
      </c>
      <c r="B17" s="26">
        <f>100-Table147[[#This Row],[% Acc Answer]]</f>
        <v>61.684000000000005</v>
      </c>
      <c r="C17" s="22">
        <v>2502.9359999999997</v>
      </c>
      <c r="D17" s="24">
        <v>15741</v>
      </c>
      <c r="E17" s="17">
        <v>0.53200000000000003</v>
      </c>
      <c r="F17" s="18">
        <v>2.1859999999999999</v>
      </c>
      <c r="G17" s="24">
        <f>VLOOKUP(Table147[[#This Row],[Topic Name]],Table2[],3,FALSE)</f>
        <v>193.76247778000001</v>
      </c>
      <c r="H17" s="24">
        <f>VLOOKUP(Table147[[#This Row],[Topic Name]],Table2[],2,FALSE)</f>
        <v>38.315999999999995</v>
      </c>
      <c r="I17" t="str">
        <f>VLOOKUP(Table147[[#This Row],[Topic Name]],'Topic Post Count'!$D$2:$E$31,2, FALSE)</f>
        <v>CI/CD Tool</v>
      </c>
      <c r="J17" s="25">
        <f>_xlfn.CEILING.MATH(Table147[[#This Row],[Posts]]/1000)*1000</f>
        <v>16000</v>
      </c>
    </row>
    <row r="18" spans="1:10" x14ac:dyDescent="0.2">
      <c r="A18" s="6" t="s">
        <v>34</v>
      </c>
      <c r="B18" s="26">
        <f>100-Table147[[#This Row],[% Acc Answer]]</f>
        <v>59.9168303107312</v>
      </c>
      <c r="C18" s="22">
        <v>1020.49</v>
      </c>
      <c r="D18" s="24">
        <v>7510</v>
      </c>
      <c r="E18" s="17">
        <v>0.42</v>
      </c>
      <c r="F18" s="18">
        <v>1.44</v>
      </c>
      <c r="G18" s="24">
        <f>VLOOKUP(Table147[[#This Row],[Topic Name]],Table2[],3,FALSE)</f>
        <v>105.934272842786</v>
      </c>
      <c r="H18" s="24">
        <f>VLOOKUP(Table147[[#This Row],[Topic Name]],Table2[],2,FALSE)</f>
        <v>40.0831696892688</v>
      </c>
      <c r="I18" t="str">
        <f>VLOOKUP(Table147[[#This Row],[Topic Name]],'Topic Post Count'!$D$2:$E$31,2, FALSE)</f>
        <v>Container &amp; Orchestration</v>
      </c>
      <c r="J18" s="25">
        <f>_xlfn.CEILING.MATH(Table147[[#This Row],[Posts]]/1000)*1000</f>
        <v>8000</v>
      </c>
    </row>
    <row r="19" spans="1:10" x14ac:dyDescent="0.2">
      <c r="A19" s="6" t="s">
        <v>36</v>
      </c>
      <c r="B19" s="26">
        <f>100-Table147[[#This Row],[% Acc Answer]]</f>
        <v>57.213930348258707</v>
      </c>
      <c r="C19" s="22">
        <v>1381.11</v>
      </c>
      <c r="D19" s="24">
        <v>7486</v>
      </c>
      <c r="E19" s="17">
        <v>0.46</v>
      </c>
      <c r="F19" s="18">
        <v>1.89</v>
      </c>
      <c r="G19" s="24">
        <f>VLOOKUP(Table147[[#This Row],[Topic Name]],Table2[],3,FALSE)</f>
        <v>127.395403932717</v>
      </c>
      <c r="H19" s="24">
        <f>VLOOKUP(Table147[[#This Row],[Topic Name]],Table2[],2,FALSE)</f>
        <v>42.786069651741293</v>
      </c>
      <c r="I19" t="str">
        <f>VLOOKUP(Table147[[#This Row],[Topic Name]],'Topic Post Count'!$D$2:$E$31,2, FALSE)</f>
        <v>Container &amp; Orchestration</v>
      </c>
      <c r="J19" s="25">
        <f>_xlfn.CEILING.MATH(Table147[[#This Row],[Posts]]/1000)*1000</f>
        <v>8000</v>
      </c>
    </row>
    <row r="20" spans="1:10" x14ac:dyDescent="0.2">
      <c r="A20" s="6" t="s">
        <v>38</v>
      </c>
      <c r="B20" s="26">
        <f>100-Table147[[#This Row],[% Acc Answer]]</f>
        <v>61.847964376590333</v>
      </c>
      <c r="C20" s="22">
        <v>921.61</v>
      </c>
      <c r="D20" s="24">
        <v>5699</v>
      </c>
      <c r="E20" s="17">
        <v>0.38</v>
      </c>
      <c r="F20" s="18">
        <v>1.38</v>
      </c>
      <c r="G20" s="24">
        <f>VLOOKUP(Table147[[#This Row],[Topic Name]],Table2[],3,FALSE)</f>
        <v>107.15251272264599</v>
      </c>
      <c r="H20" s="24">
        <f>VLOOKUP(Table147[[#This Row],[Topic Name]],Table2[],2,FALSE)</f>
        <v>38.152035623409667</v>
      </c>
      <c r="I20" t="str">
        <f>VLOOKUP(Table147[[#This Row],[Topic Name]],'Topic Post Count'!$D$2:$E$31,2, FALSE)</f>
        <v>Container &amp; Orchestration</v>
      </c>
      <c r="J20" s="25">
        <f>_xlfn.CEILING.MATH(Table147[[#This Row],[Posts]]/1000)*1000</f>
        <v>6000</v>
      </c>
    </row>
    <row r="21" spans="1:10" x14ac:dyDescent="0.2">
      <c r="A21" s="6" t="s">
        <v>71</v>
      </c>
      <c r="B21" s="26">
        <f>100-Table147[[#This Row],[% Acc Answer]]</f>
        <v>63.717306622148023</v>
      </c>
      <c r="C21" s="22">
        <v>2061.62</v>
      </c>
      <c r="D21" s="24">
        <v>2896</v>
      </c>
      <c r="E21" s="17">
        <v>0.46</v>
      </c>
      <c r="F21" s="18">
        <v>1.95</v>
      </c>
      <c r="G21" s="24">
        <f>VLOOKUP(Table147[[#This Row],[Topic Name]],Table2[],3,FALSE)</f>
        <v>251.053422370617</v>
      </c>
      <c r="H21" s="24">
        <f>VLOOKUP(Table147[[#This Row],[Topic Name]],Table2[],2,FALSE)</f>
        <v>36.282693377851977</v>
      </c>
      <c r="I21" t="str">
        <f>VLOOKUP(Table147[[#This Row],[Topic Name]],'Topic Post Count'!$D$2:$E$31,2, FALSE)</f>
        <v>Quality Assurance</v>
      </c>
      <c r="J21" s="25">
        <f>_xlfn.CEILING.MATH(Table147[[#This Row],[Posts]]/1000)*1000</f>
        <v>3000</v>
      </c>
    </row>
    <row r="22" spans="1:10" x14ac:dyDescent="0.2">
      <c r="A22" s="6" t="s">
        <v>56</v>
      </c>
      <c r="B22" s="26">
        <f>100-Table147[[#This Row],[% Acc Answer]]</f>
        <v>58.69451697127937</v>
      </c>
      <c r="C22" s="22">
        <v>2739.8</v>
      </c>
      <c r="D22" s="24">
        <v>3474</v>
      </c>
      <c r="E22" s="17">
        <v>0.72</v>
      </c>
      <c r="F22" s="18">
        <v>2.4900000000000002</v>
      </c>
      <c r="G22" s="24">
        <f>VLOOKUP(Table147[[#This Row],[Topic Name]],Table2[],3,FALSE)</f>
        <v>222.37302001740599</v>
      </c>
      <c r="H22" s="24">
        <f>VLOOKUP(Table147[[#This Row],[Topic Name]],Table2[],2,FALSE)</f>
        <v>41.30548302872063</v>
      </c>
      <c r="I22" t="str">
        <f>VLOOKUP(Table147[[#This Row],[Topic Name]],'Topic Post Count'!$D$2:$E$31,2, FALSE)</f>
        <v>CI/CD Tool</v>
      </c>
      <c r="J22" s="25">
        <f>_xlfn.CEILING.MATH(Table147[[#This Row],[Posts]]/1000)*1000</f>
        <v>4000</v>
      </c>
    </row>
    <row r="23" spans="1:10" x14ac:dyDescent="0.2">
      <c r="A23" s="6" t="s">
        <v>59</v>
      </c>
      <c r="B23" s="26">
        <f>100-Table147[[#This Row],[% Acc Answer]]</f>
        <v>59.050712867713408</v>
      </c>
      <c r="C23" s="22">
        <v>2603.13</v>
      </c>
      <c r="D23" s="24">
        <v>3614</v>
      </c>
      <c r="E23" s="17">
        <v>0.39</v>
      </c>
      <c r="F23" s="18">
        <v>1.75</v>
      </c>
      <c r="G23" s="24">
        <f>VLOOKUP(Table147[[#This Row],[Topic Name]],Table2[],3,FALSE)</f>
        <v>134.81537628586801</v>
      </c>
      <c r="H23" s="24">
        <f>VLOOKUP(Table147[[#This Row],[Topic Name]],Table2[],2,FALSE)</f>
        <v>40.949287132286592</v>
      </c>
      <c r="I23" t="str">
        <f>VLOOKUP(Table147[[#This Row],[Topic Name]],'Topic Post Count'!$D$2:$E$31,2, FALSE)</f>
        <v>Infra as a Code</v>
      </c>
      <c r="J23" s="25">
        <f>_xlfn.CEILING.MATH(Table147[[#This Row],[Posts]]/1000)*1000</f>
        <v>4000</v>
      </c>
    </row>
    <row r="24" spans="1:10" x14ac:dyDescent="0.2">
      <c r="A24" s="6" t="s">
        <v>51</v>
      </c>
      <c r="B24" s="26">
        <f>100-Table147[[#This Row],[% Acc Answer]]</f>
        <v>44.928409947249435</v>
      </c>
      <c r="C24" s="22">
        <v>2018.2</v>
      </c>
      <c r="D24" s="24">
        <v>4966</v>
      </c>
      <c r="E24" s="17">
        <v>0.28999999999999998</v>
      </c>
      <c r="F24" s="18">
        <v>1.44</v>
      </c>
      <c r="G24" s="24">
        <f>VLOOKUP(Table147[[#This Row],[Topic Name]],Table2[],3,FALSE)</f>
        <v>72.862697814619395</v>
      </c>
      <c r="H24" s="24">
        <f>VLOOKUP(Table147[[#This Row],[Topic Name]],Table2[],2,FALSE)</f>
        <v>55.071590052750565</v>
      </c>
      <c r="I24" t="str">
        <f>VLOOKUP(Table147[[#This Row],[Topic Name]],'Topic Post Count'!$D$2:$E$31,2, FALSE)</f>
        <v>Infra as a Code</v>
      </c>
      <c r="J24" s="25">
        <f>_xlfn.CEILING.MATH(Table147[[#This Row],[Posts]]/1000)*1000</f>
        <v>5000</v>
      </c>
    </row>
    <row r="25" spans="1:10" x14ac:dyDescent="0.2">
      <c r="A25" s="11" t="s">
        <v>96</v>
      </c>
      <c r="B25" s="27">
        <f>100-Table147[[#This Row],[% Acc Answer]]</f>
        <v>58.61440291704649</v>
      </c>
      <c r="C25" s="23">
        <v>2508.8200000000002</v>
      </c>
      <c r="D25" s="24">
        <v>2953</v>
      </c>
      <c r="E25" s="20">
        <v>0.63</v>
      </c>
      <c r="F25" s="21">
        <v>2.23</v>
      </c>
      <c r="G25" s="24">
        <f>VLOOKUP(Table147[[#This Row],[Topic Name]],Table2[],3,FALSE)</f>
        <v>216.372835004557</v>
      </c>
      <c r="H25" s="24">
        <f>VLOOKUP(Table147[[#This Row],[Topic Name]],Table2[],2,FALSE)</f>
        <v>41.38559708295351</v>
      </c>
      <c r="I25" t="str">
        <f>VLOOKUP(Table147[[#This Row],[Topic Name]],'Topic Post Count'!$D$2:$E$31,2, FALSE)</f>
        <v>Infra as a Code</v>
      </c>
      <c r="J25" s="25">
        <f>_xlfn.CEILING.MATH(Table147[[#This Row],[Posts]]/1000)*1000</f>
        <v>3000</v>
      </c>
    </row>
    <row r="26" spans="1:10" x14ac:dyDescent="0.2">
      <c r="A26" s="11"/>
      <c r="B26" s="27"/>
      <c r="C26" s="34"/>
      <c r="D26" s="34"/>
      <c r="E26" s="35"/>
      <c r="F26" s="36"/>
      <c r="G26" s="37"/>
      <c r="H26" s="37"/>
      <c r="I26" s="29"/>
      <c r="J26" s="28">
        <f>MEDIAN(Table147[Median])</f>
        <v>4500</v>
      </c>
    </row>
    <row r="28" spans="1:10" x14ac:dyDescent="0.2">
      <c r="A28" t="s">
        <v>99</v>
      </c>
      <c r="B28" t="s">
        <v>100</v>
      </c>
      <c r="C28" t="s">
        <v>79</v>
      </c>
      <c r="D28" t="s">
        <v>94</v>
      </c>
      <c r="E28" t="s">
        <v>80</v>
      </c>
      <c r="F28" t="s">
        <v>81</v>
      </c>
      <c r="G28" t="s">
        <v>101</v>
      </c>
      <c r="H28" t="s">
        <v>98</v>
      </c>
    </row>
    <row r="29" spans="1:10" x14ac:dyDescent="0.2">
      <c r="A29" t="s">
        <v>93</v>
      </c>
      <c r="B29" s="24">
        <f>100-Table558[[#This Row],[% Acc Answer]]</f>
        <v>52.114174300304029</v>
      </c>
      <c r="C29" s="24">
        <f>AVERAGEIF(Table147[Category],$A29,Table147[Avg. View])</f>
        <v>838.18000000000006</v>
      </c>
      <c r="D29" s="24">
        <f>SUMIF(Table147[Category],$A29,Table147[Posts])</f>
        <v>18352</v>
      </c>
      <c r="E29" s="19">
        <f>AVERAGEIF(Table147[Category],$A29,Table147[Avg. Favorite])</f>
        <v>0.38749999999999996</v>
      </c>
      <c r="F29" s="19">
        <f>AVERAGEIF(Table147[Category],$A29,Table147[Avg. Score])</f>
        <v>1.3574999999999999</v>
      </c>
      <c r="G29" s="24">
        <f>AVERAGEIF(Table147[Category],$A29,Table147[Ans Hour])</f>
        <v>127.94074465651214</v>
      </c>
      <c r="H29" s="24">
        <f>AVERAGEIF(Table147[Category],$A29,Table147[% Acc Answer])</f>
        <v>47.885825699695971</v>
      </c>
    </row>
    <row r="30" spans="1:10" x14ac:dyDescent="0.2">
      <c r="A30" t="s">
        <v>31</v>
      </c>
      <c r="B30" s="24">
        <f>100-Table558[[#This Row],[% Acc Answer]]</f>
        <v>59.528551581088379</v>
      </c>
      <c r="C30" s="24">
        <f>AVERAGEIF(Table147[Category],$A30,Table147[Avg. View])</f>
        <v>1189.4499999999998</v>
      </c>
      <c r="D30" s="25">
        <f>SUMIF(Table147[Category],$A30,Table147[Posts])</f>
        <v>24922</v>
      </c>
      <c r="E30" s="19">
        <f>AVERAGEIF(Table147[Category],$A30,Table147[Avg. Favorite])</f>
        <v>0.46499999999999997</v>
      </c>
      <c r="F30" s="19">
        <f>AVERAGEIF(Table147[Category],$A30,Table147[Avg. Score])</f>
        <v>1.6624999999999999</v>
      </c>
      <c r="G30" s="24">
        <f>AVERAGEIF(Table147[Category],$A30,Table147[Ans Hour])</f>
        <v>119.74282073855549</v>
      </c>
      <c r="H30" s="24">
        <f>AVERAGEIF(Table147[Category],$A30,Table147[% Acc Answer])</f>
        <v>40.471448418911621</v>
      </c>
    </row>
    <row r="31" spans="1:10" x14ac:dyDescent="0.2">
      <c r="A31" t="s">
        <v>67</v>
      </c>
      <c r="B31" s="24">
        <f>100-Table558[[#This Row],[% Acc Answer]]</f>
        <v>63.825143610897641</v>
      </c>
      <c r="C31" s="24">
        <f>AVERAGEIF(Table147[Category],$A31,Table147[Avg. View])</f>
        <v>1730.625</v>
      </c>
      <c r="D31" s="25">
        <f>SUMIF(Table147[Category],$A31,Table147[Posts])</f>
        <v>5834</v>
      </c>
      <c r="E31" s="19">
        <f>AVERAGEIF(Table147[Category],$A31,Table147[Avg. Favorite])</f>
        <v>0.48</v>
      </c>
      <c r="F31" s="19">
        <f>AVERAGEIF(Table147[Category],$A31,Table147[Avg. Score])</f>
        <v>1.7999999999999998</v>
      </c>
      <c r="G31" s="24">
        <f>AVERAGEIF(Table147[Category],$A31,Table147[Ans Hour])</f>
        <v>223.99549425409151</v>
      </c>
      <c r="H31" s="24">
        <f>AVERAGEIF(Table147[Category],$A31,Table147[% Acc Answer])</f>
        <v>36.174856389102359</v>
      </c>
    </row>
    <row r="32" spans="1:10" x14ac:dyDescent="0.2">
      <c r="A32" t="s">
        <v>0</v>
      </c>
      <c r="B32" s="24">
        <f>100-Table558[[#This Row],[% Acc Answer]]</f>
        <v>61.677751566950761</v>
      </c>
      <c r="C32" s="24">
        <f>AVERAGEIF(Table147[Category],$A32,Table147[Avg. View])</f>
        <v>2090.6322857142854</v>
      </c>
      <c r="D32" s="25">
        <f>SUMIF(Table147[Category],$A32,Table147[Posts])</f>
        <v>37440</v>
      </c>
      <c r="E32" s="19">
        <f>AVERAGEIF(Table147[Category],$A32,Table147[Avg. Favorite])</f>
        <v>0.60599999999999998</v>
      </c>
      <c r="F32" s="19">
        <f>AVERAGEIF(Table147[Category],$A32,Table147[Avg. Score])</f>
        <v>2.1965714285714286</v>
      </c>
      <c r="G32" s="24">
        <f>AVERAGEIF(Table147[Category],$A32,Table147[Ans Hour])</f>
        <v>211.26058438808283</v>
      </c>
      <c r="H32" s="24">
        <f>AVERAGEIF(Table147[Category],$A32,Table147[% Acc Answer])</f>
        <v>38.322248433049239</v>
      </c>
    </row>
    <row r="33" spans="1:8" x14ac:dyDescent="0.2">
      <c r="A33" t="s">
        <v>48</v>
      </c>
      <c r="B33" s="24">
        <f>100-Table558[[#This Row],[% Acc Answer]]</f>
        <v>56.462963903077579</v>
      </c>
      <c r="C33" s="24">
        <f>AVERAGEIF(Table147[Category],$A33,Table147[Avg. View])</f>
        <v>2167.1864285714287</v>
      </c>
      <c r="D33" s="25">
        <f>SUMIF(Table147[Category],$A33,Table147[Posts])</f>
        <v>33920</v>
      </c>
      <c r="E33" s="19">
        <f>AVERAGEIF(Table147[Category],$A33,Table147[Avg. Favorite])</f>
        <v>0.42214285714285715</v>
      </c>
      <c r="F33" s="19">
        <f>AVERAGEIF(Table147[Category],$A33,Table147[Avg. Score])</f>
        <v>1.8128571428571427</v>
      </c>
      <c r="G33" s="24">
        <f>AVERAGEIF(Table147[Category],$A33,Table147[Ans Hour])</f>
        <v>146.38805160018615</v>
      </c>
      <c r="H33" s="24">
        <f>AVERAGEIF(Table147[Category],$A33,Table147[% Acc Answer])</f>
        <v>43.537036096922421</v>
      </c>
    </row>
  </sheetData>
  <conditionalFormatting sqref="C2:C25">
    <cfRule type="colorScale" priority="15">
      <colorScale>
        <cfvo type="min"/>
        <cfvo type="percentile" val="50"/>
        <cfvo type="max"/>
        <color rgb="FFF8696B"/>
        <color rgb="FFFFEB84"/>
        <color rgb="FF63BE7B"/>
      </colorScale>
    </cfRule>
  </conditionalFormatting>
  <conditionalFormatting sqref="E2:E25">
    <cfRule type="colorScale" priority="14">
      <colorScale>
        <cfvo type="min"/>
        <cfvo type="percentile" val="50"/>
        <cfvo type="max"/>
        <color rgb="FFF8696B"/>
        <color rgb="FFFFEB84"/>
        <color rgb="FF63BE7B"/>
      </colorScale>
    </cfRule>
  </conditionalFormatting>
  <conditionalFormatting sqref="F2:F25">
    <cfRule type="colorScale" priority="13">
      <colorScale>
        <cfvo type="min"/>
        <cfvo type="percentile" val="50"/>
        <cfvo type="max"/>
        <color rgb="FFF8696B"/>
        <color rgb="FFFFEB84"/>
        <color rgb="FF63BE7B"/>
      </colorScale>
    </cfRule>
  </conditionalFormatting>
  <conditionalFormatting sqref="H2:H25">
    <cfRule type="colorScale" priority="12">
      <colorScale>
        <cfvo type="min"/>
        <cfvo type="percentile" val="50"/>
        <cfvo type="max"/>
        <color rgb="FFF8696B"/>
        <color rgb="FFFFEB84"/>
        <color rgb="FF63BE7B"/>
      </colorScale>
    </cfRule>
  </conditionalFormatting>
  <conditionalFormatting sqref="G2:G25">
    <cfRule type="colorScale" priority="4">
      <colorScale>
        <cfvo type="min"/>
        <cfvo type="percentile" val="50"/>
        <cfvo type="max"/>
        <color rgb="FF63BE7B"/>
        <color rgb="FFFFEB84"/>
        <color rgb="FFF8696B"/>
      </colorScale>
    </cfRule>
  </conditionalFormatting>
  <conditionalFormatting sqref="G29:G33">
    <cfRule type="colorScale" priority="2">
      <colorScale>
        <cfvo type="min"/>
        <cfvo type="percentile" val="50"/>
        <cfvo type="max"/>
        <color rgb="FF63BE7B"/>
        <color rgb="FFFFEB84"/>
        <color rgb="FFF8696B"/>
      </colorScale>
    </cfRule>
  </conditionalFormatting>
  <conditionalFormatting sqref="H29:H33">
    <cfRule type="colorScale" priority="11">
      <colorScale>
        <cfvo type="min"/>
        <cfvo type="percentile" val="50"/>
        <cfvo type="max"/>
        <color rgb="FFF8696B"/>
        <color rgb="FFFFEB84"/>
        <color rgb="FF63BE7B"/>
      </colorScale>
    </cfRule>
  </conditionalFormatting>
  <conditionalFormatting sqref="F29:F33">
    <cfRule type="colorScale" priority="10">
      <colorScale>
        <cfvo type="min"/>
        <cfvo type="percentile" val="50"/>
        <cfvo type="max"/>
        <color rgb="FFF8696B"/>
        <color rgb="FFFFEB84"/>
        <color rgb="FF63BE7B"/>
      </colorScale>
    </cfRule>
  </conditionalFormatting>
  <conditionalFormatting sqref="E29:E33">
    <cfRule type="colorScale" priority="9">
      <colorScale>
        <cfvo type="min"/>
        <cfvo type="percentile" val="50"/>
        <cfvo type="max"/>
        <color rgb="FFF8696B"/>
        <color rgb="FFFFEB84"/>
        <color rgb="FF63BE7B"/>
      </colorScale>
    </cfRule>
  </conditionalFormatting>
  <conditionalFormatting sqref="C29:C33">
    <cfRule type="colorScale" priority="8">
      <colorScale>
        <cfvo type="min"/>
        <cfvo type="percentile" val="50"/>
        <cfvo type="max"/>
        <color rgb="FFF8696B"/>
        <color rgb="FFFFEB84"/>
        <color rgb="FF63BE7B"/>
      </colorScale>
    </cfRule>
  </conditionalFormatting>
  <conditionalFormatting sqref="D2:D25">
    <cfRule type="colorScale" priority="7">
      <colorScale>
        <cfvo type="min"/>
        <cfvo type="percentile" val="50"/>
        <cfvo type="max"/>
        <color rgb="FFF8696B"/>
        <color rgb="FFFFEB84"/>
        <color rgb="FF63BE7B"/>
      </colorScale>
    </cfRule>
  </conditionalFormatting>
  <conditionalFormatting sqref="D29">
    <cfRule type="colorScale" priority="6">
      <colorScale>
        <cfvo type="min"/>
        <cfvo type="percentile" val="50"/>
        <cfvo type="max"/>
        <color rgb="FFF8696B"/>
        <color rgb="FFFFEB84"/>
        <color rgb="FF63BE7B"/>
      </colorScale>
    </cfRule>
  </conditionalFormatting>
  <conditionalFormatting sqref="D29:D33">
    <cfRule type="colorScale" priority="5">
      <colorScale>
        <cfvo type="min"/>
        <cfvo type="percentile" val="50"/>
        <cfvo type="max"/>
        <color rgb="FFF8696B"/>
        <color rgb="FFFFEB84"/>
        <color rgb="FF63BE7B"/>
      </colorScale>
    </cfRule>
  </conditionalFormatting>
  <conditionalFormatting sqref="B2:B25">
    <cfRule type="colorScale" priority="3">
      <colorScale>
        <cfvo type="min"/>
        <cfvo type="percentile" val="50"/>
        <cfvo type="max"/>
        <color rgb="FF63BE7B"/>
        <color rgb="FFFFEB84"/>
        <color rgb="FFF8696B"/>
      </colorScale>
    </cfRule>
  </conditionalFormatting>
  <conditionalFormatting sqref="B29:B33">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200" verticalDpi="200" r:id="rId1"/>
  <drawing r:id="rId2"/>
  <legacyDrawing r:id="rId3"/>
  <tableParts count="2">
    <tablePart r:id="rId4"/>
    <tablePart r:id="rId5"/>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2CA8B-A791-F04B-AF0C-E2D9DFBAD539}">
  <dimension ref="A1:P33"/>
  <sheetViews>
    <sheetView tabSelected="1" zoomScale="90" zoomScaleNormal="90" workbookViewId="0">
      <selection activeCell="A20" sqref="A20"/>
    </sheetView>
  </sheetViews>
  <sheetFormatPr baseColWidth="10" defaultColWidth="8.83203125" defaultRowHeight="15" x14ac:dyDescent="0.2"/>
  <cols>
    <col min="1" max="1" width="34.6640625" bestFit="1" customWidth="1"/>
    <col min="2" max="2" width="10.6640625" customWidth="1"/>
    <col min="3" max="3" width="13.1640625" customWidth="1"/>
    <col min="4" max="4" width="11.1640625" customWidth="1"/>
    <col min="5" max="5" width="14.33203125" bestFit="1" customWidth="1"/>
    <col min="6" max="6" width="11.6640625" bestFit="1" customWidth="1"/>
    <col min="7" max="7" width="14.33203125" bestFit="1" customWidth="1"/>
    <col min="8" max="8" width="9.33203125" hidden="1" customWidth="1"/>
    <col min="9" max="9" width="21.5" bestFit="1" customWidth="1"/>
    <col min="10" max="10" width="10.33203125" bestFit="1" customWidth="1"/>
    <col min="11" max="12" width="14.33203125" bestFit="1" customWidth="1"/>
    <col min="15" max="15" width="9.33203125" bestFit="1" customWidth="1"/>
  </cols>
  <sheetData>
    <row r="1" spans="1:15" x14ac:dyDescent="0.2">
      <c r="A1" s="8" t="s">
        <v>76</v>
      </c>
      <c r="B1" s="8" t="s">
        <v>100</v>
      </c>
      <c r="C1" s="9" t="s">
        <v>79</v>
      </c>
      <c r="D1" s="9" t="s">
        <v>94</v>
      </c>
      <c r="E1" s="9" t="s">
        <v>80</v>
      </c>
      <c r="F1" s="10" t="s">
        <v>81</v>
      </c>
      <c r="G1" s="9" t="s">
        <v>101</v>
      </c>
      <c r="H1" s="9" t="s">
        <v>98</v>
      </c>
      <c r="I1" s="9" t="s">
        <v>99</v>
      </c>
      <c r="J1" s="9" t="s">
        <v>102</v>
      </c>
      <c r="K1" s="43" t="s">
        <v>141</v>
      </c>
      <c r="L1" s="43" t="s">
        <v>142</v>
      </c>
      <c r="M1" s="43" t="s">
        <v>339</v>
      </c>
      <c r="N1" s="43" t="s">
        <v>372</v>
      </c>
    </row>
    <row r="2" spans="1:15" x14ac:dyDescent="0.2">
      <c r="A2" s="44" t="s">
        <v>56</v>
      </c>
      <c r="B2" s="26">
        <f>100-Table14[[#This Row],[% Acc Answer]]</f>
        <v>58.69451697127937</v>
      </c>
      <c r="C2" s="22">
        <v>2739.8</v>
      </c>
      <c r="D2" s="24">
        <f>SUMIF('Topic Post Count'!$D$2:$D$31,Table14[[#This Row],[Topic Name]],'Topic Post Count'!$H$2:$H$31)</f>
        <v>5745</v>
      </c>
      <c r="E2" s="17">
        <v>0.72</v>
      </c>
      <c r="F2" s="18">
        <v>2.4900000000000002</v>
      </c>
      <c r="G2" s="24">
        <f>VLOOKUP(Table14[[#This Row],[Topic Name]],Table2[],3,FALSE)</f>
        <v>222.37302001740599</v>
      </c>
      <c r="H2" s="24">
        <f>VLOOKUP(Table14[[#This Row],[Topic Name]],Table2[],2,FALSE)</f>
        <v>41.30548302872063</v>
      </c>
      <c r="I2" t="str">
        <f>VLOOKUP(Table14[[#This Row],[Topic Name]],'Topic Post Count'!$D$2:$E$31,2, FALSE)</f>
        <v>CI/CD Tool</v>
      </c>
      <c r="J2" s="25">
        <f>_xlfn.CEILING.MATH(Table14[[#This Row],[Posts]]/1000)*1000</f>
        <v>6000</v>
      </c>
      <c r="K2" s="24">
        <f>Table14[[#This Row],[Posts]]*Table14[[#This Row],[Avg. View]]</f>
        <v>15740151.000000002</v>
      </c>
      <c r="L2" s="25">
        <f>_xlfn.CEILING.MATH(Table14[[#This Row],[Post View]]/1000000)</f>
        <v>16</v>
      </c>
      <c r="M2" s="68">
        <f t="shared" ref="M2:M25" si="0">D2/$O$2</f>
        <v>3.2886263330528416E-2</v>
      </c>
      <c r="N2" t="s">
        <v>373</v>
      </c>
      <c r="O2" s="25">
        <f>SUM(Table14[Posts])</f>
        <v>174693</v>
      </c>
    </row>
    <row r="3" spans="1:15" x14ac:dyDescent="0.2">
      <c r="A3" s="44" t="s">
        <v>1</v>
      </c>
      <c r="B3" s="26">
        <f>100-Table14[[#This Row],[% Acc Answer]]</f>
        <v>60.100518806744489</v>
      </c>
      <c r="C3" s="22">
        <v>1415.8</v>
      </c>
      <c r="D3" s="24">
        <f>SUMIF('Topic Post Count'!$D$2:$D$31,Table14[[#This Row],[Topic Name]],'Topic Post Count'!$H$2:$H$31)</f>
        <v>6168</v>
      </c>
      <c r="E3" s="17">
        <v>0.56999999999999995</v>
      </c>
      <c r="F3" s="18">
        <v>2.09</v>
      </c>
      <c r="G3" s="24">
        <f>VLOOKUP(Table14[[#This Row],[Topic Name]],Table2[],3,FALSE)</f>
        <v>249.84176394293101</v>
      </c>
      <c r="H3" s="24">
        <f>VLOOKUP(Table14[[#This Row],[Topic Name]],Table2[],2,FALSE)</f>
        <v>39.899481193255511</v>
      </c>
      <c r="I3" t="str">
        <f>VLOOKUP(Table14[[#This Row],[Topic Name]],'Topic Post Count'!$D$2:$E$31,2, FALSE)</f>
        <v>CI/CD Tool</v>
      </c>
      <c r="J3" s="25">
        <f>_xlfn.CEILING.MATH(Table14[[#This Row],[Posts]]/1000)*1000</f>
        <v>7000</v>
      </c>
      <c r="K3" s="24">
        <f>Table14[[#This Row],[Posts]]*Table14[[#This Row],[Avg. View]]</f>
        <v>8732654.4000000004</v>
      </c>
      <c r="L3" s="25">
        <f>_xlfn.CEILING.MATH(Table14[[#This Row],[Post View]]/1000000)</f>
        <v>9</v>
      </c>
      <c r="M3" s="68">
        <f t="shared" si="0"/>
        <v>3.5307653998729198E-2</v>
      </c>
      <c r="N3" t="s">
        <v>374</v>
      </c>
    </row>
    <row r="4" spans="1:15" x14ac:dyDescent="0.2">
      <c r="A4" s="46" t="s">
        <v>5</v>
      </c>
      <c r="B4" s="26">
        <f>100-Table14[[#This Row],[% Acc Answer]]</f>
        <v>61.13493896403827</v>
      </c>
      <c r="C4" s="22">
        <v>1543.45</v>
      </c>
      <c r="D4" s="24">
        <f>SUMIF('Topic Post Count'!$D$2:$D$31,Table14[[#This Row],[Topic Name]],'Topic Post Count'!$H$2:$H$31)</f>
        <v>3031</v>
      </c>
      <c r="E4" s="17">
        <v>0.74</v>
      </c>
      <c r="F4" s="18">
        <v>2.38</v>
      </c>
      <c r="G4" s="24">
        <f>VLOOKUP(Table14[[#This Row],[Topic Name]],Table2[],3,FALSE)</f>
        <v>248.19333553282701</v>
      </c>
      <c r="H4" s="24">
        <f>VLOOKUP(Table14[[#This Row],[Topic Name]],Table2[],2,FALSE)</f>
        <v>38.86506103596173</v>
      </c>
      <c r="I4" t="str">
        <f>VLOOKUP(Table14[[#This Row],[Topic Name]],'Topic Post Count'!$D$2:$E$31,2, FALSE)</f>
        <v>CI/CD Tool</v>
      </c>
      <c r="J4" s="25">
        <f>_xlfn.CEILING.MATH(Table14[[#This Row],[Posts]]/1000)*1000</f>
        <v>4000</v>
      </c>
      <c r="K4" s="24">
        <f>Table14[[#This Row],[Posts]]*Table14[[#This Row],[Avg. View]]</f>
        <v>4678196.95</v>
      </c>
      <c r="L4" s="25">
        <f>_xlfn.CEILING.MATH(Table14[[#This Row],[Post View]]/1000000)</f>
        <v>5</v>
      </c>
      <c r="M4" s="68">
        <f t="shared" si="0"/>
        <v>1.7350437624861902E-2</v>
      </c>
      <c r="N4" t="s">
        <v>373</v>
      </c>
    </row>
    <row r="5" spans="1:15" x14ac:dyDescent="0.2">
      <c r="A5" s="46" t="s">
        <v>15</v>
      </c>
      <c r="B5" s="26">
        <f>100-Table14[[#This Row],[% Acc Answer]]</f>
        <v>61.684000000000005</v>
      </c>
      <c r="C5" s="22">
        <v>2502.9359999999997</v>
      </c>
      <c r="D5" s="24">
        <f>SUMIF('Topic Post Count'!$D$2:$D$31,Table14[[#This Row],[Topic Name]],'Topic Post Count'!$H$2:$H$31)</f>
        <v>23232</v>
      </c>
      <c r="E5" s="17">
        <v>0.53200000000000003</v>
      </c>
      <c r="F5" s="18">
        <v>2.1859999999999999</v>
      </c>
      <c r="G5" s="24">
        <f>VLOOKUP(Table14[[#This Row],[Topic Name]],Table2[],3,FALSE)</f>
        <v>193.76247778000001</v>
      </c>
      <c r="H5" s="24">
        <f>VLOOKUP(Table14[[#This Row],[Topic Name]],Table2[],2,FALSE)</f>
        <v>38.315999999999995</v>
      </c>
      <c r="I5" t="str">
        <f>VLOOKUP(Table14[[#This Row],[Topic Name]],'Topic Post Count'!$D$2:$E$31,2, FALSE)</f>
        <v>CI/CD Tool</v>
      </c>
      <c r="J5" s="25">
        <f>_xlfn.CEILING.MATH(Table14[[#This Row],[Posts]]/1000)*1000</f>
        <v>24000</v>
      </c>
      <c r="K5" s="24">
        <f>Table14[[#This Row],[Posts]]*Table14[[#This Row],[Avg. View]]</f>
        <v>58148209.151999995</v>
      </c>
      <c r="L5" s="25">
        <f>_xlfn.CEILING.MATH(Table14[[#This Row],[Post View]]/1000000)</f>
        <v>59</v>
      </c>
      <c r="M5" s="68">
        <f t="shared" si="0"/>
        <v>0.13298758393295668</v>
      </c>
      <c r="N5" t="s">
        <v>374</v>
      </c>
    </row>
    <row r="6" spans="1:15" x14ac:dyDescent="0.2">
      <c r="A6" s="46" t="s">
        <v>3</v>
      </c>
      <c r="B6" s="26">
        <f>100-Table14[[#This Row],[% Acc Answer]]</f>
        <v>62.115563839701771</v>
      </c>
      <c r="C6" s="22">
        <v>2065.02</v>
      </c>
      <c r="D6" s="24">
        <f>SUMIF('Topic Post Count'!$D$2:$D$31,Table14[[#This Row],[Topic Name]],'Topic Post Count'!$H$2:$H$31)</f>
        <v>8584</v>
      </c>
      <c r="E6" s="17">
        <v>0.7</v>
      </c>
      <c r="F6" s="18">
        <v>2.5499999999999998</v>
      </c>
      <c r="G6" s="24">
        <f>VLOOKUP(Table14[[#This Row],[Topic Name]],Table2[],3,FALSE)</f>
        <v>236.47122553588</v>
      </c>
      <c r="H6" s="24">
        <f>VLOOKUP(Table14[[#This Row],[Topic Name]],Table2[],2,FALSE)</f>
        <v>37.884436160298229</v>
      </c>
      <c r="I6" t="str">
        <f>VLOOKUP(Table14[[#This Row],[Topic Name]],'Topic Post Count'!$D$2:$E$31,2, FALSE)</f>
        <v>CI/CD Tool</v>
      </c>
      <c r="J6" s="25">
        <f>_xlfn.CEILING.MATH(Table14[[#This Row],[Posts]]/1000)*1000</f>
        <v>9000</v>
      </c>
      <c r="K6" s="24">
        <f>Table14[[#This Row],[Posts]]*Table14[[#This Row],[Avg. View]]</f>
        <v>17726131.68</v>
      </c>
      <c r="L6" s="25">
        <f>_xlfn.CEILING.MATH(Table14[[#This Row],[Post View]]/1000000)</f>
        <v>18</v>
      </c>
      <c r="M6" s="68">
        <f t="shared" si="0"/>
        <v>4.9137630013795633E-2</v>
      </c>
      <c r="N6" t="s">
        <v>373</v>
      </c>
    </row>
    <row r="7" spans="1:15" x14ac:dyDescent="0.2">
      <c r="A7" s="46" t="s">
        <v>8</v>
      </c>
      <c r="B7" s="26">
        <f>100-Table14[[#This Row],[% Acc Answer]]</f>
        <v>63.338954468802697</v>
      </c>
      <c r="C7" s="22">
        <v>2035.07</v>
      </c>
      <c r="D7" s="24">
        <f>SUMIF('Topic Post Count'!$D$2:$D$31,Table14[[#This Row],[Topic Name]],'Topic Post Count'!$H$2:$H$31)</f>
        <v>5930</v>
      </c>
      <c r="E7" s="17">
        <v>0.46</v>
      </c>
      <c r="F7" s="18">
        <v>1.78</v>
      </c>
      <c r="G7" s="24">
        <f>VLOOKUP(Table14[[#This Row],[Topic Name]],Table2[],3,FALSE)</f>
        <v>154.251096121416</v>
      </c>
      <c r="H7" s="24">
        <f>VLOOKUP(Table14[[#This Row],[Topic Name]],Table2[],2,FALSE)</f>
        <v>36.661045531197303</v>
      </c>
      <c r="I7" t="str">
        <f>VLOOKUP(Table14[[#This Row],[Topic Name]],'Topic Post Count'!$D$2:$E$31,2, FALSE)</f>
        <v>CI/CD Tool</v>
      </c>
      <c r="J7" s="25">
        <f>_xlfn.CEILING.MATH(Table14[[#This Row],[Posts]]/1000)*1000</f>
        <v>6000</v>
      </c>
      <c r="K7" s="24">
        <f>Table14[[#This Row],[Posts]]*Table14[[#This Row],[Avg. View]]</f>
        <v>12067965.1</v>
      </c>
      <c r="L7" s="25">
        <f>_xlfn.CEILING.MATH(Table14[[#This Row],[Post View]]/1000000)</f>
        <v>13</v>
      </c>
      <c r="M7" s="68">
        <f t="shared" si="0"/>
        <v>3.3945263977377453E-2</v>
      </c>
      <c r="N7" t="s">
        <v>374</v>
      </c>
    </row>
    <row r="8" spans="1:15" x14ac:dyDescent="0.2">
      <c r="A8" s="46" t="s">
        <v>11</v>
      </c>
      <c r="B8" s="26">
        <f>100-Table14[[#This Row],[% Acc Answer]]</f>
        <v>64.675767918088738</v>
      </c>
      <c r="C8" s="22">
        <v>2332.35</v>
      </c>
      <c r="D8" s="24">
        <f>SUMIF('Topic Post Count'!$D$2:$D$31,Table14[[#This Row],[Topic Name]],'Topic Post Count'!$H$2:$H$31)</f>
        <v>5274</v>
      </c>
      <c r="E8" s="17">
        <v>0.52</v>
      </c>
      <c r="F8" s="18">
        <v>1.9</v>
      </c>
      <c r="G8" s="24">
        <f>VLOOKUP(Table14[[#This Row],[Topic Name]],Table2[],3,FALSE)</f>
        <v>173.93117178611999</v>
      </c>
      <c r="H8" s="24">
        <f>VLOOKUP(Table14[[#This Row],[Topic Name]],Table2[],2,FALSE)</f>
        <v>35.324232081911262</v>
      </c>
      <c r="I8" t="str">
        <f>VLOOKUP(Table14[[#This Row],[Topic Name]],'Topic Post Count'!$D$2:$E$31,2, FALSE)</f>
        <v>CI/CD Tool</v>
      </c>
      <c r="J8" s="25">
        <f>_xlfn.CEILING.MATH(Table14[[#This Row],[Posts]]/1000)*1000</f>
        <v>6000</v>
      </c>
      <c r="K8" s="24">
        <f>Table14[[#This Row],[Posts]]*Table14[[#This Row],[Avg. View]]</f>
        <v>12300813.9</v>
      </c>
      <c r="L8" s="25">
        <f>_xlfn.CEILING.MATH(Table14[[#This Row],[Post View]]/1000000)</f>
        <v>13</v>
      </c>
      <c r="M8" s="68">
        <f t="shared" si="0"/>
        <v>3.0190104926928956E-2</v>
      </c>
      <c r="N8" t="s">
        <v>376</v>
      </c>
    </row>
    <row r="9" spans="1:15" x14ac:dyDescent="0.2">
      <c r="A9" s="44" t="s">
        <v>26</v>
      </c>
      <c r="B9" s="26">
        <f>100-Table14[[#This Row],[% Acc Answer]]</f>
        <v>45.806238289430176</v>
      </c>
      <c r="C9" s="22">
        <v>607.44000000000005</v>
      </c>
      <c r="D9" s="24">
        <f>SUMIF('Topic Post Count'!$D$2:$D$31,Table14[[#This Row],[Topic Name]],'Topic Post Count'!$H$2:$H$31)</f>
        <v>9073</v>
      </c>
      <c r="E9" s="17">
        <v>0.24</v>
      </c>
      <c r="F9" s="18">
        <v>1.0900000000000001</v>
      </c>
      <c r="G9" s="24">
        <f>VLOOKUP(Table14[[#This Row],[Topic Name]],Table2[],3,FALSE)</f>
        <v>131.64763584260899</v>
      </c>
      <c r="H9" s="24">
        <f>VLOOKUP(Table14[[#This Row],[Topic Name]],Table2[],2,FALSE)</f>
        <v>54.193761710569824</v>
      </c>
      <c r="I9" t="str">
        <f>VLOOKUP(Table14[[#This Row],[Topic Name]],'Topic Post Count'!$D$2:$E$31,2, FALSE)</f>
        <v>Cloud CI/CD</v>
      </c>
      <c r="J9" s="25">
        <f>_xlfn.CEILING.MATH(Table14[[#This Row],[Posts]]/1000)*1000</f>
        <v>10000</v>
      </c>
      <c r="K9" s="24">
        <f>Table14[[#This Row],[Posts]]*Table14[[#This Row],[Avg. View]]</f>
        <v>5511303.1200000001</v>
      </c>
      <c r="L9" s="25">
        <f>_xlfn.CEILING.MATH(Table14[[#This Row],[Post View]]/1000000)</f>
        <v>6</v>
      </c>
      <c r="M9" s="68">
        <f t="shared" si="0"/>
        <v>5.1936826318169586E-2</v>
      </c>
      <c r="N9" t="s">
        <v>374</v>
      </c>
    </row>
    <row r="10" spans="1:15" x14ac:dyDescent="0.2">
      <c r="A10" s="44" t="s">
        <v>22</v>
      </c>
      <c r="B10" s="26">
        <f>100-Table14[[#This Row],[% Acc Answer]]</f>
        <v>46.375753149534418</v>
      </c>
      <c r="C10" s="22">
        <v>1391.26</v>
      </c>
      <c r="D10" s="24">
        <f>SUMIF('Topic Post Count'!$D$2:$D$31,Table14[[#This Row],[Topic Name]],'Topic Post Count'!$H$2:$H$31)</f>
        <v>5477</v>
      </c>
      <c r="E10" s="17">
        <v>0.46</v>
      </c>
      <c r="F10" s="18">
        <v>1.93</v>
      </c>
      <c r="G10" s="24">
        <f>VLOOKUP(Table14[[#This Row],[Topic Name]],Table2[],3,FALSE)</f>
        <v>163.93609640314</v>
      </c>
      <c r="H10" s="24">
        <f>VLOOKUP(Table14[[#This Row],[Topic Name]],Table2[],2,FALSE)</f>
        <v>53.624246850465582</v>
      </c>
      <c r="I10" t="str">
        <f>VLOOKUP(Table14[[#This Row],[Topic Name]],'Topic Post Count'!$D$2:$E$31,2, FALSE)</f>
        <v>Cloud CI/CD</v>
      </c>
      <c r="J10" s="25">
        <f>_xlfn.CEILING.MATH(Table14[[#This Row],[Posts]]/1000)*1000</f>
        <v>6000</v>
      </c>
      <c r="K10" s="24">
        <f>Table14[[#This Row],[Posts]]*Table14[[#This Row],[Avg. View]]</f>
        <v>7619931.0199999996</v>
      </c>
      <c r="L10" s="25">
        <f>_xlfn.CEILING.MATH(Table14[[#This Row],[Post View]]/1000000)</f>
        <v>8</v>
      </c>
      <c r="M10" s="68">
        <f t="shared" si="0"/>
        <v>3.13521434745525E-2</v>
      </c>
      <c r="N10" t="s">
        <v>373</v>
      </c>
    </row>
    <row r="11" spans="1:15" x14ac:dyDescent="0.2">
      <c r="A11" s="44" t="s">
        <v>24</v>
      </c>
      <c r="B11" s="26">
        <f>100-Table14[[#This Row],[% Acc Answer]]</f>
        <v>56.761513640363745</v>
      </c>
      <c r="C11" s="22">
        <v>932.96</v>
      </c>
      <c r="D11" s="24">
        <f>SUMIF('Topic Post Count'!$D$2:$D$31,Table14[[#This Row],[Topic Name]],'Topic Post Count'!$H$2:$H$31)</f>
        <v>6818</v>
      </c>
      <c r="E11" s="17">
        <v>0.69</v>
      </c>
      <c r="F11" s="18">
        <v>1.75</v>
      </c>
      <c r="G11" s="24">
        <f>VLOOKUP(Table14[[#This Row],[Topic Name]],Table2[],3,FALSE)</f>
        <v>141.885303608096</v>
      </c>
      <c r="H11" s="24">
        <f>VLOOKUP(Table14[[#This Row],[Topic Name]],Table2[],2,FALSE)</f>
        <v>43.238486359636255</v>
      </c>
      <c r="I11" t="str">
        <f>VLOOKUP(Table14[[#This Row],[Topic Name]],'Topic Post Count'!$D$2:$E$31,2, FALSE)</f>
        <v>Cloud CI/CD</v>
      </c>
      <c r="J11" s="25">
        <f>_xlfn.CEILING.MATH(Table14[[#This Row],[Posts]]/1000)*1000</f>
        <v>7000</v>
      </c>
      <c r="K11" s="24">
        <f>Table14[[#This Row],[Posts]]*Table14[[#This Row],[Avg. View]]</f>
        <v>6360921.2800000003</v>
      </c>
      <c r="L11" s="25">
        <f>_xlfn.CEILING.MATH(Table14[[#This Row],[Post View]]/1000000)</f>
        <v>7</v>
      </c>
      <c r="M11" s="68">
        <f t="shared" si="0"/>
        <v>3.9028467082252868E-2</v>
      </c>
      <c r="N11" t="s">
        <v>376</v>
      </c>
    </row>
    <row r="12" spans="1:15" x14ac:dyDescent="0.2">
      <c r="A12" s="44" t="s">
        <v>29</v>
      </c>
      <c r="B12" s="26">
        <f>100-Table14[[#This Row],[% Acc Answer]]</f>
        <v>59.513192121887776</v>
      </c>
      <c r="C12" s="22">
        <v>421.06</v>
      </c>
      <c r="D12" s="24">
        <f>SUMIF('Topic Post Count'!$D$2:$D$31,Table14[[#This Row],[Topic Name]],'Topic Post Count'!$H$2:$H$31)</f>
        <v>5382</v>
      </c>
      <c r="E12" s="17">
        <v>0.16</v>
      </c>
      <c r="F12" s="18">
        <v>0.66</v>
      </c>
      <c r="G12" s="24">
        <f>VLOOKUP(Table14[[#This Row],[Topic Name]],Table2[],3,FALSE)</f>
        <v>74.293942772203593</v>
      </c>
      <c r="H12" s="24">
        <f>VLOOKUP(Table14[[#This Row],[Topic Name]],Table2[],2,FALSE)</f>
        <v>40.486807878112224</v>
      </c>
      <c r="I12" t="str">
        <f>VLOOKUP(Table14[[#This Row],[Topic Name]],'Topic Post Count'!$D$2:$E$31,2, FALSE)</f>
        <v>Cloud CI/CD</v>
      </c>
      <c r="J12" s="25">
        <f>_xlfn.CEILING.MATH(Table14[[#This Row],[Posts]]/1000)*1000</f>
        <v>6000</v>
      </c>
      <c r="K12" s="24">
        <f>Table14[[#This Row],[Posts]]*Table14[[#This Row],[Avg. View]]</f>
        <v>2266144.92</v>
      </c>
      <c r="L12" s="25">
        <f>_xlfn.CEILING.MATH(Table14[[#This Row],[Post View]]/1000000)</f>
        <v>3</v>
      </c>
      <c r="M12" s="68">
        <f t="shared" si="0"/>
        <v>3.0808332331575965E-2</v>
      </c>
      <c r="N12" t="s">
        <v>376</v>
      </c>
    </row>
    <row r="13" spans="1:15" x14ac:dyDescent="0.2">
      <c r="A13" s="44" t="s">
        <v>36</v>
      </c>
      <c r="B13" s="26">
        <f>100-Table14[[#This Row],[% Acc Answer]]</f>
        <v>57.213930348258707</v>
      </c>
      <c r="C13" s="22">
        <v>1381.11</v>
      </c>
      <c r="D13" s="24">
        <f>SUMIF('Topic Post Count'!$D$2:$D$31,Table14[[#This Row],[Topic Name]],'Topic Post Count'!$H$2:$H$31)</f>
        <v>8442</v>
      </c>
      <c r="E13" s="17">
        <v>0.46</v>
      </c>
      <c r="F13" s="18">
        <v>1.89</v>
      </c>
      <c r="G13" s="24">
        <f>VLOOKUP(Table14[[#This Row],[Topic Name]],Table2[],3,FALSE)</f>
        <v>127.395403932717</v>
      </c>
      <c r="H13" s="24">
        <f>VLOOKUP(Table14[[#This Row],[Topic Name]],Table2[],2,FALSE)</f>
        <v>42.786069651741293</v>
      </c>
      <c r="I13" t="str">
        <f>VLOOKUP(Table14[[#This Row],[Topic Name]],'Topic Post Count'!$D$2:$E$31,2, FALSE)</f>
        <v>Container &amp; Orchestration</v>
      </c>
      <c r="J13" s="25">
        <f>_xlfn.CEILING.MATH(Table14[[#This Row],[Posts]]/1000)*1000</f>
        <v>9000</v>
      </c>
      <c r="K13" s="24">
        <f>Table14[[#This Row],[Posts]]*Table14[[#This Row],[Avg. View]]</f>
        <v>11659330.619999999</v>
      </c>
      <c r="L13" s="25">
        <f>_xlfn.CEILING.MATH(Table14[[#This Row],[Post View]]/1000000)</f>
        <v>12</v>
      </c>
      <c r="M13" s="68">
        <f t="shared" si="0"/>
        <v>4.832477546324123E-2</v>
      </c>
      <c r="N13" t="s">
        <v>375</v>
      </c>
    </row>
    <row r="14" spans="1:15" x14ac:dyDescent="0.2">
      <c r="A14" s="44" t="s">
        <v>32</v>
      </c>
      <c r="B14" s="26">
        <f>100-Table14[[#This Row],[% Acc Answer]]</f>
        <v>59.135481288773263</v>
      </c>
      <c r="C14" s="22">
        <v>1434.59</v>
      </c>
      <c r="D14" s="24">
        <f>SUMIF('Topic Post Count'!$D$2:$D$31,Table14[[#This Row],[Topic Name]],'Topic Post Count'!$H$2:$H$31)</f>
        <v>4997</v>
      </c>
      <c r="E14" s="17">
        <v>0.6</v>
      </c>
      <c r="F14" s="18">
        <v>1.94</v>
      </c>
      <c r="G14" s="24">
        <f>VLOOKUP(Table14[[#This Row],[Topic Name]],Table2[],3,FALSE)</f>
        <v>138.48909345607299</v>
      </c>
      <c r="H14" s="24">
        <f>VLOOKUP(Table14[[#This Row],[Topic Name]],Table2[],2,FALSE)</f>
        <v>40.864518711226737</v>
      </c>
      <c r="I14" t="str">
        <f>VLOOKUP(Table14[[#This Row],[Topic Name]],'Topic Post Count'!$D$2:$E$31,2, FALSE)</f>
        <v>Container &amp; Orchestration</v>
      </c>
      <c r="J14" s="25">
        <f>_xlfn.CEILING.MATH(Table14[[#This Row],[Posts]]/1000)*1000</f>
        <v>5000</v>
      </c>
      <c r="K14" s="24">
        <f>Table14[[#This Row],[Posts]]*Table14[[#This Row],[Avg. View]]</f>
        <v>7168646.2299999995</v>
      </c>
      <c r="L14" s="25">
        <f>_xlfn.CEILING.MATH(Table14[[#This Row],[Post View]]/1000000)</f>
        <v>8</v>
      </c>
      <c r="M14" s="68">
        <f t="shared" si="0"/>
        <v>2.8604466120565792E-2</v>
      </c>
      <c r="N14" t="s">
        <v>375</v>
      </c>
    </row>
    <row r="15" spans="1:15" x14ac:dyDescent="0.2">
      <c r="A15" s="44" t="s">
        <v>34</v>
      </c>
      <c r="B15" s="26">
        <f>100-Table14[[#This Row],[% Acc Answer]]</f>
        <v>59.9168303107312</v>
      </c>
      <c r="C15" s="22">
        <v>1020.49</v>
      </c>
      <c r="D15" s="24">
        <f>SUMIF('Topic Post Count'!$D$2:$D$31,Table14[[#This Row],[Topic Name]],'Topic Post Count'!$H$2:$H$31)</f>
        <v>8657</v>
      </c>
      <c r="E15" s="17">
        <v>0.42</v>
      </c>
      <c r="F15" s="18">
        <v>1.44</v>
      </c>
      <c r="G15" s="24">
        <f>VLOOKUP(Table14[[#This Row],[Topic Name]],Table2[],3,FALSE)</f>
        <v>105.934272842786</v>
      </c>
      <c r="H15" s="24">
        <f>VLOOKUP(Table14[[#This Row],[Topic Name]],Table2[],2,FALSE)</f>
        <v>40.0831696892688</v>
      </c>
      <c r="I15" t="str">
        <f>VLOOKUP(Table14[[#This Row],[Topic Name]],'Topic Post Count'!$D$2:$E$31,2, FALSE)</f>
        <v>Container &amp; Orchestration</v>
      </c>
      <c r="J15" s="25">
        <f>_xlfn.CEILING.MATH(Table14[[#This Row],[Posts]]/1000)*1000</f>
        <v>9000</v>
      </c>
      <c r="K15" s="24">
        <f>Table14[[#This Row],[Posts]]*Table14[[#This Row],[Avg. View]]</f>
        <v>8834381.9299999997</v>
      </c>
      <c r="L15" s="25">
        <f>_xlfn.CEILING.MATH(Table14[[#This Row],[Post View]]/1000000)</f>
        <v>9</v>
      </c>
      <c r="M15" s="68">
        <f t="shared" si="0"/>
        <v>4.9555505944714445E-2</v>
      </c>
      <c r="N15" t="s">
        <v>375</v>
      </c>
    </row>
    <row r="16" spans="1:15" x14ac:dyDescent="0.2">
      <c r="A16" s="44" t="s">
        <v>38</v>
      </c>
      <c r="B16" s="26">
        <f>100-Table14[[#This Row],[% Acc Answer]]</f>
        <v>61.847964376590333</v>
      </c>
      <c r="C16" s="22">
        <v>921.61</v>
      </c>
      <c r="D16" s="24">
        <f>SUMIF('Topic Post Count'!$D$2:$D$31,Table14[[#This Row],[Topic Name]],'Topic Post Count'!$H$2:$H$31)</f>
        <v>6288</v>
      </c>
      <c r="E16" s="17">
        <v>0.38</v>
      </c>
      <c r="F16" s="18">
        <v>1.38</v>
      </c>
      <c r="G16" s="24">
        <f>VLOOKUP(Table14[[#This Row],[Topic Name]],Table2[],3,FALSE)</f>
        <v>107.15251272264599</v>
      </c>
      <c r="H16" s="24">
        <f>VLOOKUP(Table14[[#This Row],[Topic Name]],Table2[],2,FALSE)</f>
        <v>38.152035623409667</v>
      </c>
      <c r="I16" t="str">
        <f>VLOOKUP(Table14[[#This Row],[Topic Name]],'Topic Post Count'!$D$2:$E$31,2, FALSE)</f>
        <v>Container &amp; Orchestration</v>
      </c>
      <c r="J16" s="25">
        <f>_xlfn.CEILING.MATH(Table14[[#This Row],[Posts]]/1000)*1000</f>
        <v>7000</v>
      </c>
      <c r="K16" s="24">
        <f>Table14[[#This Row],[Posts]]*Table14[[#This Row],[Avg. View]]</f>
        <v>5795083.6799999997</v>
      </c>
      <c r="L16" s="25">
        <f>_xlfn.CEILING.MATH(Table14[[#This Row],[Post View]]/1000000)</f>
        <v>6</v>
      </c>
      <c r="M16" s="68">
        <f t="shared" si="0"/>
        <v>3.5994573337225874E-2</v>
      </c>
      <c r="N16" t="s">
        <v>375</v>
      </c>
    </row>
    <row r="17" spans="1:16" x14ac:dyDescent="0.2">
      <c r="A17" s="44" t="s">
        <v>51</v>
      </c>
      <c r="B17" s="26">
        <f>100-Table14[[#This Row],[% Acc Answer]]</f>
        <v>44.928409947249435</v>
      </c>
      <c r="C17" s="22">
        <v>2018.2</v>
      </c>
      <c r="D17" s="24">
        <f>SUMIF('Topic Post Count'!$D$2:$D$31,Table14[[#This Row],[Topic Name]],'Topic Post Count'!$H$2:$H$31)</f>
        <v>6635</v>
      </c>
      <c r="E17" s="17">
        <v>0.28999999999999998</v>
      </c>
      <c r="F17" s="18">
        <v>1.44</v>
      </c>
      <c r="G17" s="24">
        <f>VLOOKUP(Table14[[#This Row],[Topic Name]],Table2[],3,FALSE)</f>
        <v>72.862697814619395</v>
      </c>
      <c r="H17" s="24">
        <f>VLOOKUP(Table14[[#This Row],[Topic Name]],Table2[],2,FALSE)</f>
        <v>55.071590052750565</v>
      </c>
      <c r="I17" t="str">
        <f>VLOOKUP(Table14[[#This Row],[Topic Name]],'Topic Post Count'!$D$2:$E$31,2, FALSE)</f>
        <v>Infra as a Code</v>
      </c>
      <c r="J17" s="25">
        <f>_xlfn.CEILING.MATH(Table14[[#This Row],[Posts]]/1000)*1000</f>
        <v>7000</v>
      </c>
      <c r="K17" s="24">
        <f>Table14[[#This Row],[Posts]]*Table14[[#This Row],[Avg. View]]</f>
        <v>13390757</v>
      </c>
      <c r="L17" s="25">
        <f>_xlfn.CEILING.MATH(Table14[[#This Row],[Post View]]/1000000)</f>
        <v>14</v>
      </c>
      <c r="M17" s="68">
        <f t="shared" si="0"/>
        <v>3.7980915091045432E-2</v>
      </c>
      <c r="N17" t="s">
        <v>376</v>
      </c>
    </row>
    <row r="18" spans="1:16" x14ac:dyDescent="0.2">
      <c r="A18" s="44" t="s">
        <v>43</v>
      </c>
      <c r="B18" s="26">
        <f>100-Table14[[#This Row],[% Acc Answer]]</f>
        <v>51.598694675722783</v>
      </c>
      <c r="C18" s="22">
        <v>2177.42</v>
      </c>
      <c r="D18" s="24">
        <f>SUMIF('Topic Post Count'!$D$2:$D$31,Table14[[#This Row],[Topic Name]],'Topic Post Count'!$H$2:$H$31)</f>
        <v>15040</v>
      </c>
      <c r="E18" s="17">
        <v>0.44500000000000001</v>
      </c>
      <c r="F18" s="18">
        <v>1.8650000000000002</v>
      </c>
      <c r="G18" s="24">
        <f>VLOOKUP(Table14[[#This Row],[Topic Name]],Table2[],3,FALSE)</f>
        <v>145.17871698488301</v>
      </c>
      <c r="H18" s="24">
        <f>VLOOKUP(Table14[[#This Row],[Topic Name]],Table2[],2,FALSE)</f>
        <v>48.401305324277217</v>
      </c>
      <c r="I18" t="str">
        <f>VLOOKUP(Table14[[#This Row],[Topic Name]],'Topic Post Count'!$D$2:$E$31,2, FALSE)</f>
        <v>Infra as a Code</v>
      </c>
      <c r="J18" s="25">
        <f>_xlfn.CEILING.MATH(Table14[[#This Row],[Posts]]/1000)*1000</f>
        <v>16000</v>
      </c>
      <c r="K18" s="24">
        <f>Table14[[#This Row],[Posts]]*Table14[[#This Row],[Avg. View]]</f>
        <v>32748396.800000001</v>
      </c>
      <c r="L18" s="25">
        <f>_xlfn.CEILING.MATH(Table14[[#This Row],[Post View]]/1000000)</f>
        <v>33</v>
      </c>
      <c r="M18" s="68">
        <f t="shared" si="0"/>
        <v>8.6093890424916858E-2</v>
      </c>
      <c r="N18" t="s">
        <v>43</v>
      </c>
    </row>
    <row r="19" spans="1:16" x14ac:dyDescent="0.2">
      <c r="A19" s="44" t="s">
        <v>75</v>
      </c>
      <c r="B19" s="26">
        <f>100-Table14[[#This Row],[% Acc Answer]]</f>
        <v>57.363210478972036</v>
      </c>
      <c r="C19" s="22">
        <v>1087.365</v>
      </c>
      <c r="D19" s="24">
        <f>SUMIF('Topic Post Count'!$D$2:$D$31,Table14[[#This Row],[Topic Name]],'Topic Post Count'!$H$2:$H$31)</f>
        <v>10831</v>
      </c>
      <c r="E19" s="17">
        <v>0.38</v>
      </c>
      <c r="F19" s="18">
        <v>1.615</v>
      </c>
      <c r="G19" s="24">
        <f>VLOOKUP(Table14[[#This Row],[Topic Name]],Table2[],3,FALSE)</f>
        <v>132.5692661869746</v>
      </c>
      <c r="H19" s="24">
        <f>VLOOKUP(Table14[[#This Row],[Topic Name]],Table2[],2,FALSE)</f>
        <v>42.636789521027964</v>
      </c>
      <c r="I19" t="str">
        <f>VLOOKUP(Table14[[#This Row],[Topic Name]],'Topic Post Count'!$D$2:$E$31,2, FALSE)</f>
        <v>Infra as a Code</v>
      </c>
      <c r="J19" s="25">
        <f>_xlfn.CEILING.MATH(Table14[[#This Row],[Posts]]/1000)*1000</f>
        <v>11000</v>
      </c>
      <c r="K19" s="24">
        <f>Table14[[#This Row],[Posts]]*Table14[[#This Row],[Avg. View]]</f>
        <v>11777250.314999999</v>
      </c>
      <c r="L19" s="25">
        <f>_xlfn.CEILING.MATH(Table14[[#This Row],[Post View]]/1000000)</f>
        <v>12</v>
      </c>
      <c r="M19" s="68">
        <f t="shared" si="0"/>
        <v>6.2000194627145906E-2</v>
      </c>
      <c r="N19" t="s">
        <v>376</v>
      </c>
    </row>
    <row r="20" spans="1:16" x14ac:dyDescent="0.2">
      <c r="A20" s="44" t="s">
        <v>95</v>
      </c>
      <c r="B20" s="26">
        <f>100-Table14[[#This Row],[% Acc Answer]]</f>
        <v>58.130762782900248</v>
      </c>
      <c r="C20" s="22">
        <v>2805.36</v>
      </c>
      <c r="D20" s="24">
        <f>SUMIF('Topic Post Count'!$D$2:$D$31,Table14[[#This Row],[Topic Name]],'Topic Post Count'!$H$2:$H$31)</f>
        <v>4772</v>
      </c>
      <c r="E20" s="17">
        <v>0.4</v>
      </c>
      <c r="F20" s="18">
        <v>2.0499999999999998</v>
      </c>
      <c r="G20" s="24">
        <f>VLOOKUP(Table14[[#This Row],[Topic Name]],Table2[],3,FALSE)</f>
        <v>191.25230511315999</v>
      </c>
      <c r="H20" s="24">
        <f>VLOOKUP(Table14[[#This Row],[Topic Name]],Table2[],2,FALSE)</f>
        <v>41.869237217099752</v>
      </c>
      <c r="I20" t="str">
        <f>VLOOKUP(Table14[[#This Row],[Topic Name]],'Topic Post Count'!$D$2:$E$31,2, FALSE)</f>
        <v>Infra as a Code</v>
      </c>
      <c r="J20" s="25">
        <f>_xlfn.CEILING.MATH(Table14[[#This Row],[Posts]]/1000)*1000</f>
        <v>5000</v>
      </c>
      <c r="K20" s="24">
        <f>Table14[[#This Row],[Posts]]*Table14[[#This Row],[Avg. View]]</f>
        <v>13387177.92</v>
      </c>
      <c r="L20" s="25">
        <f>_xlfn.CEILING.MATH(Table14[[#This Row],[Post View]]/1000000)</f>
        <v>14</v>
      </c>
      <c r="M20" s="68">
        <f t="shared" si="0"/>
        <v>2.7316492360884521E-2</v>
      </c>
      <c r="N20" t="s">
        <v>376</v>
      </c>
    </row>
    <row r="21" spans="1:16" x14ac:dyDescent="0.2">
      <c r="A21" s="44" t="s">
        <v>96</v>
      </c>
      <c r="B21" s="26">
        <f>100-Table14[[#This Row],[% Acc Answer]]</f>
        <v>58.61440291704649</v>
      </c>
      <c r="C21" s="22">
        <v>2508.8200000000002</v>
      </c>
      <c r="D21" s="24">
        <f>SUMIF('Topic Post Count'!$D$2:$D$31,Table14[[#This Row],[Topic Name]],'Topic Post Count'!$H$2:$H$31)</f>
        <v>4388</v>
      </c>
      <c r="E21" s="17">
        <v>0.63</v>
      </c>
      <c r="F21" s="18">
        <v>2.23</v>
      </c>
      <c r="G21" s="24">
        <f>VLOOKUP(Table14[[#This Row],[Topic Name]],Table2[],3,FALSE)</f>
        <v>216.372835004557</v>
      </c>
      <c r="H21" s="24">
        <f>VLOOKUP(Table14[[#This Row],[Topic Name]],Table2[],2,FALSE)</f>
        <v>41.38559708295351</v>
      </c>
      <c r="I21" t="str">
        <f>VLOOKUP(Table14[[#This Row],[Topic Name]],'Topic Post Count'!$D$2:$E$31,2, FALSE)</f>
        <v>Infra as a Code</v>
      </c>
      <c r="J21" s="25">
        <f>_xlfn.CEILING.MATH(Table14[[#This Row],[Posts]]/1000)*1000</f>
        <v>5000</v>
      </c>
      <c r="K21" s="24">
        <f>Table14[[#This Row],[Posts]]*Table14[[#This Row],[Avg. View]]</f>
        <v>11008702.16</v>
      </c>
      <c r="L21" s="25">
        <f>_xlfn.CEILING.MATH(Table14[[#This Row],[Post View]]/1000000)</f>
        <v>12</v>
      </c>
      <c r="M21" s="68">
        <f t="shared" si="0"/>
        <v>2.5118350477695155E-2</v>
      </c>
      <c r="N21" t="s">
        <v>376</v>
      </c>
      <c r="P21" s="25"/>
    </row>
    <row r="22" spans="1:16" x14ac:dyDescent="0.2">
      <c r="A22" s="44" t="s">
        <v>59</v>
      </c>
      <c r="B22" s="26">
        <f>100-Table14[[#This Row],[% Acc Answer]]</f>
        <v>59.050712867713408</v>
      </c>
      <c r="C22" s="22">
        <v>2603.13</v>
      </c>
      <c r="D22" s="24">
        <f>SUMIF('Topic Post Count'!$D$2:$D$31,Table14[[#This Row],[Topic Name]],'Topic Post Count'!$H$2:$H$31)</f>
        <v>5541</v>
      </c>
      <c r="E22" s="17">
        <v>0.39</v>
      </c>
      <c r="F22" s="18">
        <v>1.75</v>
      </c>
      <c r="G22" s="24">
        <f>VLOOKUP(Table14[[#This Row],[Topic Name]],Table2[],3,FALSE)</f>
        <v>134.81537628586801</v>
      </c>
      <c r="H22" s="24">
        <f>VLOOKUP(Table14[[#This Row],[Topic Name]],Table2[],2,FALSE)</f>
        <v>40.949287132286592</v>
      </c>
      <c r="I22" t="str">
        <f>VLOOKUP(Table14[[#This Row],[Topic Name]],'Topic Post Count'!$D$2:$E$31,2, FALSE)</f>
        <v>Infra as a Code</v>
      </c>
      <c r="J22" s="25">
        <f>_xlfn.CEILING.MATH(Table14[[#This Row],[Posts]]/1000)*1000</f>
        <v>6000</v>
      </c>
      <c r="K22" s="24">
        <f>Table14[[#This Row],[Posts]]*Table14[[#This Row],[Avg. View]]</f>
        <v>14423943.33</v>
      </c>
      <c r="L22" s="25">
        <f>_xlfn.CEILING.MATH(Table14[[#This Row],[Post View]]/1000000)</f>
        <v>15</v>
      </c>
      <c r="M22" s="68">
        <f t="shared" si="0"/>
        <v>3.1718500455084064E-2</v>
      </c>
      <c r="N22" t="s">
        <v>43</v>
      </c>
    </row>
    <row r="23" spans="1:16" x14ac:dyDescent="0.2">
      <c r="A23" s="44" t="s">
        <v>97</v>
      </c>
      <c r="B23" s="26">
        <f>100-Table14[[#This Row],[% Acc Answer]]</f>
        <v>65.554553651938676</v>
      </c>
      <c r="C23" s="22">
        <v>1970.01</v>
      </c>
      <c r="D23" s="24">
        <f>SUMIF('Topic Post Count'!$D$2:$D$31,Table14[[#This Row],[Topic Name]],'Topic Post Count'!$H$2:$H$31)</f>
        <v>3327</v>
      </c>
      <c r="E23" s="17">
        <v>0.42</v>
      </c>
      <c r="F23" s="18">
        <v>1.74</v>
      </c>
      <c r="G23" s="24">
        <f>VLOOKUP(Table14[[#This Row],[Topic Name]],Table2[],3,FALSE)</f>
        <v>131.665163811241</v>
      </c>
      <c r="H23" s="24">
        <f>VLOOKUP(Table14[[#This Row],[Topic Name]],Table2[],2,FALSE)</f>
        <v>34.445446348061317</v>
      </c>
      <c r="I23" t="str">
        <f>VLOOKUP(Table14[[#This Row],[Topic Name]],'Topic Post Count'!$D$2:$E$31,2, FALSE)</f>
        <v>Infra as a Code</v>
      </c>
      <c r="J23" s="25">
        <f>_xlfn.CEILING.MATH(Table14[[#This Row],[Posts]]/1000)*1000</f>
        <v>4000</v>
      </c>
      <c r="K23" s="24">
        <f>Table14[[#This Row],[Posts]]*Table14[[#This Row],[Avg. View]]</f>
        <v>6554223.2699999996</v>
      </c>
      <c r="L23" s="25">
        <f>_xlfn.CEILING.MATH(Table14[[#This Row],[Post View]]/1000000)</f>
        <v>7</v>
      </c>
      <c r="M23" s="68">
        <f t="shared" si="0"/>
        <v>1.904483865982037E-2</v>
      </c>
      <c r="N23" t="s">
        <v>376</v>
      </c>
      <c r="P23" s="25"/>
    </row>
    <row r="24" spans="1:16" x14ac:dyDescent="0.2">
      <c r="A24" s="44" t="s">
        <v>71</v>
      </c>
      <c r="B24" s="26">
        <f>100-Table14[[#This Row],[% Acc Answer]]</f>
        <v>63.717306622148023</v>
      </c>
      <c r="C24" s="22">
        <v>2061.62</v>
      </c>
      <c r="D24" s="24">
        <f>SUMIF('Topic Post Count'!$D$2:$D$31,Table14[[#This Row],[Topic Name]],'Topic Post Count'!$H$2:$H$31)</f>
        <v>5391</v>
      </c>
      <c r="E24" s="17">
        <v>0.46</v>
      </c>
      <c r="F24" s="18">
        <v>1.95</v>
      </c>
      <c r="G24" s="24">
        <f>VLOOKUP(Table14[[#This Row],[Topic Name]],Table2[],3,FALSE)</f>
        <v>251.053422370617</v>
      </c>
      <c r="H24" s="24">
        <f>VLOOKUP(Table14[[#This Row],[Topic Name]],Table2[],2,FALSE)</f>
        <v>36.282693377851977</v>
      </c>
      <c r="I24" t="str">
        <f>VLOOKUP(Table14[[#This Row],[Topic Name]],'Topic Post Count'!$D$2:$E$31,2, FALSE)</f>
        <v>Quality Assurance</v>
      </c>
      <c r="J24" s="25">
        <f>_xlfn.CEILING.MATH(Table14[[#This Row],[Posts]]/1000)*1000</f>
        <v>6000</v>
      </c>
      <c r="K24" s="24">
        <f>Table14[[#This Row],[Posts]]*Table14[[#This Row],[Avg. View]]</f>
        <v>11114193.42</v>
      </c>
      <c r="L24" s="25">
        <f>_xlfn.CEILING.MATH(Table14[[#This Row],[Post View]]/1000000)</f>
        <v>12</v>
      </c>
      <c r="M24" s="68">
        <f t="shared" si="0"/>
        <v>3.0859851281963214E-2</v>
      </c>
      <c r="N24" t="s">
        <v>377</v>
      </c>
      <c r="P24" s="25"/>
    </row>
    <row r="25" spans="1:16" x14ac:dyDescent="0.2">
      <c r="A25" s="45" t="s">
        <v>68</v>
      </c>
      <c r="B25" s="27">
        <f>100-Table14[[#This Row],[% Acc Answer]]</f>
        <v>63.932980599647266</v>
      </c>
      <c r="C25" s="23">
        <v>1399.63</v>
      </c>
      <c r="D25" s="24">
        <f>SUMIF('Topic Post Count'!$D$2:$D$31,Table14[[#This Row],[Topic Name]],'Topic Post Count'!$H$2:$H$31)</f>
        <v>5670</v>
      </c>
      <c r="E25" s="20">
        <v>0.5</v>
      </c>
      <c r="F25" s="21">
        <v>1.65</v>
      </c>
      <c r="G25" s="24">
        <f>VLOOKUP(Table14[[#This Row],[Topic Name]],Table2[],3,FALSE)</f>
        <v>196.93756613756599</v>
      </c>
      <c r="H25" s="24">
        <f>VLOOKUP(Table14[[#This Row],[Topic Name]],Table2[],2,FALSE)</f>
        <v>36.067019400352734</v>
      </c>
      <c r="I25" t="str">
        <f>VLOOKUP(Table14[[#This Row],[Topic Name]],'Topic Post Count'!$D$2:$E$31,2, FALSE)</f>
        <v>Quality Assurance</v>
      </c>
      <c r="J25" s="25">
        <f>_xlfn.CEILING.MATH(Table14[[#This Row],[Posts]]/1000)*1000</f>
        <v>6000</v>
      </c>
      <c r="K25" s="24">
        <f>Table14[[#This Row],[Posts]]*Table14[[#This Row],[Avg. View]]</f>
        <v>7935902.1000000006</v>
      </c>
      <c r="L25" s="25">
        <f>_xlfn.CEILING.MATH(Table14[[#This Row],[Post View]]/1000000)</f>
        <v>8</v>
      </c>
      <c r="M25" s="68">
        <f t="shared" si="0"/>
        <v>3.2456938743967989E-2</v>
      </c>
      <c r="N25" t="s">
        <v>377</v>
      </c>
    </row>
    <row r="26" spans="1:16" x14ac:dyDescent="0.2">
      <c r="A26" s="11"/>
      <c r="B26" s="27">
        <f>MEDIAN(Table14[Difficulty])</f>
        <v>59.324336705330524</v>
      </c>
      <c r="C26" s="27">
        <f>MEDIAN(Table14[Avg. View])</f>
        <v>1756.73</v>
      </c>
      <c r="D26" s="34">
        <f>MEDIAN(Table14[Posts])</f>
        <v>5837.5</v>
      </c>
      <c r="E26" s="35"/>
      <c r="F26" s="36"/>
      <c r="G26" s="37">
        <f>MEDIAN(Table14[Ans Hour])</f>
        <v>149.71490655314949</v>
      </c>
      <c r="H26" s="37"/>
      <c r="I26" s="29"/>
      <c r="J26" s="28">
        <f>MEDIAN(Table14[Median])</f>
        <v>6000</v>
      </c>
      <c r="K26" s="40"/>
      <c r="L26" s="40"/>
      <c r="M26" s="40"/>
      <c r="N26" s="40"/>
    </row>
    <row r="28" spans="1:16" x14ac:dyDescent="0.2">
      <c r="A28" t="s">
        <v>99</v>
      </c>
      <c r="B28" t="s">
        <v>100</v>
      </c>
      <c r="C28" t="s">
        <v>79</v>
      </c>
      <c r="D28" t="s">
        <v>94</v>
      </c>
      <c r="E28" t="s">
        <v>80</v>
      </c>
      <c r="F28" t="s">
        <v>81</v>
      </c>
      <c r="G28" t="s">
        <v>101</v>
      </c>
      <c r="H28" t="s">
        <v>98</v>
      </c>
      <c r="J28" s="25">
        <f>SUM(D4:D8)</f>
        <v>46051</v>
      </c>
      <c r="K28" t="s">
        <v>340</v>
      </c>
    </row>
    <row r="29" spans="1:16" x14ac:dyDescent="0.2">
      <c r="A29" t="s">
        <v>93</v>
      </c>
      <c r="B29" s="24">
        <f>100-Table55[[#This Row],[% Acc Answer]]</f>
        <v>52.114174300304029</v>
      </c>
      <c r="C29" s="24">
        <f>AVERAGEIF(Table14[Category],$A29,Table14[Avg. View])</f>
        <v>838.18</v>
      </c>
      <c r="D29" s="24">
        <f>SUMIF(Table14[Category],$A29,Table14[Posts])</f>
        <v>26750</v>
      </c>
      <c r="E29" s="19">
        <f>AVERAGEIF(Table14[Category],$A29,Table14[Avg. Favorite])</f>
        <v>0.38749999999999996</v>
      </c>
      <c r="F29" s="19">
        <f>AVERAGEIF(Table14[Category],$A29,Table14[Avg. Score])</f>
        <v>1.3574999999999999</v>
      </c>
      <c r="G29" s="24">
        <f>AVERAGEIF(Table14[Category],$A29,Table14[Ans Hour])</f>
        <v>127.94074465651214</v>
      </c>
      <c r="H29" s="24">
        <f>AVERAGEIF(Table14[Category],$A29,Table14[% Acc Answer])</f>
        <v>47.885825699695971</v>
      </c>
      <c r="I29">
        <f>Table55[[#This Row],[Posts]]/J29</f>
        <v>0.15312576920655091</v>
      </c>
      <c r="J29" s="25">
        <f>SUM(Table14[Posts])</f>
        <v>174693</v>
      </c>
      <c r="K29" t="s">
        <v>341</v>
      </c>
    </row>
    <row r="30" spans="1:16" x14ac:dyDescent="0.2">
      <c r="A30" t="s">
        <v>31</v>
      </c>
      <c r="B30" s="24">
        <f>100-Table55[[#This Row],[% Acc Answer]]</f>
        <v>59.528551581088379</v>
      </c>
      <c r="C30" s="24">
        <f>AVERAGEIF(Table14[Category],$A30,Table14[Avg. View])</f>
        <v>1189.4499999999998</v>
      </c>
      <c r="D30" s="25">
        <f>SUMIF(Table14[Category],$A30,Table14[Posts])</f>
        <v>28384</v>
      </c>
      <c r="E30" s="19">
        <f>AVERAGEIF(Table14[Category],$A30,Table14[Avg. Favorite])</f>
        <v>0.46499999999999997</v>
      </c>
      <c r="F30" s="19">
        <f>AVERAGEIF(Table14[Category],$A30,Table14[Avg. Score])</f>
        <v>1.6624999999999999</v>
      </c>
      <c r="G30" s="24">
        <f>AVERAGEIF(Table14[Category],$A30,Table14[Ans Hour])</f>
        <v>119.74282073855551</v>
      </c>
      <c r="H30" s="24">
        <f>AVERAGEIF(Table14[Category],$A30,Table14[% Acc Answer])</f>
        <v>40.471448418911621</v>
      </c>
      <c r="J30" s="68">
        <f>J28/J29</f>
        <v>0.26361102047592061</v>
      </c>
      <c r="K30" t="s">
        <v>342</v>
      </c>
    </row>
    <row r="31" spans="1:16" x14ac:dyDescent="0.2">
      <c r="A31" t="s">
        <v>67</v>
      </c>
      <c r="B31" s="24">
        <f>100-Table55[[#This Row],[% Acc Answer]]</f>
        <v>63.825143610897641</v>
      </c>
      <c r="C31" s="24">
        <f>AVERAGEIF(Table14[Category],$A31,Table14[Avg. View])</f>
        <v>1730.625</v>
      </c>
      <c r="D31" s="25">
        <f>SUMIF(Table14[Category],$A31,Table14[Posts])</f>
        <v>11061</v>
      </c>
      <c r="E31" s="19">
        <f>AVERAGEIF(Table14[Category],$A31,Table14[Avg. Favorite])</f>
        <v>0.48</v>
      </c>
      <c r="F31" s="19">
        <f>AVERAGEIF(Table14[Category],$A31,Table14[Avg. Score])</f>
        <v>1.7999999999999998</v>
      </c>
      <c r="G31" s="24">
        <f>AVERAGEIF(Table14[Category],$A31,Table14[Ans Hour])</f>
        <v>223.99549425409151</v>
      </c>
      <c r="H31" s="24">
        <f>AVERAGEIF(Table14[Category],$A31,Table14[% Acc Answer])</f>
        <v>36.174856389102359</v>
      </c>
    </row>
    <row r="32" spans="1:16" x14ac:dyDescent="0.2">
      <c r="A32" t="s">
        <v>0</v>
      </c>
      <c r="B32" s="24">
        <f>100-Table55[[#This Row],[% Acc Answer]]</f>
        <v>61.677751566950761</v>
      </c>
      <c r="C32" s="24">
        <f>AVERAGEIF(Table14[Category],$A32,Table14[Avg. View])</f>
        <v>2090.6322857142859</v>
      </c>
      <c r="D32" s="25">
        <f>SUMIF(Table14[Category],$A32,Table14[Posts])</f>
        <v>57964</v>
      </c>
      <c r="E32" s="19">
        <f>AVERAGEIF(Table14[Category],$A32,Table14[Avg. Favorite])</f>
        <v>0.60600000000000009</v>
      </c>
      <c r="F32" s="19">
        <f>AVERAGEIF(Table14[Category],$A32,Table14[Avg. Score])</f>
        <v>2.1965714285714286</v>
      </c>
      <c r="G32" s="24">
        <f>AVERAGEIF(Table14[Category],$A32,Table14[Ans Hour])</f>
        <v>211.26058438808286</v>
      </c>
      <c r="H32" s="24">
        <f>AVERAGEIF(Table14[Category],$A32,Table14[% Acc Answer])</f>
        <v>38.322248433049239</v>
      </c>
      <c r="K32" s="25">
        <f>SUMPRODUCT(Table14[Difficulty],Table14[Posts])/100</f>
        <v>101204.87988620617</v>
      </c>
    </row>
    <row r="33" spans="1:10" x14ac:dyDescent="0.2">
      <c r="A33" t="s">
        <v>48</v>
      </c>
      <c r="B33" s="24">
        <f>100-Table55[[#This Row],[% Acc Answer]]</f>
        <v>56.462963903077586</v>
      </c>
      <c r="C33" s="24">
        <f>AVERAGEIF(Table14[Category],$A33,Table14[Avg. View])</f>
        <v>2167.1864285714282</v>
      </c>
      <c r="D33" s="25">
        <f>SUMIF(Table14[Category],$A33,Table14[Posts])</f>
        <v>50534</v>
      </c>
      <c r="E33" s="19">
        <f>AVERAGEIF(Table14[Category],$A33,Table14[Avg. Favorite])</f>
        <v>0.42214285714285715</v>
      </c>
      <c r="F33" s="19">
        <f>AVERAGEIF(Table14[Category],$A33,Table14[Avg. Score])</f>
        <v>1.8128571428571427</v>
      </c>
      <c r="G33" s="24">
        <f>AVERAGEIF(Table14[Category],$A33,Table14[Ans Hour])</f>
        <v>146.38805160018615</v>
      </c>
      <c r="H33" s="24">
        <f>AVERAGEIF(Table14[Category],$A33,Table14[% Acc Answer])</f>
        <v>43.537036096922414</v>
      </c>
      <c r="J33">
        <f>K32/J29</f>
        <v>0.57932990953390329</v>
      </c>
    </row>
  </sheetData>
  <conditionalFormatting sqref="C2:C25">
    <cfRule type="colorScale" priority="20">
      <colorScale>
        <cfvo type="min"/>
        <cfvo type="percentile" val="50"/>
        <cfvo type="max"/>
        <color rgb="FFF8696B"/>
        <color rgb="FFFFEB84"/>
        <color rgb="FF63BE7B"/>
      </colorScale>
    </cfRule>
  </conditionalFormatting>
  <conditionalFormatting sqref="E2:E25">
    <cfRule type="colorScale" priority="19">
      <colorScale>
        <cfvo type="min"/>
        <cfvo type="percentile" val="50"/>
        <cfvo type="max"/>
        <color rgb="FFF8696B"/>
        <color rgb="FFFFEB84"/>
        <color rgb="FF63BE7B"/>
      </colorScale>
    </cfRule>
  </conditionalFormatting>
  <conditionalFormatting sqref="F2:F25">
    <cfRule type="colorScale" priority="18">
      <colorScale>
        <cfvo type="min"/>
        <cfvo type="percentile" val="50"/>
        <cfvo type="max"/>
        <color rgb="FFF8696B"/>
        <color rgb="FFFFEB84"/>
        <color rgb="FF63BE7B"/>
      </colorScale>
    </cfRule>
  </conditionalFormatting>
  <conditionalFormatting sqref="H2:H25">
    <cfRule type="colorScale" priority="17">
      <colorScale>
        <cfvo type="min"/>
        <cfvo type="percentile" val="50"/>
        <cfvo type="max"/>
        <color rgb="FFF8696B"/>
        <color rgb="FFFFEB84"/>
        <color rgb="FF63BE7B"/>
      </colorScale>
    </cfRule>
  </conditionalFormatting>
  <conditionalFormatting sqref="G2:G25">
    <cfRule type="colorScale" priority="9">
      <colorScale>
        <cfvo type="min"/>
        <cfvo type="percentile" val="50"/>
        <cfvo type="max"/>
        <color rgb="FF63BE7B"/>
        <color rgb="FFFFEB84"/>
        <color rgb="FFF8696B"/>
      </colorScale>
    </cfRule>
  </conditionalFormatting>
  <conditionalFormatting sqref="G29:G33">
    <cfRule type="colorScale" priority="7">
      <colorScale>
        <cfvo type="min"/>
        <cfvo type="percentile" val="50"/>
        <cfvo type="max"/>
        <color rgb="FF63BE7B"/>
        <color rgb="FFFFEB84"/>
        <color rgb="FFF8696B"/>
      </colorScale>
    </cfRule>
  </conditionalFormatting>
  <conditionalFormatting sqref="H29:H33">
    <cfRule type="colorScale" priority="16">
      <colorScale>
        <cfvo type="min"/>
        <cfvo type="percentile" val="50"/>
        <cfvo type="max"/>
        <color rgb="FFF8696B"/>
        <color rgb="FFFFEB84"/>
        <color rgb="FF63BE7B"/>
      </colorScale>
    </cfRule>
  </conditionalFormatting>
  <conditionalFormatting sqref="F29:F33">
    <cfRule type="colorScale" priority="15">
      <colorScale>
        <cfvo type="min"/>
        <cfvo type="percentile" val="50"/>
        <cfvo type="max"/>
        <color rgb="FFF8696B"/>
        <color rgb="FFFFEB84"/>
        <color rgb="FF63BE7B"/>
      </colorScale>
    </cfRule>
  </conditionalFormatting>
  <conditionalFormatting sqref="E29:E33">
    <cfRule type="colorScale" priority="14">
      <colorScale>
        <cfvo type="min"/>
        <cfvo type="percentile" val="50"/>
        <cfvo type="max"/>
        <color rgb="FFF8696B"/>
        <color rgb="FFFFEB84"/>
        <color rgb="FF63BE7B"/>
      </colorScale>
    </cfRule>
  </conditionalFormatting>
  <conditionalFormatting sqref="C29:C33">
    <cfRule type="colorScale" priority="13">
      <colorScale>
        <cfvo type="min"/>
        <cfvo type="percentile" val="50"/>
        <cfvo type="max"/>
        <color rgb="FFF8696B"/>
        <color rgb="FFFFEB84"/>
        <color rgb="FF63BE7B"/>
      </colorScale>
    </cfRule>
  </conditionalFormatting>
  <conditionalFormatting sqref="D2:D25">
    <cfRule type="colorScale" priority="12">
      <colorScale>
        <cfvo type="min"/>
        <cfvo type="percentile" val="50"/>
        <cfvo type="max"/>
        <color rgb="FFF8696B"/>
        <color rgb="FFFFEB84"/>
        <color rgb="FF63BE7B"/>
      </colorScale>
    </cfRule>
  </conditionalFormatting>
  <conditionalFormatting sqref="D29">
    <cfRule type="colorScale" priority="11">
      <colorScale>
        <cfvo type="min"/>
        <cfvo type="percentile" val="50"/>
        <cfvo type="max"/>
        <color rgb="FFF8696B"/>
        <color rgb="FFFFEB84"/>
        <color rgb="FF63BE7B"/>
      </colorScale>
    </cfRule>
  </conditionalFormatting>
  <conditionalFormatting sqref="D29:D33">
    <cfRule type="colorScale" priority="10">
      <colorScale>
        <cfvo type="min"/>
        <cfvo type="percentile" val="50"/>
        <cfvo type="max"/>
        <color rgb="FFF8696B"/>
        <color rgb="FFFFEB84"/>
        <color rgb="FF63BE7B"/>
      </colorScale>
    </cfRule>
  </conditionalFormatting>
  <conditionalFormatting sqref="B2:B25">
    <cfRule type="colorScale" priority="8">
      <colorScale>
        <cfvo type="min"/>
        <cfvo type="percentile" val="50"/>
        <cfvo type="max"/>
        <color rgb="FF63BE7B"/>
        <color rgb="FFFFEB84"/>
        <color rgb="FFF8696B"/>
      </colorScale>
    </cfRule>
  </conditionalFormatting>
  <conditionalFormatting sqref="B29:B33">
    <cfRule type="colorScale" priority="6">
      <colorScale>
        <cfvo type="min"/>
        <cfvo type="percentile" val="50"/>
        <cfvo type="max"/>
        <color rgb="FF63BE7B"/>
        <color rgb="FFFFEB84"/>
        <color rgb="FFF8696B"/>
      </colorScale>
    </cfRule>
  </conditionalFormatting>
  <conditionalFormatting sqref="J2:J25">
    <cfRule type="colorScale" priority="4">
      <colorScale>
        <cfvo type="min"/>
        <cfvo type="max"/>
        <color rgb="FFFCFCFF"/>
        <color rgb="FF63BE7B"/>
      </colorScale>
    </cfRule>
    <cfRule type="colorScale" priority="5">
      <colorScale>
        <cfvo type="min"/>
        <cfvo type="percentile" val="50"/>
        <cfvo type="max"/>
        <color rgb="FFF8696B"/>
        <color rgb="FFFCFCFF"/>
        <color rgb="FF5A8AC6"/>
      </colorScale>
    </cfRule>
  </conditionalFormatting>
  <conditionalFormatting sqref="K2:K25">
    <cfRule type="colorScale" priority="2">
      <colorScale>
        <cfvo type="min"/>
        <cfvo type="percentile" val="50"/>
        <cfvo type="max"/>
        <color rgb="FFF8696B"/>
        <color rgb="FFFFEB84"/>
        <color rgb="FF63BE7B"/>
      </colorScale>
    </cfRule>
    <cfRule type="colorScale" priority="3">
      <colorScale>
        <cfvo type="min"/>
        <cfvo type="max"/>
        <color rgb="FFFFEF9C"/>
        <color rgb="FF63BE7B"/>
      </colorScale>
    </cfRule>
  </conditionalFormatting>
  <conditionalFormatting sqref="L2:L2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200" verticalDpi="200" r:id="rId1"/>
  <drawing r:id="rId2"/>
  <legacyDrawing r:id="rId3"/>
  <tableParts count="2">
    <tablePart r:id="rId4"/>
    <tablePart r:id="rId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B2767-C501-4142-AE36-C48EFC28108B}">
  <dimension ref="A1"/>
  <sheetViews>
    <sheetView topLeftCell="A66" zoomScale="80" zoomScaleNormal="80" workbookViewId="0">
      <selection activeCell="K28" sqref="K28"/>
    </sheetView>
  </sheetViews>
  <sheetFormatPr baseColWidth="10" defaultRowHeight="1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02CC6-A28B-E448-B89D-ECBA3E2DA062}">
  <dimension ref="A1:Z7"/>
  <sheetViews>
    <sheetView topLeftCell="F1" zoomScale="131" workbookViewId="0">
      <selection activeCell="Z4" sqref="Z4"/>
    </sheetView>
  </sheetViews>
  <sheetFormatPr baseColWidth="10" defaultColWidth="8.83203125" defaultRowHeight="15" x14ac:dyDescent="0.2"/>
  <cols>
    <col min="1" max="1" width="24.5" bestFit="1" customWidth="1"/>
    <col min="2" max="2" width="7" bestFit="1" customWidth="1"/>
    <col min="3" max="3" width="11.83203125" customWidth="1"/>
  </cols>
  <sheetData>
    <row r="1" spans="1:26" x14ac:dyDescent="0.2">
      <c r="A1" s="2" t="s">
        <v>193</v>
      </c>
      <c r="B1" s="2" t="s">
        <v>194</v>
      </c>
      <c r="C1" s="47">
        <v>39630</v>
      </c>
      <c r="D1" s="48">
        <v>39814</v>
      </c>
      <c r="E1" s="48">
        <v>39995</v>
      </c>
      <c r="F1" s="48">
        <v>40179</v>
      </c>
      <c r="G1" s="48">
        <v>40330</v>
      </c>
      <c r="H1" s="48">
        <v>40544</v>
      </c>
      <c r="I1" s="48">
        <v>40725</v>
      </c>
      <c r="J1" s="48">
        <v>40909</v>
      </c>
      <c r="K1" s="48">
        <v>41091</v>
      </c>
      <c r="L1" s="48">
        <v>41275</v>
      </c>
      <c r="M1" s="48">
        <v>41456</v>
      </c>
      <c r="N1" s="48">
        <v>41640</v>
      </c>
      <c r="O1" s="48">
        <v>41821</v>
      </c>
      <c r="P1" s="48">
        <v>42005</v>
      </c>
      <c r="Q1" s="48">
        <v>42186</v>
      </c>
      <c r="R1" s="48">
        <v>42370</v>
      </c>
      <c r="S1" s="48">
        <v>42552</v>
      </c>
      <c r="T1" s="48">
        <v>42736</v>
      </c>
      <c r="U1" s="48">
        <v>42917</v>
      </c>
      <c r="V1" s="48">
        <v>43101</v>
      </c>
      <c r="W1" s="48">
        <v>43282</v>
      </c>
      <c r="X1" s="48">
        <v>43466</v>
      </c>
      <c r="Y1" s="48">
        <v>43647</v>
      </c>
      <c r="Z1" s="48">
        <v>43831</v>
      </c>
    </row>
    <row r="2" spans="1:26" x14ac:dyDescent="0.2">
      <c r="A2" s="2" t="s">
        <v>0</v>
      </c>
      <c r="B2" s="22">
        <f>AVERAGE(C2:Z2)</f>
        <v>0.37351043447226034</v>
      </c>
      <c r="C2" s="76">
        <f>Temporal_evoluation!C2/Temporal_evoluation!C$7</f>
        <v>0.2711864406779661</v>
      </c>
      <c r="D2" s="76">
        <f>Temporal_evoluation!D2/Temporal_evoluation!D$7</f>
        <v>0.33513513513513515</v>
      </c>
      <c r="E2" s="76">
        <f>Temporal_evoluation!E2/Temporal_evoluation!E$7</f>
        <v>0.38766519823788548</v>
      </c>
      <c r="F2" s="76">
        <f>Temporal_evoluation!F2/Temporal_evoluation!F$7</f>
        <v>0.32971014492753625</v>
      </c>
      <c r="G2" s="76">
        <f>Temporal_evoluation!G2/Temporal_evoluation!G$7</f>
        <v>0.45180722891566266</v>
      </c>
      <c r="H2" s="76">
        <f>Temporal_evoluation!H2/Temporal_evoluation!H$7</f>
        <v>0.45155993431855501</v>
      </c>
      <c r="I2" s="76">
        <f>Temporal_evoluation!I2/Temporal_evoluation!I$7</f>
        <v>0.47759562841530057</v>
      </c>
      <c r="J2" s="76">
        <f>Temporal_evoluation!J2/Temporal_evoluation!J$7</f>
        <v>0.48354600402955006</v>
      </c>
      <c r="K2" s="76">
        <f>Temporal_evoluation!K2/Temporal_evoluation!K$7</f>
        <v>0.4607019278299555</v>
      </c>
      <c r="L2" s="76">
        <f>Temporal_evoluation!L2/Temporal_evoluation!L$7</f>
        <v>0.44403534609720174</v>
      </c>
      <c r="M2" s="76">
        <f>Temporal_evoluation!M2/Temporal_evoluation!M$7</f>
        <v>0.44508846857840145</v>
      </c>
      <c r="N2" s="76">
        <f>Temporal_evoluation!N2/Temporal_evoluation!N$7</f>
        <v>0.40185510152920534</v>
      </c>
      <c r="O2" s="76">
        <f>Temporal_evoluation!O2/Temporal_evoluation!O$7</f>
        <v>0.40394431554524363</v>
      </c>
      <c r="P2" s="76">
        <f>Temporal_evoluation!P2/Temporal_evoluation!P$7</f>
        <v>0.37444633730834753</v>
      </c>
      <c r="Q2" s="76">
        <f>Temporal_evoluation!Q2/Temporal_evoluation!Q$7</f>
        <v>0.32933104631217841</v>
      </c>
      <c r="R2" s="76">
        <f>Temporal_evoluation!R2/Temporal_evoluation!R$7</f>
        <v>0.33242534301856336</v>
      </c>
      <c r="S2" s="76">
        <f>Temporal_evoluation!S2/Temporal_evoluation!S$7</f>
        <v>0.35951487149870054</v>
      </c>
      <c r="T2" s="76">
        <f>Temporal_evoluation!T2/Temporal_evoluation!T$7</f>
        <v>0.37237453904120571</v>
      </c>
      <c r="U2" s="76">
        <f>Temporal_evoluation!U2/Temporal_evoluation!U$7</f>
        <v>0.35686893751409882</v>
      </c>
      <c r="V2" s="76">
        <f>Temporal_evoluation!V2/Temporal_evoluation!V$7</f>
        <v>0.33996199267001492</v>
      </c>
      <c r="W2" s="76">
        <f>Temporal_evoluation!W2/Temporal_evoluation!W$7</f>
        <v>0.3042960138235119</v>
      </c>
      <c r="X2" s="76">
        <f>Temporal_evoluation!X2/Temporal_evoluation!X$7</f>
        <v>0.28095388502842705</v>
      </c>
      <c r="Y2" s="76">
        <f>Temporal_evoluation!Y2/Temporal_evoluation!Y$7</f>
        <v>0.2821156432093232</v>
      </c>
      <c r="Z2" s="76">
        <f>Temporal_evoluation!Z2/Temporal_evoluation!Z$7</f>
        <v>0.28813094367227504</v>
      </c>
    </row>
    <row r="3" spans="1:26" x14ac:dyDescent="0.2">
      <c r="A3" s="2" t="s">
        <v>93</v>
      </c>
      <c r="B3" s="22">
        <f t="shared" ref="B3:B6" si="0">AVERAGE(C3:Z3)</f>
        <v>0.1897636632092298</v>
      </c>
      <c r="C3" s="76">
        <f>Temporal_evoluation!C3/Temporal_evoluation!C$7</f>
        <v>0.40677966101694918</v>
      </c>
      <c r="D3" s="76">
        <f>Temporal_evoluation!D3/Temporal_evoluation!D$7</f>
        <v>0.44324324324324327</v>
      </c>
      <c r="E3" s="76">
        <f>Temporal_evoluation!E3/Temporal_evoluation!E$7</f>
        <v>0.33039647577092512</v>
      </c>
      <c r="F3" s="76">
        <f>Temporal_evoluation!F3/Temporal_evoluation!F$7</f>
        <v>0.41304347826086957</v>
      </c>
      <c r="G3" s="76">
        <f>Temporal_evoluation!G3/Temporal_evoluation!G$7</f>
        <v>0.27108433734939757</v>
      </c>
      <c r="H3" s="76">
        <f>Temporal_evoluation!H3/Temporal_evoluation!H$7</f>
        <v>0.17898193760262726</v>
      </c>
      <c r="I3" s="76">
        <f>Temporal_evoluation!I3/Temporal_evoluation!I$7</f>
        <v>0.15956284153005465</v>
      </c>
      <c r="J3" s="76">
        <f>Temporal_evoluation!J3/Temporal_evoluation!J$7</f>
        <v>0.11887172599059771</v>
      </c>
      <c r="K3" s="76">
        <f>Temporal_evoluation!K3/Temporal_evoluation!K$7</f>
        <v>0.10973801285219971</v>
      </c>
      <c r="L3" s="76">
        <f>Temporal_evoluation!L3/Temporal_evoluation!L$7</f>
        <v>9.8674521354933722E-2</v>
      </c>
      <c r="M3" s="76">
        <f>Temporal_evoluation!M3/Temporal_evoluation!M$7</f>
        <v>8.9383770591824285E-2</v>
      </c>
      <c r="N3" s="76">
        <f>Temporal_evoluation!N3/Temporal_evoluation!N$7</f>
        <v>9.9273000752068186E-2</v>
      </c>
      <c r="O3" s="76">
        <f>Temporal_evoluation!O3/Temporal_evoluation!O$7</f>
        <v>0.10371229698375869</v>
      </c>
      <c r="P3" s="76">
        <f>Temporal_evoluation!P3/Temporal_evoluation!P$7</f>
        <v>0.13475298126064736</v>
      </c>
      <c r="Q3" s="76">
        <f>Temporal_evoluation!Q3/Temporal_evoluation!Q$7</f>
        <v>0.19527642169151604</v>
      </c>
      <c r="R3" s="76">
        <f>Temporal_evoluation!R3/Temporal_evoluation!R$7</f>
        <v>0.19703389830508475</v>
      </c>
      <c r="S3" s="76">
        <f>Temporal_evoluation!S3/Temporal_evoluation!S$7</f>
        <v>0.1642121474636635</v>
      </c>
      <c r="T3" s="76">
        <f>Temporal_evoluation!T3/Temporal_evoluation!T$7</f>
        <v>0.12754529421196087</v>
      </c>
      <c r="U3" s="76">
        <f>Temporal_evoluation!U3/Temporal_evoluation!U$7</f>
        <v>0.12873148357019326</v>
      </c>
      <c r="V3" s="76">
        <f>Temporal_evoluation!V3/Temporal_evoluation!V$7</f>
        <v>0.13519750237545813</v>
      </c>
      <c r="W3" s="76">
        <f>Temporal_evoluation!W3/Temporal_evoluation!W$7</f>
        <v>0.14824524816778883</v>
      </c>
      <c r="X3" s="76">
        <f>Temporal_evoluation!X3/Temporal_evoluation!X$7</f>
        <v>0.15792798483891346</v>
      </c>
      <c r="Y3" s="76">
        <f>Temporal_evoluation!Y3/Temporal_evoluation!Y$7</f>
        <v>0.16974450918870462</v>
      </c>
      <c r="Z3" s="76">
        <f>Temporal_evoluation!Z3/Temporal_evoluation!Z$7</f>
        <v>0.1729151426481346</v>
      </c>
    </row>
    <row r="4" spans="1:26" x14ac:dyDescent="0.2">
      <c r="A4" s="2" t="s">
        <v>31</v>
      </c>
      <c r="B4" s="22">
        <f t="shared" si="0"/>
        <v>8.1934534931884767E-2</v>
      </c>
      <c r="C4" s="76">
        <f>Temporal_evoluation!C4/Temporal_evoluation!C$7</f>
        <v>3.3898305084745763E-2</v>
      </c>
      <c r="D4" s="76">
        <f>Temporal_evoluation!D4/Temporal_evoluation!D$7</f>
        <v>5.4054054054054057E-3</v>
      </c>
      <c r="E4" s="76">
        <f>Temporal_evoluation!E4/Temporal_evoluation!E$7</f>
        <v>2.2026431718061675E-2</v>
      </c>
      <c r="F4" s="76">
        <f>Temporal_evoluation!F4/Temporal_evoluation!F$7</f>
        <v>1.0869565217391304E-2</v>
      </c>
      <c r="G4" s="76">
        <f>Temporal_evoluation!G4/Temporal_evoluation!G$7</f>
        <v>6.024096385542169E-3</v>
      </c>
      <c r="H4" s="76">
        <f>Temporal_evoluation!H4/Temporal_evoluation!H$7</f>
        <v>1.6420361247947456E-2</v>
      </c>
      <c r="I4" s="76">
        <f>Temporal_evoluation!I4/Temporal_evoluation!I$7</f>
        <v>1.3114754098360656E-2</v>
      </c>
      <c r="J4" s="76">
        <f>Temporal_evoluation!J4/Temporal_evoluation!J$7</f>
        <v>1.544660846205507E-2</v>
      </c>
      <c r="K4" s="76">
        <f>Temporal_evoluation!K4/Temporal_evoluation!K$7</f>
        <v>1.532377656945131E-2</v>
      </c>
      <c r="L4" s="76">
        <f>Temporal_evoluation!L4/Temporal_evoluation!L$7</f>
        <v>1.3254786450662739E-2</v>
      </c>
      <c r="M4" s="76">
        <f>Temporal_evoluation!M4/Temporal_evoluation!M$7</f>
        <v>1.7998779743746186E-2</v>
      </c>
      <c r="N4" s="76">
        <f>Temporal_evoluation!N4/Temporal_evoluation!N$7</f>
        <v>1.5041363750313362E-2</v>
      </c>
      <c r="O4" s="76">
        <f>Temporal_evoluation!O4/Temporal_evoluation!O$7</f>
        <v>2.9002320185614848E-2</v>
      </c>
      <c r="P4" s="76">
        <f>Temporal_evoluation!P4/Temporal_evoluation!P$7</f>
        <v>4.4463373083475297E-2</v>
      </c>
      <c r="Q4" s="76">
        <f>Temporal_evoluation!Q4/Temporal_evoluation!Q$7</f>
        <v>0.10014513788098693</v>
      </c>
      <c r="R4" s="76">
        <f>Temporal_evoluation!R4/Temporal_evoluation!R$7</f>
        <v>0.10240112994350282</v>
      </c>
      <c r="S4" s="76">
        <f>Temporal_evoluation!S4/Temporal_evoluation!S$7</f>
        <v>0.10164597170083742</v>
      </c>
      <c r="T4" s="76">
        <f>Temporal_evoluation!T4/Temporal_evoluation!T$7</f>
        <v>0.12898829565496231</v>
      </c>
      <c r="U4" s="76">
        <f>Temporal_evoluation!U4/Temporal_evoluation!U$7</f>
        <v>0.15903451387322354</v>
      </c>
      <c r="V4" s="76">
        <f>Temporal_evoluation!V4/Temporal_evoluation!V$7</f>
        <v>0.19919913126102892</v>
      </c>
      <c r="W4" s="76">
        <f>Temporal_evoluation!W4/Temporal_evoluation!W$7</f>
        <v>0.2388130846690103</v>
      </c>
      <c r="X4" s="76">
        <f>Temporal_evoluation!X4/Temporal_evoluation!X$7</f>
        <v>0.23268056432933248</v>
      </c>
      <c r="Y4" s="76">
        <f>Temporal_evoluation!Y4/Temporal_evoluation!Y$7</f>
        <v>0.22124607799193186</v>
      </c>
      <c r="Z4" s="76">
        <f>Temporal_evoluation!Z4/Temporal_evoluation!Z$7</f>
        <v>0.22398500365764448</v>
      </c>
    </row>
    <row r="5" spans="1:26" x14ac:dyDescent="0.2">
      <c r="A5" s="2" t="s">
        <v>48</v>
      </c>
      <c r="B5" s="22">
        <f t="shared" si="0"/>
        <v>0.24428853606887846</v>
      </c>
      <c r="C5" s="76">
        <f>Temporal_evoluation!C5/Temporal_evoluation!C$7</f>
        <v>0.10169491525423729</v>
      </c>
      <c r="D5" s="76">
        <f>Temporal_evoluation!D5/Temporal_evoluation!D$7</f>
        <v>7.0270270270270274E-2</v>
      </c>
      <c r="E5" s="76">
        <f>Temporal_evoluation!E5/Temporal_evoluation!E$7</f>
        <v>6.1674008810572688E-2</v>
      </c>
      <c r="F5" s="76">
        <f>Temporal_evoluation!F5/Temporal_evoluation!F$7</f>
        <v>6.8840579710144928E-2</v>
      </c>
      <c r="G5" s="76">
        <f>Temporal_evoluation!G5/Temporal_evoluation!G$7</f>
        <v>0.12951807228915663</v>
      </c>
      <c r="H5" s="76">
        <f>Temporal_evoluation!H5/Temporal_evoluation!H$7</f>
        <v>0.18390804597701149</v>
      </c>
      <c r="I5" s="76">
        <f>Temporal_evoluation!I5/Temporal_evoluation!I$7</f>
        <v>0.17595628415300546</v>
      </c>
      <c r="J5" s="76">
        <f>Temporal_evoluation!J5/Temporal_evoluation!J$7</f>
        <v>0.21356615177971794</v>
      </c>
      <c r="K5" s="76">
        <f>Temporal_evoluation!K5/Temporal_evoluation!K$7</f>
        <v>0.26149283242708848</v>
      </c>
      <c r="L5" s="76">
        <f>Temporal_evoluation!L5/Temporal_evoluation!L$7</f>
        <v>0.30338733431516934</v>
      </c>
      <c r="M5" s="76">
        <f>Temporal_evoluation!M5/Temporal_evoluation!M$7</f>
        <v>0.31360585723001833</v>
      </c>
      <c r="N5" s="76">
        <f>Temporal_evoluation!N5/Temporal_evoluation!N$7</f>
        <v>0.37202306342441716</v>
      </c>
      <c r="O5" s="76">
        <f>Temporal_evoluation!O5/Temporal_evoluation!O$7</f>
        <v>0.3726218097447796</v>
      </c>
      <c r="P5" s="76">
        <f>Temporal_evoluation!P5/Temporal_evoluation!P$7</f>
        <v>0.35775127768313458</v>
      </c>
      <c r="Q5" s="76">
        <f>Temporal_evoluation!Q5/Temporal_evoluation!Q$7</f>
        <v>0.29937986541760125</v>
      </c>
      <c r="R5" s="76">
        <f>Temporal_evoluation!R5/Temporal_evoluation!R$7</f>
        <v>0.29449152542372881</v>
      </c>
      <c r="S5" s="76">
        <f>Temporal_evoluation!S5/Temporal_evoluation!S$7</f>
        <v>0.30416786986235439</v>
      </c>
      <c r="T5" s="76">
        <f>Temporal_evoluation!T5/Temporal_evoluation!T$7</f>
        <v>0.30575597242263908</v>
      </c>
      <c r="U5" s="76">
        <f>Temporal_evoluation!U5/Temporal_evoluation!U$7</f>
        <v>0.29122490412812996</v>
      </c>
      <c r="V5" s="76">
        <f>Temporal_evoluation!V5/Temporal_evoluation!V$7</f>
        <v>0.27141305823265915</v>
      </c>
      <c r="W5" s="76">
        <f>Temporal_evoluation!W5/Temporal_evoluation!W$7</f>
        <v>0.26491092176607284</v>
      </c>
      <c r="X5" s="76">
        <f>Temporal_evoluation!X5/Temporal_evoluation!X$7</f>
        <v>0.28642872183617601</v>
      </c>
      <c r="Y5" s="76">
        <f>Temporal_evoluation!Y5/Temporal_evoluation!Y$7</f>
        <v>0.28314657104437474</v>
      </c>
      <c r="Z5" s="76">
        <f>Temporal_evoluation!Z5/Temporal_evoluation!Z$7</f>
        <v>0.27569495245062181</v>
      </c>
    </row>
    <row r="6" spans="1:26" x14ac:dyDescent="0.2">
      <c r="A6" s="2" t="s">
        <v>67</v>
      </c>
      <c r="B6" s="22">
        <f t="shared" si="0"/>
        <v>0.11050283131774681</v>
      </c>
      <c r="C6" s="76">
        <f>Temporal_evoluation!C6/Temporal_evoluation!C$7</f>
        <v>0.1864406779661017</v>
      </c>
      <c r="D6" s="76">
        <f>Temporal_evoluation!D6/Temporal_evoluation!D$7</f>
        <v>0.14594594594594595</v>
      </c>
      <c r="E6" s="76">
        <f>Temporal_evoluation!E6/Temporal_evoluation!E$7</f>
        <v>0.19823788546255505</v>
      </c>
      <c r="F6" s="76">
        <f>Temporal_evoluation!F6/Temporal_evoluation!F$7</f>
        <v>0.17753623188405798</v>
      </c>
      <c r="G6" s="76">
        <f>Temporal_evoluation!G6/Temporal_evoluation!G$7</f>
        <v>0.14156626506024098</v>
      </c>
      <c r="H6" s="76">
        <f>Temporal_evoluation!H6/Temporal_evoluation!H$7</f>
        <v>0.16912972085385877</v>
      </c>
      <c r="I6" s="76">
        <f>Temporal_evoluation!I6/Temporal_evoluation!I$7</f>
        <v>0.17377049180327869</v>
      </c>
      <c r="J6" s="76">
        <f>Temporal_evoluation!J6/Temporal_evoluation!J$7</f>
        <v>0.16856950973807924</v>
      </c>
      <c r="K6" s="76">
        <f>Temporal_evoluation!K6/Temporal_evoluation!K$7</f>
        <v>0.15274345032130499</v>
      </c>
      <c r="L6" s="76">
        <f>Temporal_evoluation!L6/Temporal_evoluation!L$7</f>
        <v>0.1406480117820324</v>
      </c>
      <c r="M6" s="76">
        <f>Temporal_evoluation!M6/Temporal_evoluation!M$7</f>
        <v>0.13392312385600977</v>
      </c>
      <c r="N6" s="76">
        <f>Temporal_evoluation!N6/Temporal_evoluation!N$7</f>
        <v>0.11180747054399599</v>
      </c>
      <c r="O6" s="76">
        <f>Temporal_evoluation!O6/Temporal_evoluation!O$7</f>
        <v>9.0719257540603254E-2</v>
      </c>
      <c r="P6" s="76">
        <f>Temporal_evoluation!P6/Temporal_evoluation!P$7</f>
        <v>8.8586030664395229E-2</v>
      </c>
      <c r="Q6" s="76">
        <f>Temporal_evoluation!Q6/Temporal_evoluation!Q$7</f>
        <v>7.5867528697717374E-2</v>
      </c>
      <c r="R6" s="76">
        <f>Temporal_evoluation!R6/Temporal_evoluation!R$7</f>
        <v>7.3648103309120264E-2</v>
      </c>
      <c r="S6" s="76">
        <f>Temporal_evoluation!S6/Temporal_evoluation!S$7</f>
        <v>7.0459139474444127E-2</v>
      </c>
      <c r="T6" s="76">
        <f>Temporal_evoluation!T6/Temporal_evoluation!T$7</f>
        <v>6.5335898669232007E-2</v>
      </c>
      <c r="U6" s="76">
        <f>Temporal_evoluation!U6/Temporal_evoluation!U$7</f>
        <v>6.4140160914354469E-2</v>
      </c>
      <c r="V6" s="76">
        <f>Temporal_evoluation!V6/Temporal_evoluation!V$7</f>
        <v>5.4228315460838873E-2</v>
      </c>
      <c r="W6" s="76">
        <f>Temporal_evoluation!W6/Temporal_evoluation!W$7</f>
        <v>4.373473157361616E-2</v>
      </c>
      <c r="X6" s="76">
        <f>Temporal_evoluation!X6/Temporal_evoluation!X$7</f>
        <v>4.2008843967150981E-2</v>
      </c>
      <c r="Y6" s="76">
        <f>Temporal_evoluation!Y6/Temporal_evoluation!Y$7</f>
        <v>4.374719856566562E-2</v>
      </c>
      <c r="Z6" s="76">
        <f>Temporal_evoluation!Z6/Temporal_evoluation!Z$7</f>
        <v>3.927395757132407E-2</v>
      </c>
    </row>
    <row r="7" spans="1:26" x14ac:dyDescent="0.2">
      <c r="C7" s="68">
        <f>SUM(C2:C6)</f>
        <v>1</v>
      </c>
      <c r="D7" s="68">
        <f t="shared" ref="D7:Z7" si="1">SUM(D2:D6)</f>
        <v>1</v>
      </c>
      <c r="E7" s="68">
        <f t="shared" si="1"/>
        <v>1</v>
      </c>
      <c r="F7" s="68">
        <f t="shared" si="1"/>
        <v>1</v>
      </c>
      <c r="G7" s="68">
        <f t="shared" si="1"/>
        <v>1</v>
      </c>
      <c r="H7" s="68">
        <f t="shared" si="1"/>
        <v>1</v>
      </c>
      <c r="I7" s="68">
        <f t="shared" si="1"/>
        <v>1</v>
      </c>
      <c r="J7" s="68">
        <f t="shared" si="1"/>
        <v>1</v>
      </c>
      <c r="K7" s="68">
        <f t="shared" si="1"/>
        <v>1</v>
      </c>
      <c r="L7" s="68">
        <f t="shared" si="1"/>
        <v>0.99999999999999978</v>
      </c>
      <c r="M7" s="68">
        <f t="shared" si="1"/>
        <v>1</v>
      </c>
      <c r="N7" s="68">
        <f t="shared" si="1"/>
        <v>1</v>
      </c>
      <c r="O7" s="68">
        <f t="shared" si="1"/>
        <v>1</v>
      </c>
      <c r="P7" s="68">
        <f t="shared" si="1"/>
        <v>0.99999999999999989</v>
      </c>
      <c r="Q7" s="68">
        <f t="shared" si="1"/>
        <v>1</v>
      </c>
      <c r="R7" s="68">
        <f t="shared" si="1"/>
        <v>1</v>
      </c>
      <c r="S7" s="68">
        <f t="shared" si="1"/>
        <v>1</v>
      </c>
      <c r="T7" s="68">
        <f t="shared" si="1"/>
        <v>1</v>
      </c>
      <c r="U7" s="68">
        <f t="shared" si="1"/>
        <v>1</v>
      </c>
      <c r="V7" s="68">
        <f t="shared" si="1"/>
        <v>1</v>
      </c>
      <c r="W7" s="68">
        <f t="shared" si="1"/>
        <v>1</v>
      </c>
      <c r="X7" s="68">
        <f t="shared" si="1"/>
        <v>1</v>
      </c>
      <c r="Y7" s="68">
        <f t="shared" si="1"/>
        <v>1</v>
      </c>
      <c r="Z7" s="68">
        <f t="shared" si="1"/>
        <v>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68E4D-A5F0-2941-82BB-6FE75F6BD630}">
  <dimension ref="A1:Z7"/>
  <sheetViews>
    <sheetView zoomScale="131" workbookViewId="0">
      <selection activeCell="C3" sqref="C3"/>
    </sheetView>
  </sheetViews>
  <sheetFormatPr baseColWidth="10" defaultColWidth="8.83203125" defaultRowHeight="15" x14ac:dyDescent="0.2"/>
  <cols>
    <col min="1" max="1" width="24.5" bestFit="1" customWidth="1"/>
    <col min="2" max="2" width="7" bestFit="1" customWidth="1"/>
    <col min="3" max="3" width="11.83203125" customWidth="1"/>
  </cols>
  <sheetData>
    <row r="1" spans="1:26" x14ac:dyDescent="0.2">
      <c r="A1" s="2" t="s">
        <v>193</v>
      </c>
      <c r="B1" s="2" t="s">
        <v>194</v>
      </c>
      <c r="C1" s="47">
        <v>39630</v>
      </c>
      <c r="D1" s="48">
        <v>39814</v>
      </c>
      <c r="E1" s="48">
        <v>39995</v>
      </c>
      <c r="F1" s="48">
        <v>40179</v>
      </c>
      <c r="G1" s="48">
        <v>40330</v>
      </c>
      <c r="H1" s="48">
        <v>40544</v>
      </c>
      <c r="I1" s="48">
        <v>40725</v>
      </c>
      <c r="J1" s="48">
        <v>40909</v>
      </c>
      <c r="K1" s="48">
        <v>41091</v>
      </c>
      <c r="L1" s="48">
        <v>41275</v>
      </c>
      <c r="M1" s="48">
        <v>41456</v>
      </c>
      <c r="N1" s="48">
        <v>41640</v>
      </c>
      <c r="O1" s="48">
        <v>41821</v>
      </c>
      <c r="P1" s="48">
        <v>42005</v>
      </c>
      <c r="Q1" s="48">
        <v>42186</v>
      </c>
      <c r="R1" s="48">
        <v>42370</v>
      </c>
      <c r="S1" s="48">
        <v>42552</v>
      </c>
      <c r="T1" s="48">
        <v>42736</v>
      </c>
      <c r="U1" s="48">
        <v>42917</v>
      </c>
      <c r="V1" s="48">
        <v>43101</v>
      </c>
      <c r="W1" s="48">
        <v>43282</v>
      </c>
      <c r="X1" s="48">
        <v>43466</v>
      </c>
      <c r="Y1" s="48">
        <v>43647</v>
      </c>
      <c r="Z1" s="48">
        <v>43831</v>
      </c>
    </row>
    <row r="2" spans="1:26" x14ac:dyDescent="0.2">
      <c r="A2" s="2" t="s">
        <v>0</v>
      </c>
      <c r="B2" s="22">
        <f>AVERAGE(C2:Z2)</f>
        <v>2415</v>
      </c>
      <c r="C2" s="2">
        <v>32</v>
      </c>
      <c r="D2" s="2">
        <v>62</v>
      </c>
      <c r="E2" s="2">
        <v>88</v>
      </c>
      <c r="F2" s="2">
        <v>91</v>
      </c>
      <c r="G2" s="2">
        <v>150</v>
      </c>
      <c r="H2" s="2">
        <v>275</v>
      </c>
      <c r="I2" s="2">
        <v>437</v>
      </c>
      <c r="J2" s="2">
        <v>720</v>
      </c>
      <c r="K2" s="2">
        <v>932</v>
      </c>
      <c r="L2" s="2">
        <v>1206</v>
      </c>
      <c r="M2" s="2">
        <v>1459</v>
      </c>
      <c r="N2" s="2">
        <v>1603</v>
      </c>
      <c r="O2" s="2">
        <v>1741</v>
      </c>
      <c r="P2" s="2">
        <v>2198</v>
      </c>
      <c r="Q2" s="2">
        <v>2496</v>
      </c>
      <c r="R2" s="2">
        <v>3295</v>
      </c>
      <c r="S2" s="2">
        <v>3735</v>
      </c>
      <c r="T2" s="2">
        <v>4645</v>
      </c>
      <c r="U2" s="2">
        <v>4746</v>
      </c>
      <c r="V2" s="2">
        <v>5009</v>
      </c>
      <c r="W2" s="2">
        <v>5107</v>
      </c>
      <c r="X2" s="2">
        <v>5337</v>
      </c>
      <c r="Y2" s="2">
        <v>6294</v>
      </c>
      <c r="Z2" s="2">
        <v>6302</v>
      </c>
    </row>
    <row r="3" spans="1:26" x14ac:dyDescent="0.2">
      <c r="A3" s="2" t="s">
        <v>93</v>
      </c>
      <c r="B3" s="22">
        <f t="shared" ref="B3:B6" si="0">AVERAGE(C3:Z3)</f>
        <v>1114.5416666666667</v>
      </c>
      <c r="C3" s="2">
        <v>48</v>
      </c>
      <c r="D3" s="2">
        <v>82</v>
      </c>
      <c r="E3" s="2">
        <v>75</v>
      </c>
      <c r="F3" s="2">
        <v>114</v>
      </c>
      <c r="G3" s="2">
        <v>90</v>
      </c>
      <c r="H3" s="2">
        <v>109</v>
      </c>
      <c r="I3" s="2">
        <v>146</v>
      </c>
      <c r="J3" s="2">
        <v>177</v>
      </c>
      <c r="K3" s="2">
        <v>222</v>
      </c>
      <c r="L3" s="2">
        <v>268</v>
      </c>
      <c r="M3" s="2">
        <v>293</v>
      </c>
      <c r="N3" s="2">
        <v>396</v>
      </c>
      <c r="O3" s="2">
        <v>447</v>
      </c>
      <c r="P3" s="2">
        <v>791</v>
      </c>
      <c r="Q3" s="2">
        <v>1480</v>
      </c>
      <c r="R3" s="2">
        <v>1953</v>
      </c>
      <c r="S3" s="2">
        <v>1706</v>
      </c>
      <c r="T3" s="2">
        <v>1591</v>
      </c>
      <c r="U3" s="2">
        <v>1712</v>
      </c>
      <c r="V3" s="2">
        <v>1992</v>
      </c>
      <c r="W3" s="2">
        <v>2488</v>
      </c>
      <c r="X3" s="2">
        <v>3000</v>
      </c>
      <c r="Y3" s="2">
        <v>3787</v>
      </c>
      <c r="Z3" s="2">
        <v>3782</v>
      </c>
    </row>
    <row r="4" spans="1:26" x14ac:dyDescent="0.2">
      <c r="A4" s="2" t="s">
        <v>31</v>
      </c>
      <c r="B4" s="22">
        <f t="shared" si="0"/>
        <v>1182.6666666666667</v>
      </c>
      <c r="C4" s="2">
        <v>4</v>
      </c>
      <c r="D4" s="2">
        <v>1</v>
      </c>
      <c r="E4" s="2">
        <v>5</v>
      </c>
      <c r="F4" s="2">
        <v>3</v>
      </c>
      <c r="G4" s="2">
        <v>2</v>
      </c>
      <c r="H4" s="2">
        <v>10</v>
      </c>
      <c r="I4" s="2">
        <v>12</v>
      </c>
      <c r="J4" s="2">
        <v>23</v>
      </c>
      <c r="K4" s="2">
        <v>31</v>
      </c>
      <c r="L4" s="2">
        <v>36</v>
      </c>
      <c r="M4" s="2">
        <v>59</v>
      </c>
      <c r="N4" s="2">
        <v>60</v>
      </c>
      <c r="O4" s="2">
        <v>125</v>
      </c>
      <c r="P4" s="2">
        <v>261</v>
      </c>
      <c r="Q4" s="2">
        <v>759</v>
      </c>
      <c r="R4" s="2">
        <v>1015</v>
      </c>
      <c r="S4" s="2">
        <v>1056</v>
      </c>
      <c r="T4" s="2">
        <v>1609</v>
      </c>
      <c r="U4" s="2">
        <v>2115</v>
      </c>
      <c r="V4" s="2">
        <v>2935</v>
      </c>
      <c r="W4" s="2">
        <v>4008</v>
      </c>
      <c r="X4" s="2">
        <v>4420</v>
      </c>
      <c r="Y4" s="2">
        <v>4936</v>
      </c>
      <c r="Z4" s="2">
        <v>4899</v>
      </c>
    </row>
    <row r="5" spans="1:26" x14ac:dyDescent="0.2">
      <c r="A5" s="2" t="s">
        <v>48</v>
      </c>
      <c r="B5" s="22">
        <f t="shared" si="0"/>
        <v>2105.4583333333335</v>
      </c>
      <c r="C5" s="2">
        <v>12</v>
      </c>
      <c r="D5" s="2">
        <v>13</v>
      </c>
      <c r="E5" s="2">
        <v>14</v>
      </c>
      <c r="F5" s="2">
        <v>19</v>
      </c>
      <c r="G5" s="2">
        <v>43</v>
      </c>
      <c r="H5" s="2">
        <v>112</v>
      </c>
      <c r="I5" s="2">
        <v>161</v>
      </c>
      <c r="J5" s="2">
        <v>318</v>
      </c>
      <c r="K5" s="2">
        <v>529</v>
      </c>
      <c r="L5" s="2">
        <v>824</v>
      </c>
      <c r="M5" s="2">
        <v>1028</v>
      </c>
      <c r="N5" s="2">
        <v>1484</v>
      </c>
      <c r="O5" s="2">
        <v>1606</v>
      </c>
      <c r="P5" s="2">
        <v>2100</v>
      </c>
      <c r="Q5" s="2">
        <v>2269</v>
      </c>
      <c r="R5" s="2">
        <v>2919</v>
      </c>
      <c r="S5" s="2">
        <v>3160</v>
      </c>
      <c r="T5" s="2">
        <v>3814</v>
      </c>
      <c r="U5" s="2">
        <v>3873</v>
      </c>
      <c r="V5" s="2">
        <v>3999</v>
      </c>
      <c r="W5" s="2">
        <v>4446</v>
      </c>
      <c r="X5" s="2">
        <v>5441</v>
      </c>
      <c r="Y5" s="2">
        <v>6317</v>
      </c>
      <c r="Z5" s="2">
        <v>6030</v>
      </c>
    </row>
    <row r="6" spans="1:26" x14ac:dyDescent="0.2">
      <c r="A6" s="2" t="s">
        <v>67</v>
      </c>
      <c r="B6" s="22">
        <f t="shared" si="0"/>
        <v>460.875</v>
      </c>
      <c r="C6" s="2">
        <v>22</v>
      </c>
      <c r="D6" s="2">
        <v>27</v>
      </c>
      <c r="E6" s="2">
        <v>45</v>
      </c>
      <c r="F6" s="2">
        <v>49</v>
      </c>
      <c r="G6" s="2">
        <v>47</v>
      </c>
      <c r="H6" s="2">
        <v>103</v>
      </c>
      <c r="I6" s="2">
        <v>159</v>
      </c>
      <c r="J6" s="2">
        <v>251</v>
      </c>
      <c r="K6" s="2">
        <v>309</v>
      </c>
      <c r="L6" s="2">
        <v>382</v>
      </c>
      <c r="M6" s="2">
        <v>439</v>
      </c>
      <c r="N6" s="2">
        <v>446</v>
      </c>
      <c r="O6" s="2">
        <v>391</v>
      </c>
      <c r="P6" s="2">
        <v>520</v>
      </c>
      <c r="Q6" s="2">
        <v>575</v>
      </c>
      <c r="R6" s="2">
        <v>730</v>
      </c>
      <c r="S6" s="2">
        <v>732</v>
      </c>
      <c r="T6" s="2">
        <v>815</v>
      </c>
      <c r="U6" s="2">
        <v>853</v>
      </c>
      <c r="V6" s="2">
        <v>799</v>
      </c>
      <c r="W6" s="2">
        <v>734</v>
      </c>
      <c r="X6" s="2">
        <v>798</v>
      </c>
      <c r="Y6" s="2">
        <v>976</v>
      </c>
      <c r="Z6" s="2">
        <v>859</v>
      </c>
    </row>
    <row r="7" spans="1:26" x14ac:dyDescent="0.2">
      <c r="C7">
        <f>SUM(C2:C6)</f>
        <v>118</v>
      </c>
      <c r="D7">
        <f t="shared" ref="D7:Z7" si="1">SUM(D2:D6)</f>
        <v>185</v>
      </c>
      <c r="E7">
        <f t="shared" si="1"/>
        <v>227</v>
      </c>
      <c r="F7">
        <f t="shared" si="1"/>
        <v>276</v>
      </c>
      <c r="G7">
        <f t="shared" si="1"/>
        <v>332</v>
      </c>
      <c r="H7">
        <f t="shared" si="1"/>
        <v>609</v>
      </c>
      <c r="I7">
        <f t="shared" si="1"/>
        <v>915</v>
      </c>
      <c r="J7">
        <f t="shared" si="1"/>
        <v>1489</v>
      </c>
      <c r="K7">
        <f t="shared" si="1"/>
        <v>2023</v>
      </c>
      <c r="L7">
        <f t="shared" si="1"/>
        <v>2716</v>
      </c>
      <c r="M7">
        <f t="shared" si="1"/>
        <v>3278</v>
      </c>
      <c r="N7">
        <f t="shared" si="1"/>
        <v>3989</v>
      </c>
      <c r="O7">
        <f t="shared" si="1"/>
        <v>4310</v>
      </c>
      <c r="P7">
        <f t="shared" si="1"/>
        <v>5870</v>
      </c>
      <c r="Q7">
        <f t="shared" si="1"/>
        <v>7579</v>
      </c>
      <c r="R7">
        <f t="shared" si="1"/>
        <v>9912</v>
      </c>
      <c r="S7">
        <f t="shared" si="1"/>
        <v>10389</v>
      </c>
      <c r="T7">
        <f t="shared" si="1"/>
        <v>12474</v>
      </c>
      <c r="U7">
        <f t="shared" si="1"/>
        <v>13299</v>
      </c>
      <c r="V7">
        <f t="shared" si="1"/>
        <v>14734</v>
      </c>
      <c r="W7">
        <f t="shared" si="1"/>
        <v>16783</v>
      </c>
      <c r="X7">
        <f t="shared" si="1"/>
        <v>18996</v>
      </c>
      <c r="Y7">
        <f t="shared" si="1"/>
        <v>22310</v>
      </c>
      <c r="Z7">
        <f t="shared" si="1"/>
        <v>21872</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
  <sheetViews>
    <sheetView workbookViewId="0">
      <selection activeCell="D23" sqref="D23"/>
    </sheetView>
  </sheetViews>
  <sheetFormatPr baseColWidth="10" defaultColWidth="8.83203125" defaultRowHeight="15" x14ac:dyDescent="0.2"/>
  <cols>
    <col min="1" max="1" width="3" bestFit="1" customWidth="1"/>
    <col min="2" max="2" width="26.5" customWidth="1"/>
    <col min="3" max="3" width="35.5" customWidth="1"/>
    <col min="4" max="4" width="34.6640625" bestFit="1" customWidth="1"/>
    <col min="5" max="5" width="23.33203125" customWidth="1"/>
    <col min="6" max="6" width="99.5" bestFit="1" customWidth="1"/>
    <col min="7" max="7" width="77.5" bestFit="1" customWidth="1"/>
  </cols>
  <sheetData>
    <row r="1" spans="1:8" x14ac:dyDescent="0.2">
      <c r="B1" s="3" t="s">
        <v>77</v>
      </c>
      <c r="C1" s="3" t="s">
        <v>78</v>
      </c>
      <c r="D1" s="3" t="s">
        <v>76</v>
      </c>
      <c r="E1" s="3" t="s">
        <v>99</v>
      </c>
      <c r="F1" s="3" t="s">
        <v>88</v>
      </c>
      <c r="G1" s="3" t="s">
        <v>74</v>
      </c>
      <c r="H1" s="3" t="s">
        <v>94</v>
      </c>
    </row>
    <row r="2" spans="1:8" x14ac:dyDescent="0.2">
      <c r="A2">
        <v>23</v>
      </c>
      <c r="B2" s="5" t="s">
        <v>0</v>
      </c>
      <c r="C2" s="5" t="s">
        <v>84</v>
      </c>
      <c r="D2" s="5" t="s">
        <v>1</v>
      </c>
      <c r="E2" s="5" t="str">
        <f t="shared" ref="E2:E31" si="0">B2</f>
        <v>CI/CD Tool</v>
      </c>
      <c r="F2" s="2"/>
      <c r="G2" s="2" t="s">
        <v>2</v>
      </c>
      <c r="H2" s="2">
        <v>6168</v>
      </c>
    </row>
    <row r="3" spans="1:8" x14ac:dyDescent="0.2">
      <c r="A3">
        <v>15</v>
      </c>
      <c r="B3" s="5" t="s">
        <v>0</v>
      </c>
      <c r="C3" s="5" t="s">
        <v>85</v>
      </c>
      <c r="D3" s="5" t="s">
        <v>295</v>
      </c>
      <c r="E3" s="5" t="str">
        <f t="shared" si="0"/>
        <v>CI/CD Tool</v>
      </c>
      <c r="F3" s="2"/>
      <c r="G3" s="2" t="s">
        <v>4</v>
      </c>
      <c r="H3" s="2">
        <v>8584</v>
      </c>
    </row>
    <row r="4" spans="1:8" x14ac:dyDescent="0.2">
      <c r="A4">
        <v>16</v>
      </c>
      <c r="B4" s="5" t="s">
        <v>0</v>
      </c>
      <c r="C4" s="5" t="s">
        <v>85</v>
      </c>
      <c r="D4" s="5" t="s">
        <v>5</v>
      </c>
      <c r="E4" s="5" t="str">
        <f t="shared" si="0"/>
        <v>CI/CD Tool</v>
      </c>
      <c r="F4" s="2" t="s">
        <v>6</v>
      </c>
      <c r="G4" s="2" t="s">
        <v>7</v>
      </c>
      <c r="H4" s="2">
        <v>3031</v>
      </c>
    </row>
    <row r="5" spans="1:8" x14ac:dyDescent="0.2">
      <c r="A5">
        <v>0</v>
      </c>
      <c r="B5" s="5" t="s">
        <v>0</v>
      </c>
      <c r="C5" s="5" t="s">
        <v>85</v>
      </c>
      <c r="D5" s="5" t="s">
        <v>8</v>
      </c>
      <c r="E5" s="5" t="str">
        <f t="shared" si="0"/>
        <v>CI/CD Tool</v>
      </c>
      <c r="F5" s="5" t="s">
        <v>9</v>
      </c>
      <c r="G5" s="2" t="s">
        <v>10</v>
      </c>
      <c r="H5" s="2">
        <v>5930</v>
      </c>
    </row>
    <row r="6" spans="1:8" x14ac:dyDescent="0.2">
      <c r="A6">
        <v>27</v>
      </c>
      <c r="B6" s="5" t="s">
        <v>0</v>
      </c>
      <c r="C6" s="5" t="s">
        <v>85</v>
      </c>
      <c r="D6" s="5" t="s">
        <v>11</v>
      </c>
      <c r="E6" s="5" t="str">
        <f t="shared" si="0"/>
        <v>CI/CD Tool</v>
      </c>
      <c r="F6" s="5" t="s">
        <v>12</v>
      </c>
      <c r="G6" s="2" t="s">
        <v>13</v>
      </c>
      <c r="H6" s="2">
        <v>5274</v>
      </c>
    </row>
    <row r="7" spans="1:8" x14ac:dyDescent="0.2">
      <c r="A7">
        <v>4</v>
      </c>
      <c r="B7" s="5" t="s">
        <v>0</v>
      </c>
      <c r="C7" s="5" t="s">
        <v>85</v>
      </c>
      <c r="D7" s="63" t="s">
        <v>15</v>
      </c>
      <c r="E7" s="5" t="str">
        <f t="shared" si="0"/>
        <v>CI/CD Tool</v>
      </c>
      <c r="F7" s="5" t="s">
        <v>62</v>
      </c>
      <c r="G7" s="2" t="s">
        <v>63</v>
      </c>
      <c r="H7" s="2">
        <v>2711</v>
      </c>
    </row>
    <row r="8" spans="1:8" x14ac:dyDescent="0.2">
      <c r="A8">
        <v>1</v>
      </c>
      <c r="B8" s="2" t="s">
        <v>0</v>
      </c>
      <c r="C8" s="2" t="s">
        <v>85</v>
      </c>
      <c r="D8" s="5" t="s">
        <v>15</v>
      </c>
      <c r="E8" s="5" t="str">
        <f t="shared" si="0"/>
        <v>CI/CD Tool</v>
      </c>
      <c r="F8" s="2" t="s">
        <v>20</v>
      </c>
      <c r="G8" s="2" t="s">
        <v>21</v>
      </c>
      <c r="H8" s="2">
        <v>3533</v>
      </c>
    </row>
    <row r="9" spans="1:8" x14ac:dyDescent="0.2">
      <c r="A9">
        <v>5</v>
      </c>
      <c r="B9" s="2" t="s">
        <v>0</v>
      </c>
      <c r="C9" s="2" t="s">
        <v>85</v>
      </c>
      <c r="D9" s="5" t="s">
        <v>15</v>
      </c>
      <c r="E9" s="5" t="str">
        <f t="shared" si="0"/>
        <v>CI/CD Tool</v>
      </c>
      <c r="F9" s="2" t="s">
        <v>18</v>
      </c>
      <c r="G9" s="2" t="s">
        <v>19</v>
      </c>
      <c r="H9" s="2">
        <v>3804</v>
      </c>
    </row>
    <row r="10" spans="1:8" x14ac:dyDescent="0.2">
      <c r="A10">
        <v>18</v>
      </c>
      <c r="B10" s="2" t="s">
        <v>0</v>
      </c>
      <c r="C10" s="2" t="s">
        <v>85</v>
      </c>
      <c r="D10" s="5" t="s">
        <v>15</v>
      </c>
      <c r="E10" s="5" t="str">
        <f t="shared" si="0"/>
        <v>CI/CD Tool</v>
      </c>
      <c r="F10" s="2" t="s">
        <v>92</v>
      </c>
      <c r="G10" s="2" t="s">
        <v>14</v>
      </c>
      <c r="H10" s="2">
        <v>4962</v>
      </c>
    </row>
    <row r="11" spans="1:8" x14ac:dyDescent="0.2">
      <c r="A11">
        <v>10</v>
      </c>
      <c r="B11" s="2" t="s">
        <v>0</v>
      </c>
      <c r="C11" s="2" t="s">
        <v>85</v>
      </c>
      <c r="D11" s="5" t="s">
        <v>15</v>
      </c>
      <c r="E11" s="5" t="str">
        <f t="shared" si="0"/>
        <v>CI/CD Tool</v>
      </c>
      <c r="F11" s="2" t="s">
        <v>16</v>
      </c>
      <c r="G11" s="2" t="s">
        <v>17</v>
      </c>
      <c r="H11" s="2">
        <v>8222</v>
      </c>
    </row>
    <row r="12" spans="1:8" x14ac:dyDescent="0.2">
      <c r="A12">
        <v>12</v>
      </c>
      <c r="B12" s="5" t="s">
        <v>0</v>
      </c>
      <c r="C12" s="5"/>
      <c r="D12" s="5" t="s">
        <v>56</v>
      </c>
      <c r="E12" s="5" t="str">
        <f t="shared" si="0"/>
        <v>CI/CD Tool</v>
      </c>
      <c r="F12" s="5" t="s">
        <v>57</v>
      </c>
      <c r="G12" s="2" t="s">
        <v>58</v>
      </c>
      <c r="H12" s="2">
        <v>5745</v>
      </c>
    </row>
    <row r="13" spans="1:8" x14ac:dyDescent="0.2">
      <c r="A13">
        <v>29</v>
      </c>
      <c r="B13" s="5" t="s">
        <v>93</v>
      </c>
      <c r="C13" s="5" t="s">
        <v>86</v>
      </c>
      <c r="D13" s="5" t="s">
        <v>22</v>
      </c>
      <c r="E13" s="5" t="str">
        <f t="shared" si="0"/>
        <v>Cloud CI/CD</v>
      </c>
      <c r="F13" s="2"/>
      <c r="G13" s="2" t="s">
        <v>23</v>
      </c>
      <c r="H13" s="2">
        <v>5477</v>
      </c>
    </row>
    <row r="14" spans="1:8" x14ac:dyDescent="0.2">
      <c r="A14">
        <v>3</v>
      </c>
      <c r="B14" s="5" t="s">
        <v>93</v>
      </c>
      <c r="C14" s="5" t="s">
        <v>86</v>
      </c>
      <c r="D14" s="5" t="s">
        <v>24</v>
      </c>
      <c r="E14" s="5" t="str">
        <f t="shared" si="0"/>
        <v>Cloud CI/CD</v>
      </c>
      <c r="F14" s="2"/>
      <c r="G14" s="2" t="s">
        <v>25</v>
      </c>
      <c r="H14" s="2">
        <v>6818</v>
      </c>
    </row>
    <row r="15" spans="1:8" x14ac:dyDescent="0.2">
      <c r="A15">
        <v>25</v>
      </c>
      <c r="B15" s="5" t="s">
        <v>93</v>
      </c>
      <c r="C15" s="5" t="s">
        <v>86</v>
      </c>
      <c r="D15" s="5" t="s">
        <v>26</v>
      </c>
      <c r="E15" s="5" t="str">
        <f t="shared" si="0"/>
        <v>Cloud CI/CD</v>
      </c>
      <c r="F15" s="5" t="s">
        <v>27</v>
      </c>
      <c r="G15" s="2" t="s">
        <v>28</v>
      </c>
      <c r="H15" s="2">
        <v>9073</v>
      </c>
    </row>
    <row r="16" spans="1:8" x14ac:dyDescent="0.2">
      <c r="A16">
        <v>6</v>
      </c>
      <c r="B16" s="5" t="s">
        <v>93</v>
      </c>
      <c r="C16" s="5" t="s">
        <v>87</v>
      </c>
      <c r="D16" s="5" t="s">
        <v>29</v>
      </c>
      <c r="E16" s="5" t="str">
        <f t="shared" si="0"/>
        <v>Cloud CI/CD</v>
      </c>
      <c r="F16" s="2"/>
      <c r="G16" s="2" t="s">
        <v>30</v>
      </c>
      <c r="H16" s="2">
        <v>5382</v>
      </c>
    </row>
    <row r="17" spans="1:8" x14ac:dyDescent="0.2">
      <c r="A17">
        <v>7</v>
      </c>
      <c r="B17" s="5" t="s">
        <v>31</v>
      </c>
      <c r="C17" s="5" t="s">
        <v>32</v>
      </c>
      <c r="D17" s="63" t="s">
        <v>32</v>
      </c>
      <c r="E17" s="5" t="str">
        <f t="shared" si="0"/>
        <v>Container &amp; Orchestration</v>
      </c>
      <c r="F17" s="2"/>
      <c r="G17" s="2" t="s">
        <v>33</v>
      </c>
      <c r="H17" s="2">
        <v>4997</v>
      </c>
    </row>
    <row r="18" spans="1:8" x14ac:dyDescent="0.2">
      <c r="A18">
        <v>8</v>
      </c>
      <c r="B18" s="5" t="s">
        <v>31</v>
      </c>
      <c r="C18" s="5" t="s">
        <v>91</v>
      </c>
      <c r="D18" s="5" t="s">
        <v>296</v>
      </c>
      <c r="E18" s="5" t="str">
        <f t="shared" si="0"/>
        <v>Container &amp; Orchestration</v>
      </c>
      <c r="F18" s="2"/>
      <c r="G18" s="2" t="s">
        <v>35</v>
      </c>
      <c r="H18" s="2">
        <v>8657</v>
      </c>
    </row>
    <row r="19" spans="1:8" x14ac:dyDescent="0.2">
      <c r="A19">
        <v>14</v>
      </c>
      <c r="B19" s="5" t="s">
        <v>31</v>
      </c>
      <c r="C19" s="5" t="s">
        <v>91</v>
      </c>
      <c r="D19" s="5" t="s">
        <v>36</v>
      </c>
      <c r="E19" s="5" t="str">
        <f t="shared" si="0"/>
        <v>Container &amp; Orchestration</v>
      </c>
      <c r="F19" s="2"/>
      <c r="G19" s="2" t="s">
        <v>37</v>
      </c>
      <c r="H19" s="2">
        <v>8442</v>
      </c>
    </row>
    <row r="20" spans="1:8" x14ac:dyDescent="0.2">
      <c r="A20">
        <v>20</v>
      </c>
      <c r="B20" s="5" t="s">
        <v>31</v>
      </c>
      <c r="C20" s="5" t="s">
        <v>91</v>
      </c>
      <c r="D20" s="5" t="s">
        <v>38</v>
      </c>
      <c r="E20" s="5" t="str">
        <f t="shared" si="0"/>
        <v>Container &amp; Orchestration</v>
      </c>
      <c r="F20" s="5" t="s">
        <v>39</v>
      </c>
      <c r="G20" s="2" t="s">
        <v>40</v>
      </c>
      <c r="H20" s="2">
        <v>6288</v>
      </c>
    </row>
    <row r="21" spans="1:8" x14ac:dyDescent="0.2">
      <c r="A21">
        <v>9</v>
      </c>
      <c r="B21" s="5" t="s">
        <v>48</v>
      </c>
      <c r="C21" s="5" t="s">
        <v>89</v>
      </c>
      <c r="D21" s="63" t="s">
        <v>75</v>
      </c>
      <c r="E21" s="5" t="str">
        <f t="shared" si="0"/>
        <v>Infra as a Code</v>
      </c>
      <c r="F21" s="2" t="s">
        <v>46</v>
      </c>
      <c r="G21" s="2" t="s">
        <v>47</v>
      </c>
      <c r="H21" s="2">
        <v>2876</v>
      </c>
    </row>
    <row r="22" spans="1:8" x14ac:dyDescent="0.2">
      <c r="A22">
        <v>17</v>
      </c>
      <c r="B22" s="2" t="s">
        <v>48</v>
      </c>
      <c r="C22" s="2" t="s">
        <v>89</v>
      </c>
      <c r="D22" s="5" t="s">
        <v>75</v>
      </c>
      <c r="E22" s="5" t="str">
        <f t="shared" si="0"/>
        <v>Infra as a Code</v>
      </c>
      <c r="F22" s="2" t="s">
        <v>49</v>
      </c>
      <c r="G22" s="2" t="s">
        <v>50</v>
      </c>
      <c r="H22" s="2">
        <v>7955</v>
      </c>
    </row>
    <row r="23" spans="1:8" x14ac:dyDescent="0.2">
      <c r="A23">
        <v>13</v>
      </c>
      <c r="B23" s="2" t="s">
        <v>48</v>
      </c>
      <c r="C23" s="2" t="s">
        <v>90</v>
      </c>
      <c r="D23" s="63" t="s">
        <v>43</v>
      </c>
      <c r="E23" s="5" t="str">
        <f t="shared" si="0"/>
        <v>Infra as a Code</v>
      </c>
      <c r="F23" s="2" t="s">
        <v>41</v>
      </c>
      <c r="G23" s="2" t="s">
        <v>42</v>
      </c>
      <c r="H23" s="2">
        <v>7014</v>
      </c>
    </row>
    <row r="24" spans="1:8" x14ac:dyDescent="0.2">
      <c r="A24">
        <v>22</v>
      </c>
      <c r="B24" s="5" t="s">
        <v>48</v>
      </c>
      <c r="C24" s="5" t="s">
        <v>90</v>
      </c>
      <c r="D24" s="5" t="s">
        <v>43</v>
      </c>
      <c r="E24" s="5" t="str">
        <f t="shared" si="0"/>
        <v>Infra as a Code</v>
      </c>
      <c r="F24" s="5" t="s">
        <v>44</v>
      </c>
      <c r="G24" s="2" t="s">
        <v>45</v>
      </c>
      <c r="H24" s="2">
        <v>8026</v>
      </c>
    </row>
    <row r="25" spans="1:8" x14ac:dyDescent="0.2">
      <c r="A25">
        <v>28</v>
      </c>
      <c r="B25" s="5" t="s">
        <v>48</v>
      </c>
      <c r="C25" s="5"/>
      <c r="D25" s="5" t="s">
        <v>97</v>
      </c>
      <c r="E25" s="5" t="str">
        <f t="shared" si="0"/>
        <v>Infra as a Code</v>
      </c>
      <c r="F25" s="5" t="s">
        <v>64</v>
      </c>
      <c r="G25" s="2" t="s">
        <v>65</v>
      </c>
      <c r="H25" s="2">
        <v>3327</v>
      </c>
    </row>
    <row r="26" spans="1:8" x14ac:dyDescent="0.2">
      <c r="A26">
        <v>24</v>
      </c>
      <c r="B26" s="5" t="s">
        <v>48</v>
      </c>
      <c r="C26" s="5"/>
      <c r="D26" s="5" t="s">
        <v>95</v>
      </c>
      <c r="E26" s="5" t="str">
        <f t="shared" si="0"/>
        <v>Infra as a Code</v>
      </c>
      <c r="F26" s="5" t="s">
        <v>54</v>
      </c>
      <c r="G26" s="2" t="s">
        <v>55</v>
      </c>
      <c r="H26" s="2">
        <v>4772</v>
      </c>
    </row>
    <row r="27" spans="1:8" x14ac:dyDescent="0.2">
      <c r="A27">
        <v>11</v>
      </c>
      <c r="B27" s="2" t="s">
        <v>48</v>
      </c>
      <c r="C27" s="2"/>
      <c r="D27" s="5" t="s">
        <v>59</v>
      </c>
      <c r="E27" s="5" t="str">
        <f t="shared" si="0"/>
        <v>Infra as a Code</v>
      </c>
      <c r="F27" s="2" t="s">
        <v>60</v>
      </c>
      <c r="G27" s="2" t="s">
        <v>61</v>
      </c>
      <c r="H27" s="2">
        <v>5541</v>
      </c>
    </row>
    <row r="28" spans="1:8" x14ac:dyDescent="0.2">
      <c r="A28">
        <v>2</v>
      </c>
      <c r="B28" s="5" t="s">
        <v>48</v>
      </c>
      <c r="C28" s="5"/>
      <c r="D28" s="5" t="s">
        <v>51</v>
      </c>
      <c r="E28" s="5" t="str">
        <f t="shared" si="0"/>
        <v>Infra as a Code</v>
      </c>
      <c r="F28" s="5" t="s">
        <v>52</v>
      </c>
      <c r="G28" s="2" t="s">
        <v>53</v>
      </c>
      <c r="H28" s="2">
        <v>6635</v>
      </c>
    </row>
    <row r="29" spans="1:8" x14ac:dyDescent="0.2">
      <c r="A29">
        <v>19</v>
      </c>
      <c r="B29" s="5" t="s">
        <v>48</v>
      </c>
      <c r="C29" s="5"/>
      <c r="D29" s="5" t="s">
        <v>96</v>
      </c>
      <c r="E29" s="5" t="str">
        <f t="shared" si="0"/>
        <v>Infra as a Code</v>
      </c>
      <c r="F29" s="2"/>
      <c r="G29" s="2" t="s">
        <v>66</v>
      </c>
      <c r="H29" s="2">
        <v>4388</v>
      </c>
    </row>
    <row r="30" spans="1:8" x14ac:dyDescent="0.2">
      <c r="A30">
        <v>26</v>
      </c>
      <c r="B30" s="2" t="s">
        <v>67</v>
      </c>
      <c r="C30" s="2"/>
      <c r="D30" s="5" t="s">
        <v>68</v>
      </c>
      <c r="E30" s="5" t="str">
        <f t="shared" si="0"/>
        <v>Quality Assurance</v>
      </c>
      <c r="F30" s="2" t="s">
        <v>69</v>
      </c>
      <c r="G30" s="2" t="s">
        <v>70</v>
      </c>
      <c r="H30" s="2">
        <v>5670</v>
      </c>
    </row>
    <row r="31" spans="1:8" x14ac:dyDescent="0.2">
      <c r="A31">
        <v>21</v>
      </c>
      <c r="B31" s="5" t="s">
        <v>67</v>
      </c>
      <c r="C31" s="5"/>
      <c r="D31" s="5" t="s">
        <v>71</v>
      </c>
      <c r="E31" s="5" t="str">
        <f t="shared" si="0"/>
        <v>Quality Assurance</v>
      </c>
      <c r="F31" s="5" t="s">
        <v>72</v>
      </c>
      <c r="G31" s="2" t="s">
        <v>73</v>
      </c>
      <c r="H31" s="2">
        <v>5391</v>
      </c>
    </row>
  </sheetData>
  <autoFilter ref="A1:H31" xr:uid="{00000000-0009-0000-0000-000000000000}">
    <sortState xmlns:xlrd2="http://schemas.microsoft.com/office/spreadsheetml/2017/richdata2" ref="A2:H31">
      <sortCondition ref="B1:B31"/>
    </sortState>
  </autoFilter>
  <sortState xmlns:xlrd2="http://schemas.microsoft.com/office/spreadsheetml/2017/richdata2" ref="A1:H31">
    <sortCondition ref="B1:B31"/>
    <sortCondition ref="D1:D31"/>
  </sortState>
  <conditionalFormatting sqref="H2:H31">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3"/>
  <sheetViews>
    <sheetView topLeftCell="A33" zoomScale="70" zoomScaleNormal="70" workbookViewId="0">
      <selection activeCell="J13" sqref="A13:J16"/>
    </sheetView>
  </sheetViews>
  <sheetFormatPr baseColWidth="10" defaultColWidth="8.83203125" defaultRowHeight="15" x14ac:dyDescent="0.2"/>
  <cols>
    <col min="1" max="1" width="34.6640625" bestFit="1" customWidth="1"/>
    <col min="2" max="2" width="10.6640625" customWidth="1"/>
    <col min="3" max="3" width="13.1640625" customWidth="1"/>
    <col min="4" max="4" width="11.1640625" customWidth="1"/>
    <col min="5" max="5" width="14.33203125" bestFit="1" customWidth="1"/>
    <col min="6" max="6" width="11.6640625" bestFit="1" customWidth="1"/>
    <col min="7" max="7" width="14.33203125" bestFit="1" customWidth="1"/>
    <col min="8" max="8" width="9.33203125" hidden="1" customWidth="1"/>
    <col min="9" max="9" width="21.5" bestFit="1" customWidth="1"/>
    <col min="10" max="10" width="10.33203125" bestFit="1" customWidth="1"/>
  </cols>
  <sheetData>
    <row r="1" spans="1:10" x14ac:dyDescent="0.2">
      <c r="A1" s="8" t="s">
        <v>76</v>
      </c>
      <c r="B1" s="8" t="s">
        <v>100</v>
      </c>
      <c r="C1" s="9" t="s">
        <v>79</v>
      </c>
      <c r="D1" s="9" t="s">
        <v>94</v>
      </c>
      <c r="E1" s="9" t="s">
        <v>80</v>
      </c>
      <c r="F1" s="10" t="s">
        <v>81</v>
      </c>
      <c r="G1" s="9" t="s">
        <v>101</v>
      </c>
      <c r="H1" s="9" t="s">
        <v>98</v>
      </c>
      <c r="I1" s="9" t="s">
        <v>99</v>
      </c>
      <c r="J1" s="9" t="s">
        <v>102</v>
      </c>
    </row>
    <row r="2" spans="1:10" x14ac:dyDescent="0.2">
      <c r="A2" s="6" t="s">
        <v>22</v>
      </c>
      <c r="B2" s="26">
        <f>100-Table1[[#This Row],[% Acc Answer]]</f>
        <v>46.375753149534418</v>
      </c>
      <c r="C2" s="22">
        <v>1391.26</v>
      </c>
      <c r="D2" s="24">
        <f>SUMIF('Topic Post Count'!$D$2:$D$31,Table1[[#This Row],[Topic Name]],'Topic Post Count'!$H$2:$H$31)</f>
        <v>5477</v>
      </c>
      <c r="E2" s="17">
        <v>0.46</v>
      </c>
      <c r="F2" s="18">
        <v>1.93</v>
      </c>
      <c r="G2" s="24">
        <f>VLOOKUP(Table1[[#This Row],[Topic Name]],Table2[],3,FALSE)</f>
        <v>163.93609640314</v>
      </c>
      <c r="H2" s="24">
        <f>VLOOKUP(Table1[[#This Row],[Topic Name]],Table2[],2,FALSE)</f>
        <v>53.624246850465582</v>
      </c>
      <c r="I2" t="str">
        <f>VLOOKUP(Table1[[#This Row],[Topic Name]],'Topic Post Count'!$D$2:$E$31,2, FALSE)</f>
        <v>Cloud CI/CD</v>
      </c>
      <c r="J2" s="25">
        <f>_xlfn.CEILING.MATH(Table1[[#This Row],[Posts]]/1000)*1000</f>
        <v>6000</v>
      </c>
    </row>
    <row r="3" spans="1:10" x14ac:dyDescent="0.2">
      <c r="A3" s="6" t="s">
        <v>24</v>
      </c>
      <c r="B3" s="26">
        <f>100-Table1[[#This Row],[% Acc Answer]]</f>
        <v>56.761513640363745</v>
      </c>
      <c r="C3" s="22">
        <v>932.96</v>
      </c>
      <c r="D3" s="24">
        <f>SUMIF('Topic Post Count'!$D$2:$D$31,Table1[[#This Row],[Topic Name]],'Topic Post Count'!$H$2:$H$31)</f>
        <v>6818</v>
      </c>
      <c r="E3" s="17">
        <v>0.69</v>
      </c>
      <c r="F3" s="18">
        <v>1.75</v>
      </c>
      <c r="G3" s="24">
        <f>VLOOKUP(Table1[[#This Row],[Topic Name]],Table2[],3,FALSE)</f>
        <v>141.885303608096</v>
      </c>
      <c r="H3" s="24">
        <f>VLOOKUP(Table1[[#This Row],[Topic Name]],Table2[],2,FALSE)</f>
        <v>43.238486359636255</v>
      </c>
      <c r="I3" t="str">
        <f>VLOOKUP(Table1[[#This Row],[Topic Name]],'Topic Post Count'!$D$2:$E$31,2, FALSE)</f>
        <v>Cloud CI/CD</v>
      </c>
      <c r="J3" s="25">
        <f>_xlfn.CEILING.MATH(Table1[[#This Row],[Posts]]/1000)*1000</f>
        <v>7000</v>
      </c>
    </row>
    <row r="4" spans="1:10" x14ac:dyDescent="0.2">
      <c r="A4" s="6" t="s">
        <v>26</v>
      </c>
      <c r="B4" s="26">
        <f>100-Table1[[#This Row],[% Acc Answer]]</f>
        <v>45.806238289430176</v>
      </c>
      <c r="C4" s="22">
        <v>607.44000000000005</v>
      </c>
      <c r="D4" s="24">
        <f>SUMIF('Topic Post Count'!$D$2:$D$31,Table1[[#This Row],[Topic Name]],'Topic Post Count'!$H$2:$H$31)</f>
        <v>9073</v>
      </c>
      <c r="E4" s="17">
        <v>0.24</v>
      </c>
      <c r="F4" s="18">
        <v>1.0900000000000001</v>
      </c>
      <c r="G4" s="24">
        <f>VLOOKUP(Table1[[#This Row],[Topic Name]],Table2[],3,FALSE)</f>
        <v>131.64763584260899</v>
      </c>
      <c r="H4" s="24">
        <f>VLOOKUP(Table1[[#This Row],[Topic Name]],Table2[],2,FALSE)</f>
        <v>54.193761710569824</v>
      </c>
      <c r="I4" t="str">
        <f>VLOOKUP(Table1[[#This Row],[Topic Name]],'Topic Post Count'!$D$2:$E$31,2, FALSE)</f>
        <v>Cloud CI/CD</v>
      </c>
      <c r="J4" s="25">
        <f>_xlfn.CEILING.MATH(Table1[[#This Row],[Posts]]/1000)*1000</f>
        <v>10000</v>
      </c>
    </row>
    <row r="5" spans="1:10" x14ac:dyDescent="0.2">
      <c r="A5" s="6" t="s">
        <v>75</v>
      </c>
      <c r="B5" s="26">
        <f>100-Table1[[#This Row],[% Acc Answer]]</f>
        <v>57.363210478972036</v>
      </c>
      <c r="C5" s="22">
        <v>1087.365</v>
      </c>
      <c r="D5" s="24">
        <f>SUMIF('Topic Post Count'!$D$2:$D$31,Table1[[#This Row],[Topic Name]],'Topic Post Count'!$H$2:$H$31)</f>
        <v>10831</v>
      </c>
      <c r="E5" s="17">
        <v>0.38</v>
      </c>
      <c r="F5" s="18">
        <v>1.615</v>
      </c>
      <c r="G5" s="24">
        <f>VLOOKUP(Table1[[#This Row],[Topic Name]],Table2[],3,FALSE)</f>
        <v>132.5692661869746</v>
      </c>
      <c r="H5" s="24">
        <f>VLOOKUP(Table1[[#This Row],[Topic Name]],Table2[],2,FALSE)</f>
        <v>42.636789521027964</v>
      </c>
      <c r="I5" t="str">
        <f>VLOOKUP(Table1[[#This Row],[Topic Name]],'Topic Post Count'!$D$2:$E$31,2, FALSE)</f>
        <v>Infra as a Code</v>
      </c>
      <c r="J5" s="25">
        <f>_xlfn.CEILING.MATH(Table1[[#This Row],[Posts]]/1000)*1000</f>
        <v>11000</v>
      </c>
    </row>
    <row r="6" spans="1:10" x14ac:dyDescent="0.2">
      <c r="A6" s="6" t="s">
        <v>43</v>
      </c>
      <c r="B6" s="26">
        <f>100-Table1[[#This Row],[% Acc Answer]]</f>
        <v>51.598694675722783</v>
      </c>
      <c r="C6" s="22">
        <v>2177.42</v>
      </c>
      <c r="D6" s="24">
        <f>SUMIF('Topic Post Count'!$D$2:$D$31,Table1[[#This Row],[Topic Name]],'Topic Post Count'!$H$2:$H$31)</f>
        <v>15040</v>
      </c>
      <c r="E6" s="17">
        <v>0.44500000000000001</v>
      </c>
      <c r="F6" s="18">
        <v>1.8650000000000002</v>
      </c>
      <c r="G6" s="24">
        <f>VLOOKUP(Table1[[#This Row],[Topic Name]],Table2[],3,FALSE)</f>
        <v>145.17871698488301</v>
      </c>
      <c r="H6" s="24">
        <f>VLOOKUP(Table1[[#This Row],[Topic Name]],Table2[],2,FALSE)</f>
        <v>48.401305324277217</v>
      </c>
      <c r="I6" t="str">
        <f>VLOOKUP(Table1[[#This Row],[Topic Name]],'Topic Post Count'!$D$2:$E$31,2, FALSE)</f>
        <v>Infra as a Code</v>
      </c>
      <c r="J6" s="25">
        <f>_xlfn.CEILING.MATH(Table1[[#This Row],[Posts]]/1000)*1000</f>
        <v>16000</v>
      </c>
    </row>
    <row r="7" spans="1:10" x14ac:dyDescent="0.2">
      <c r="A7" s="6" t="s">
        <v>32</v>
      </c>
      <c r="B7" s="26">
        <f>100-Table1[[#This Row],[% Acc Answer]]</f>
        <v>59.135481288773263</v>
      </c>
      <c r="C7" s="22">
        <v>1434.59</v>
      </c>
      <c r="D7" s="24">
        <f>SUMIF('Topic Post Count'!$D$2:$D$31,Table1[[#This Row],[Topic Name]],'Topic Post Count'!$H$2:$H$31)</f>
        <v>4997</v>
      </c>
      <c r="E7" s="17">
        <v>0.6</v>
      </c>
      <c r="F7" s="18">
        <v>1.94</v>
      </c>
      <c r="G7" s="24">
        <f>VLOOKUP(Table1[[#This Row],[Topic Name]],Table2[],3,FALSE)</f>
        <v>138.48909345607299</v>
      </c>
      <c r="H7" s="24">
        <f>VLOOKUP(Table1[[#This Row],[Topic Name]],Table2[],2,FALSE)</f>
        <v>40.864518711226737</v>
      </c>
      <c r="I7" t="str">
        <f>VLOOKUP(Table1[[#This Row],[Topic Name]],'Topic Post Count'!$D$2:$E$31,2, FALSE)</f>
        <v>Container &amp; Orchestration</v>
      </c>
      <c r="J7" s="25">
        <f>_xlfn.CEILING.MATH(Table1[[#This Row],[Posts]]/1000)*1000</f>
        <v>5000</v>
      </c>
    </row>
    <row r="8" spans="1:10" x14ac:dyDescent="0.2">
      <c r="A8" s="6" t="s">
        <v>97</v>
      </c>
      <c r="B8" s="26">
        <f>100-Table1[[#This Row],[% Acc Answer]]</f>
        <v>65.554553651938676</v>
      </c>
      <c r="C8" s="22">
        <v>1970.01</v>
      </c>
      <c r="D8" s="24">
        <f>SUMIF('Topic Post Count'!$D$2:$D$31,Table1[[#This Row],[Topic Name]],'Topic Post Count'!$H$2:$H$31)</f>
        <v>3327</v>
      </c>
      <c r="E8" s="17">
        <v>0.42</v>
      </c>
      <c r="F8" s="18">
        <v>1.74</v>
      </c>
      <c r="G8" s="24">
        <f>VLOOKUP(Table1[[#This Row],[Topic Name]],Table2[],3,FALSE)</f>
        <v>131.665163811241</v>
      </c>
      <c r="H8" s="24">
        <f>VLOOKUP(Table1[[#This Row],[Topic Name]],Table2[],2,FALSE)</f>
        <v>34.445446348061317</v>
      </c>
      <c r="I8" t="str">
        <f>VLOOKUP(Table1[[#This Row],[Topic Name]],'Topic Post Count'!$D$2:$E$31,2, FALSE)</f>
        <v>Infra as a Code</v>
      </c>
      <c r="J8" s="25">
        <f>_xlfn.CEILING.MATH(Table1[[#This Row],[Posts]]/1000)*1000</f>
        <v>4000</v>
      </c>
    </row>
    <row r="9" spans="1:10" x14ac:dyDescent="0.2">
      <c r="A9" s="6" t="s">
        <v>95</v>
      </c>
      <c r="B9" s="26">
        <f>100-Table1[[#This Row],[% Acc Answer]]</f>
        <v>58.130762782900248</v>
      </c>
      <c r="C9" s="22">
        <v>2805.36</v>
      </c>
      <c r="D9" s="24">
        <f>SUMIF('Topic Post Count'!$D$2:$D$31,Table1[[#This Row],[Topic Name]],'Topic Post Count'!$H$2:$H$31)</f>
        <v>4772</v>
      </c>
      <c r="E9" s="17">
        <v>0.4</v>
      </c>
      <c r="F9" s="18">
        <v>2.0499999999999998</v>
      </c>
      <c r="G9" s="24">
        <f>VLOOKUP(Table1[[#This Row],[Topic Name]],Table2[],3,FALSE)</f>
        <v>191.25230511315999</v>
      </c>
      <c r="H9" s="24">
        <f>VLOOKUP(Table1[[#This Row],[Topic Name]],Table2[],2,FALSE)</f>
        <v>41.869237217099752</v>
      </c>
      <c r="I9" t="str">
        <f>VLOOKUP(Table1[[#This Row],[Topic Name]],'Topic Post Count'!$D$2:$E$31,2, FALSE)</f>
        <v>Infra as a Code</v>
      </c>
      <c r="J9" s="25">
        <f>_xlfn.CEILING.MATH(Table1[[#This Row],[Posts]]/1000)*1000</f>
        <v>5000</v>
      </c>
    </row>
    <row r="10" spans="1:10" x14ac:dyDescent="0.2">
      <c r="A10" s="6" t="s">
        <v>68</v>
      </c>
      <c r="B10" s="26">
        <f>100-Table1[[#This Row],[% Acc Answer]]</f>
        <v>63.932980599647266</v>
      </c>
      <c r="C10" s="22">
        <v>1399.63</v>
      </c>
      <c r="D10" s="24">
        <f>SUMIF('Topic Post Count'!$D$2:$D$31,Table1[[#This Row],[Topic Name]],'Topic Post Count'!$H$2:$H$31)</f>
        <v>5670</v>
      </c>
      <c r="E10" s="17">
        <v>0.5</v>
      </c>
      <c r="F10" s="18">
        <v>1.65</v>
      </c>
      <c r="G10" s="24">
        <f>VLOOKUP(Table1[[#This Row],[Topic Name]],Table2[],3,FALSE)</f>
        <v>196.93756613756599</v>
      </c>
      <c r="H10" s="24">
        <f>VLOOKUP(Table1[[#This Row],[Topic Name]],Table2[],2,FALSE)</f>
        <v>36.067019400352734</v>
      </c>
      <c r="I10" t="str">
        <f>VLOOKUP(Table1[[#This Row],[Topic Name]],'Topic Post Count'!$D$2:$E$31,2, FALSE)</f>
        <v>Quality Assurance</v>
      </c>
      <c r="J10" s="25">
        <f>_xlfn.CEILING.MATH(Table1[[#This Row],[Posts]]/1000)*1000</f>
        <v>6000</v>
      </c>
    </row>
    <row r="11" spans="1:10" x14ac:dyDescent="0.2">
      <c r="A11" s="6" t="s">
        <v>1</v>
      </c>
      <c r="B11" s="26">
        <f>100-Table1[[#This Row],[% Acc Answer]]</f>
        <v>60.100518806744489</v>
      </c>
      <c r="C11" s="22">
        <v>1415.8</v>
      </c>
      <c r="D11" s="24">
        <f>SUMIF('Topic Post Count'!$D$2:$D$31,Table1[[#This Row],[Topic Name]],'Topic Post Count'!$H$2:$H$31)</f>
        <v>6168</v>
      </c>
      <c r="E11" s="17">
        <v>0.56999999999999995</v>
      </c>
      <c r="F11" s="18">
        <v>2.09</v>
      </c>
      <c r="G11" s="24">
        <f>VLOOKUP(Table1[[#This Row],[Topic Name]],Table2[],3,FALSE)</f>
        <v>249.84176394293101</v>
      </c>
      <c r="H11" s="24">
        <f>VLOOKUP(Table1[[#This Row],[Topic Name]],Table2[],2,FALSE)</f>
        <v>39.899481193255511</v>
      </c>
      <c r="I11" t="str">
        <f>VLOOKUP(Table1[[#This Row],[Topic Name]],'Topic Post Count'!$D$2:$E$31,2, FALSE)</f>
        <v>CI/CD Tool</v>
      </c>
      <c r="J11" s="25">
        <f>_xlfn.CEILING.MATH(Table1[[#This Row],[Posts]]/1000)*1000</f>
        <v>7000</v>
      </c>
    </row>
    <row r="12" spans="1:10" x14ac:dyDescent="0.2">
      <c r="A12" s="6" t="s">
        <v>29</v>
      </c>
      <c r="B12" s="26">
        <f>100-Table1[[#This Row],[% Acc Answer]]</f>
        <v>59.513192121887776</v>
      </c>
      <c r="C12" s="22">
        <v>421.06</v>
      </c>
      <c r="D12" s="24">
        <f>SUMIF('Topic Post Count'!$D$2:$D$31,Table1[[#This Row],[Topic Name]],'Topic Post Count'!$H$2:$H$31)</f>
        <v>5382</v>
      </c>
      <c r="E12" s="17">
        <v>0.16</v>
      </c>
      <c r="F12" s="18">
        <v>0.66</v>
      </c>
      <c r="G12" s="24">
        <f>VLOOKUP(Table1[[#This Row],[Topic Name]],Table2[],3,FALSE)</f>
        <v>74.293942772203593</v>
      </c>
      <c r="H12" s="24">
        <f>VLOOKUP(Table1[[#This Row],[Topic Name]],Table2[],2,FALSE)</f>
        <v>40.486807878112224</v>
      </c>
      <c r="I12" t="str">
        <f>VLOOKUP(Table1[[#This Row],[Topic Name]],'Topic Post Count'!$D$2:$E$31,2, FALSE)</f>
        <v>Cloud CI/CD</v>
      </c>
      <c r="J12" s="25">
        <f>_xlfn.CEILING.MATH(Table1[[#This Row],[Posts]]/1000)*1000</f>
        <v>6000</v>
      </c>
    </row>
    <row r="13" spans="1:10" x14ac:dyDescent="0.2">
      <c r="A13" s="6" t="s">
        <v>3</v>
      </c>
      <c r="B13" s="26">
        <f>100-Table1[[#This Row],[% Acc Answer]]</f>
        <v>62.115563839701771</v>
      </c>
      <c r="C13" s="22">
        <v>2065.02</v>
      </c>
      <c r="D13" s="24">
        <f>SUMIF('Topic Post Count'!$D$2:$D$31,Table1[[#This Row],[Topic Name]],'Topic Post Count'!$H$2:$H$31)</f>
        <v>8584</v>
      </c>
      <c r="E13" s="17">
        <v>0.7</v>
      </c>
      <c r="F13" s="18">
        <v>2.5499999999999998</v>
      </c>
      <c r="G13" s="24">
        <f>VLOOKUP(Table1[[#This Row],[Topic Name]],Table2[],3,FALSE)</f>
        <v>236.47122553588</v>
      </c>
      <c r="H13" s="24">
        <f>VLOOKUP(Table1[[#This Row],[Topic Name]],Table2[],2,FALSE)</f>
        <v>37.884436160298229</v>
      </c>
      <c r="I13" t="str">
        <f>VLOOKUP(Table1[[#This Row],[Topic Name]],'Topic Post Count'!$D$2:$E$31,2, FALSE)</f>
        <v>CI/CD Tool</v>
      </c>
      <c r="J13" s="25">
        <f>_xlfn.CEILING.MATH(Table1[[#This Row],[Posts]]/1000)*1000</f>
        <v>9000</v>
      </c>
    </row>
    <row r="14" spans="1:10" x14ac:dyDescent="0.2">
      <c r="A14" s="6" t="s">
        <v>5</v>
      </c>
      <c r="B14" s="26">
        <f>100-Table1[[#This Row],[% Acc Answer]]</f>
        <v>61.13493896403827</v>
      </c>
      <c r="C14" s="22">
        <v>1543.45</v>
      </c>
      <c r="D14" s="24">
        <f>SUMIF('Topic Post Count'!$D$2:$D$31,Table1[[#This Row],[Topic Name]],'Topic Post Count'!$H$2:$H$31)</f>
        <v>3031</v>
      </c>
      <c r="E14" s="17">
        <v>0.74</v>
      </c>
      <c r="F14" s="18">
        <v>2.38</v>
      </c>
      <c r="G14" s="24">
        <f>VLOOKUP(Table1[[#This Row],[Topic Name]],Table2[],3,FALSE)</f>
        <v>248.19333553282701</v>
      </c>
      <c r="H14" s="24">
        <f>VLOOKUP(Table1[[#This Row],[Topic Name]],Table2[],2,FALSE)</f>
        <v>38.86506103596173</v>
      </c>
      <c r="I14" t="str">
        <f>VLOOKUP(Table1[[#This Row],[Topic Name]],'Topic Post Count'!$D$2:$E$31,2, FALSE)</f>
        <v>CI/CD Tool</v>
      </c>
      <c r="J14" s="25">
        <f>_xlfn.CEILING.MATH(Table1[[#This Row],[Posts]]/1000)*1000</f>
        <v>4000</v>
      </c>
    </row>
    <row r="15" spans="1:10" x14ac:dyDescent="0.2">
      <c r="A15" s="6" t="s">
        <v>8</v>
      </c>
      <c r="B15" s="26">
        <f>100-Table1[[#This Row],[% Acc Answer]]</f>
        <v>63.338954468802697</v>
      </c>
      <c r="C15" s="22">
        <v>2035.07</v>
      </c>
      <c r="D15" s="24">
        <f>SUMIF('Topic Post Count'!$D$2:$D$31,Table1[[#This Row],[Topic Name]],'Topic Post Count'!$H$2:$H$31)</f>
        <v>5930</v>
      </c>
      <c r="E15" s="17">
        <v>0.46</v>
      </c>
      <c r="F15" s="18">
        <v>1.78</v>
      </c>
      <c r="G15" s="24">
        <f>VLOOKUP(Table1[[#This Row],[Topic Name]],Table2[],3,FALSE)</f>
        <v>154.251096121416</v>
      </c>
      <c r="H15" s="24">
        <f>VLOOKUP(Table1[[#This Row],[Topic Name]],Table2[],2,FALSE)</f>
        <v>36.661045531197303</v>
      </c>
      <c r="I15" t="str">
        <f>VLOOKUP(Table1[[#This Row],[Topic Name]],'Topic Post Count'!$D$2:$E$31,2, FALSE)</f>
        <v>CI/CD Tool</v>
      </c>
      <c r="J15" s="25">
        <f>_xlfn.CEILING.MATH(Table1[[#This Row],[Posts]]/1000)*1000</f>
        <v>6000</v>
      </c>
    </row>
    <row r="16" spans="1:10" x14ac:dyDescent="0.2">
      <c r="A16" s="6" t="s">
        <v>11</v>
      </c>
      <c r="B16" s="26">
        <f>100-Table1[[#This Row],[% Acc Answer]]</f>
        <v>64.675767918088738</v>
      </c>
      <c r="C16" s="22">
        <v>2332.35</v>
      </c>
      <c r="D16" s="24">
        <f>SUMIF('Topic Post Count'!$D$2:$D$31,Table1[[#This Row],[Topic Name]],'Topic Post Count'!$H$2:$H$31)</f>
        <v>5274</v>
      </c>
      <c r="E16" s="17">
        <v>0.52</v>
      </c>
      <c r="F16" s="18">
        <v>1.9</v>
      </c>
      <c r="G16" s="24">
        <f>VLOOKUP(Table1[[#This Row],[Topic Name]],Table2[],3,FALSE)</f>
        <v>173.93117178611999</v>
      </c>
      <c r="H16" s="24">
        <f>VLOOKUP(Table1[[#This Row],[Topic Name]],Table2[],2,FALSE)</f>
        <v>35.324232081911262</v>
      </c>
      <c r="I16" t="str">
        <f>VLOOKUP(Table1[[#This Row],[Topic Name]],'Topic Post Count'!$D$2:$E$31,2, FALSE)</f>
        <v>CI/CD Tool</v>
      </c>
      <c r="J16" s="25">
        <f>_xlfn.CEILING.MATH(Table1[[#This Row],[Posts]]/1000)*1000</f>
        <v>6000</v>
      </c>
    </row>
    <row r="17" spans="1:10" x14ac:dyDescent="0.2">
      <c r="A17" s="6" t="s">
        <v>15</v>
      </c>
      <c r="B17" s="26">
        <f>100-Table1[[#This Row],[% Acc Answer]]</f>
        <v>61.684000000000005</v>
      </c>
      <c r="C17" s="22">
        <v>2502.9359999999997</v>
      </c>
      <c r="D17" s="24">
        <f>SUMIF('Topic Post Count'!$D$2:$D$31,Table1[[#This Row],[Topic Name]],'Topic Post Count'!$H$2:$H$31)</f>
        <v>23232</v>
      </c>
      <c r="E17" s="17">
        <v>0.53200000000000003</v>
      </c>
      <c r="F17" s="18">
        <v>2.1859999999999999</v>
      </c>
      <c r="G17" s="24">
        <f>VLOOKUP(Table1[[#This Row],[Topic Name]],Table2[],3,FALSE)</f>
        <v>193.76247778000001</v>
      </c>
      <c r="H17" s="24">
        <f>VLOOKUP(Table1[[#This Row],[Topic Name]],Table2[],2,FALSE)</f>
        <v>38.315999999999995</v>
      </c>
      <c r="I17" t="str">
        <f>VLOOKUP(Table1[[#This Row],[Topic Name]],'Topic Post Count'!$D$2:$E$31,2, FALSE)</f>
        <v>CI/CD Tool</v>
      </c>
      <c r="J17" s="25">
        <f>_xlfn.CEILING.MATH(Table1[[#This Row],[Posts]]/1000)*1000</f>
        <v>24000</v>
      </c>
    </row>
    <row r="18" spans="1:10" x14ac:dyDescent="0.2">
      <c r="A18" s="6" t="s">
        <v>34</v>
      </c>
      <c r="B18" s="26">
        <f>100-Table1[[#This Row],[% Acc Answer]]</f>
        <v>59.9168303107312</v>
      </c>
      <c r="C18" s="22">
        <v>1020.49</v>
      </c>
      <c r="D18" s="24">
        <f>SUMIF('Topic Post Count'!$D$2:$D$31,Table1[[#This Row],[Topic Name]],'Topic Post Count'!$H$2:$H$31)</f>
        <v>8657</v>
      </c>
      <c r="E18" s="17">
        <v>0.42</v>
      </c>
      <c r="F18" s="18">
        <v>1.44</v>
      </c>
      <c r="G18" s="24">
        <f>VLOOKUP(Table1[[#This Row],[Topic Name]],Table2[],3,FALSE)</f>
        <v>105.934272842786</v>
      </c>
      <c r="H18" s="24">
        <f>VLOOKUP(Table1[[#This Row],[Topic Name]],Table2[],2,FALSE)</f>
        <v>40.0831696892688</v>
      </c>
      <c r="I18" t="str">
        <f>VLOOKUP(Table1[[#This Row],[Topic Name]],'Topic Post Count'!$D$2:$E$31,2, FALSE)</f>
        <v>Container &amp; Orchestration</v>
      </c>
      <c r="J18" s="25">
        <f>_xlfn.CEILING.MATH(Table1[[#This Row],[Posts]]/1000)*1000</f>
        <v>9000</v>
      </c>
    </row>
    <row r="19" spans="1:10" x14ac:dyDescent="0.2">
      <c r="A19" s="6" t="s">
        <v>36</v>
      </c>
      <c r="B19" s="26">
        <f>100-Table1[[#This Row],[% Acc Answer]]</f>
        <v>57.213930348258707</v>
      </c>
      <c r="C19" s="22">
        <v>1381.11</v>
      </c>
      <c r="D19" s="24">
        <f>SUMIF('Topic Post Count'!$D$2:$D$31,Table1[[#This Row],[Topic Name]],'Topic Post Count'!$H$2:$H$31)</f>
        <v>8442</v>
      </c>
      <c r="E19" s="17">
        <v>0.46</v>
      </c>
      <c r="F19" s="18">
        <v>1.89</v>
      </c>
      <c r="G19" s="24">
        <f>VLOOKUP(Table1[[#This Row],[Topic Name]],Table2[],3,FALSE)</f>
        <v>127.395403932717</v>
      </c>
      <c r="H19" s="24">
        <f>VLOOKUP(Table1[[#This Row],[Topic Name]],Table2[],2,FALSE)</f>
        <v>42.786069651741293</v>
      </c>
      <c r="I19" t="str">
        <f>VLOOKUP(Table1[[#This Row],[Topic Name]],'Topic Post Count'!$D$2:$E$31,2, FALSE)</f>
        <v>Container &amp; Orchestration</v>
      </c>
      <c r="J19" s="25">
        <f>_xlfn.CEILING.MATH(Table1[[#This Row],[Posts]]/1000)*1000</f>
        <v>9000</v>
      </c>
    </row>
    <row r="20" spans="1:10" x14ac:dyDescent="0.2">
      <c r="A20" s="6" t="s">
        <v>38</v>
      </c>
      <c r="B20" s="26">
        <f>100-Table1[[#This Row],[% Acc Answer]]</f>
        <v>61.847964376590333</v>
      </c>
      <c r="C20" s="22">
        <v>921.61</v>
      </c>
      <c r="D20" s="24">
        <f>SUMIF('Topic Post Count'!$D$2:$D$31,Table1[[#This Row],[Topic Name]],'Topic Post Count'!$H$2:$H$31)</f>
        <v>6288</v>
      </c>
      <c r="E20" s="17">
        <v>0.38</v>
      </c>
      <c r="F20" s="18">
        <v>1.38</v>
      </c>
      <c r="G20" s="24">
        <f>VLOOKUP(Table1[[#This Row],[Topic Name]],Table2[],3,FALSE)</f>
        <v>107.15251272264599</v>
      </c>
      <c r="H20" s="24">
        <f>VLOOKUP(Table1[[#This Row],[Topic Name]],Table2[],2,FALSE)</f>
        <v>38.152035623409667</v>
      </c>
      <c r="I20" t="str">
        <f>VLOOKUP(Table1[[#This Row],[Topic Name]],'Topic Post Count'!$D$2:$E$31,2, FALSE)</f>
        <v>Container &amp; Orchestration</v>
      </c>
      <c r="J20" s="25">
        <f>_xlfn.CEILING.MATH(Table1[[#This Row],[Posts]]/1000)*1000</f>
        <v>7000</v>
      </c>
    </row>
    <row r="21" spans="1:10" x14ac:dyDescent="0.2">
      <c r="A21" s="6" t="s">
        <v>71</v>
      </c>
      <c r="B21" s="26">
        <f>100-Table1[[#This Row],[% Acc Answer]]</f>
        <v>63.717306622148023</v>
      </c>
      <c r="C21" s="22">
        <v>2061.62</v>
      </c>
      <c r="D21" s="24">
        <f>SUMIF('Topic Post Count'!$D$2:$D$31,Table1[[#This Row],[Topic Name]],'Topic Post Count'!$H$2:$H$31)</f>
        <v>5391</v>
      </c>
      <c r="E21" s="17">
        <v>0.46</v>
      </c>
      <c r="F21" s="18">
        <v>1.95</v>
      </c>
      <c r="G21" s="24">
        <f>VLOOKUP(Table1[[#This Row],[Topic Name]],Table2[],3,FALSE)</f>
        <v>251.053422370617</v>
      </c>
      <c r="H21" s="24">
        <f>VLOOKUP(Table1[[#This Row],[Topic Name]],Table2[],2,FALSE)</f>
        <v>36.282693377851977</v>
      </c>
      <c r="I21" t="str">
        <f>VLOOKUP(Table1[[#This Row],[Topic Name]],'Topic Post Count'!$D$2:$E$31,2, FALSE)</f>
        <v>Quality Assurance</v>
      </c>
      <c r="J21" s="25">
        <f>_xlfn.CEILING.MATH(Table1[[#This Row],[Posts]]/1000)*1000</f>
        <v>6000</v>
      </c>
    </row>
    <row r="22" spans="1:10" x14ac:dyDescent="0.2">
      <c r="A22" s="6" t="s">
        <v>56</v>
      </c>
      <c r="B22" s="26">
        <f>100-Table1[[#This Row],[% Acc Answer]]</f>
        <v>58.69451697127937</v>
      </c>
      <c r="C22" s="22">
        <v>2739.8</v>
      </c>
      <c r="D22" s="24">
        <f>SUMIF('Topic Post Count'!$D$2:$D$31,Table1[[#This Row],[Topic Name]],'Topic Post Count'!$H$2:$H$31)</f>
        <v>5745</v>
      </c>
      <c r="E22" s="17">
        <v>0.72</v>
      </c>
      <c r="F22" s="18">
        <v>2.4900000000000002</v>
      </c>
      <c r="G22" s="24">
        <f>VLOOKUP(Table1[[#This Row],[Topic Name]],Table2[],3,FALSE)</f>
        <v>222.37302001740599</v>
      </c>
      <c r="H22" s="24">
        <f>VLOOKUP(Table1[[#This Row],[Topic Name]],Table2[],2,FALSE)</f>
        <v>41.30548302872063</v>
      </c>
      <c r="I22" t="str">
        <f>VLOOKUP(Table1[[#This Row],[Topic Name]],'Topic Post Count'!$D$2:$E$31,2, FALSE)</f>
        <v>CI/CD Tool</v>
      </c>
      <c r="J22" s="25">
        <f>_xlfn.CEILING.MATH(Table1[[#This Row],[Posts]]/1000)*1000</f>
        <v>6000</v>
      </c>
    </row>
    <row r="23" spans="1:10" x14ac:dyDescent="0.2">
      <c r="A23" s="6" t="s">
        <v>59</v>
      </c>
      <c r="B23" s="26">
        <f>100-Table1[[#This Row],[% Acc Answer]]</f>
        <v>59.050712867713408</v>
      </c>
      <c r="C23" s="22">
        <v>2603.13</v>
      </c>
      <c r="D23" s="24">
        <f>SUMIF('Topic Post Count'!$D$2:$D$31,Table1[[#This Row],[Topic Name]],'Topic Post Count'!$H$2:$H$31)</f>
        <v>5541</v>
      </c>
      <c r="E23" s="17">
        <v>0.39</v>
      </c>
      <c r="F23" s="18">
        <v>1.75</v>
      </c>
      <c r="G23" s="24">
        <f>VLOOKUP(Table1[[#This Row],[Topic Name]],Table2[],3,FALSE)</f>
        <v>134.81537628586801</v>
      </c>
      <c r="H23" s="24">
        <f>VLOOKUP(Table1[[#This Row],[Topic Name]],Table2[],2,FALSE)</f>
        <v>40.949287132286592</v>
      </c>
      <c r="I23" t="str">
        <f>VLOOKUP(Table1[[#This Row],[Topic Name]],'Topic Post Count'!$D$2:$E$31,2, FALSE)</f>
        <v>Infra as a Code</v>
      </c>
      <c r="J23" s="25">
        <f>_xlfn.CEILING.MATH(Table1[[#This Row],[Posts]]/1000)*1000</f>
        <v>6000</v>
      </c>
    </row>
    <row r="24" spans="1:10" x14ac:dyDescent="0.2">
      <c r="A24" s="6" t="s">
        <v>51</v>
      </c>
      <c r="B24" s="26">
        <f>100-Table1[[#This Row],[% Acc Answer]]</f>
        <v>44.928409947249435</v>
      </c>
      <c r="C24" s="22">
        <v>2018.2</v>
      </c>
      <c r="D24" s="24">
        <f>SUMIF('Topic Post Count'!$D$2:$D$31,Table1[[#This Row],[Topic Name]],'Topic Post Count'!$H$2:$H$31)</f>
        <v>6635</v>
      </c>
      <c r="E24" s="17">
        <v>0.28999999999999998</v>
      </c>
      <c r="F24" s="18">
        <v>1.44</v>
      </c>
      <c r="G24" s="24">
        <f>VLOOKUP(Table1[[#This Row],[Topic Name]],Table2[],3,FALSE)</f>
        <v>72.862697814619395</v>
      </c>
      <c r="H24" s="24">
        <f>VLOOKUP(Table1[[#This Row],[Topic Name]],Table2[],2,FALSE)</f>
        <v>55.071590052750565</v>
      </c>
      <c r="I24" t="str">
        <f>VLOOKUP(Table1[[#This Row],[Topic Name]],'Topic Post Count'!$D$2:$E$31,2, FALSE)</f>
        <v>Infra as a Code</v>
      </c>
      <c r="J24" s="25">
        <f>_xlfn.CEILING.MATH(Table1[[#This Row],[Posts]]/1000)*1000</f>
        <v>7000</v>
      </c>
    </row>
    <row r="25" spans="1:10" x14ac:dyDescent="0.2">
      <c r="A25" s="11" t="s">
        <v>96</v>
      </c>
      <c r="B25" s="27">
        <f>100-Table1[[#This Row],[% Acc Answer]]</f>
        <v>58.61440291704649</v>
      </c>
      <c r="C25" s="23">
        <v>2508.8200000000002</v>
      </c>
      <c r="D25" s="24">
        <f>SUMIF('Topic Post Count'!$D$2:$D$31,Table1[[#This Row],[Topic Name]],'Topic Post Count'!$H$2:$H$31)</f>
        <v>4388</v>
      </c>
      <c r="E25" s="20">
        <v>0.63</v>
      </c>
      <c r="F25" s="21">
        <v>2.23</v>
      </c>
      <c r="G25" s="24">
        <f>VLOOKUP(Table1[[#This Row],[Topic Name]],Table2[],3,FALSE)</f>
        <v>216.372835004557</v>
      </c>
      <c r="H25" s="24">
        <f>VLOOKUP(Table1[[#This Row],[Topic Name]],Table2[],2,FALSE)</f>
        <v>41.38559708295351</v>
      </c>
      <c r="I25" t="str">
        <f>VLOOKUP(Table1[[#This Row],[Topic Name]],'Topic Post Count'!$D$2:$E$31,2, FALSE)</f>
        <v>Infra as a Code</v>
      </c>
      <c r="J25" s="25">
        <f>_xlfn.CEILING.MATH(Table1[[#This Row],[Posts]]/1000)*1000</f>
        <v>5000</v>
      </c>
    </row>
    <row r="26" spans="1:10" x14ac:dyDescent="0.2">
      <c r="A26" s="11"/>
      <c r="B26" s="27"/>
      <c r="C26" s="30"/>
      <c r="D26" s="30"/>
      <c r="E26" s="31"/>
      <c r="F26" s="32"/>
      <c r="G26" s="33"/>
      <c r="H26" s="33"/>
      <c r="I26" s="29"/>
      <c r="J26" s="28">
        <f>MEDIAN(Table1[Median])</f>
        <v>6000</v>
      </c>
    </row>
    <row r="28" spans="1:10" x14ac:dyDescent="0.2">
      <c r="A28" t="s">
        <v>99</v>
      </c>
      <c r="B28" t="s">
        <v>100</v>
      </c>
      <c r="C28" t="s">
        <v>79</v>
      </c>
      <c r="D28" t="s">
        <v>94</v>
      </c>
      <c r="E28" t="s">
        <v>80</v>
      </c>
      <c r="F28" t="s">
        <v>81</v>
      </c>
      <c r="G28" t="s">
        <v>101</v>
      </c>
      <c r="H28" t="s">
        <v>98</v>
      </c>
    </row>
    <row r="29" spans="1:10" x14ac:dyDescent="0.2">
      <c r="A29" t="s">
        <v>93</v>
      </c>
      <c r="B29" s="24">
        <f>100-Table5[[#This Row],[% Acc Answer]]</f>
        <v>52.114174300304029</v>
      </c>
      <c r="C29" s="24">
        <f>AVERAGEIF(Table1[Category],$A29,Table1[Avg. View])</f>
        <v>838.18000000000006</v>
      </c>
      <c r="D29" s="24">
        <f>SUMIF(Table1[Category],$A29,Table1[Posts])</f>
        <v>26750</v>
      </c>
      <c r="E29" s="19">
        <f>AVERAGEIF(Table1[Category],$A29,Table1[Avg. Favorite])</f>
        <v>0.38749999999999996</v>
      </c>
      <c r="F29" s="19">
        <f>AVERAGEIF(Table1[Category],$A29,Table1[Avg. Score])</f>
        <v>1.3574999999999999</v>
      </c>
      <c r="G29" s="24">
        <f>AVERAGEIF(Table1[Category],$A29,Table1[Ans Hour])</f>
        <v>127.94074465651214</v>
      </c>
      <c r="H29" s="24">
        <f>AVERAGEIF(Table1[Category],$A29,Table1[% Acc Answer])</f>
        <v>47.885825699695971</v>
      </c>
    </row>
    <row r="30" spans="1:10" x14ac:dyDescent="0.2">
      <c r="A30" t="s">
        <v>31</v>
      </c>
      <c r="B30" s="24">
        <f>100-Table5[[#This Row],[% Acc Answer]]</f>
        <v>59.528551581088379</v>
      </c>
      <c r="C30" s="24">
        <f>AVERAGEIF(Table1[Category],$A30,Table1[Avg. View])</f>
        <v>1189.4499999999998</v>
      </c>
      <c r="D30" s="25">
        <f>SUMIF(Table1[Category],$A30,Table1[Posts])</f>
        <v>28384</v>
      </c>
      <c r="E30" s="19">
        <f>AVERAGEIF(Table1[Category],$A30,Table1[Avg. Favorite])</f>
        <v>0.46499999999999997</v>
      </c>
      <c r="F30" s="19">
        <f>AVERAGEIF(Table1[Category],$A30,Table1[Avg. Score])</f>
        <v>1.6624999999999999</v>
      </c>
      <c r="G30" s="24">
        <f>AVERAGEIF(Table1[Category],$A30,Table1[Ans Hour])</f>
        <v>119.74282073855549</v>
      </c>
      <c r="H30" s="24">
        <f>AVERAGEIF(Table1[Category],$A30,Table1[% Acc Answer])</f>
        <v>40.471448418911621</v>
      </c>
    </row>
    <row r="31" spans="1:10" x14ac:dyDescent="0.2">
      <c r="A31" t="s">
        <v>67</v>
      </c>
      <c r="B31" s="24">
        <f>100-Table5[[#This Row],[% Acc Answer]]</f>
        <v>63.825143610897641</v>
      </c>
      <c r="C31" s="24">
        <f>AVERAGEIF(Table1[Category],$A31,Table1[Avg. View])</f>
        <v>1730.625</v>
      </c>
      <c r="D31" s="25">
        <f>SUMIF(Table1[Category],$A31,Table1[Posts])</f>
        <v>11061</v>
      </c>
      <c r="E31" s="19">
        <f>AVERAGEIF(Table1[Category],$A31,Table1[Avg. Favorite])</f>
        <v>0.48</v>
      </c>
      <c r="F31" s="19">
        <f>AVERAGEIF(Table1[Category],$A31,Table1[Avg. Score])</f>
        <v>1.7999999999999998</v>
      </c>
      <c r="G31" s="24">
        <f>AVERAGEIF(Table1[Category],$A31,Table1[Ans Hour])</f>
        <v>223.99549425409151</v>
      </c>
      <c r="H31" s="24">
        <f>AVERAGEIF(Table1[Category],$A31,Table1[% Acc Answer])</f>
        <v>36.174856389102359</v>
      </c>
    </row>
    <row r="32" spans="1:10" x14ac:dyDescent="0.2">
      <c r="A32" t="s">
        <v>0</v>
      </c>
      <c r="B32" s="24">
        <f>100-Table5[[#This Row],[% Acc Answer]]</f>
        <v>61.677751566950761</v>
      </c>
      <c r="C32" s="24">
        <f>AVERAGEIF(Table1[Category],$A32,Table1[Avg. View])</f>
        <v>2090.6322857142854</v>
      </c>
      <c r="D32" s="25">
        <f>SUMIF(Table1[Category],$A32,Table1[Posts])</f>
        <v>57964</v>
      </c>
      <c r="E32" s="19">
        <f>AVERAGEIF(Table1[Category],$A32,Table1[Avg. Favorite])</f>
        <v>0.60599999999999998</v>
      </c>
      <c r="F32" s="19">
        <f>AVERAGEIF(Table1[Category],$A32,Table1[Avg. Score])</f>
        <v>2.1965714285714286</v>
      </c>
      <c r="G32" s="24">
        <f>AVERAGEIF(Table1[Category],$A32,Table1[Ans Hour])</f>
        <v>211.26058438808283</v>
      </c>
      <c r="H32" s="24">
        <f>AVERAGEIF(Table1[Category],$A32,Table1[% Acc Answer])</f>
        <v>38.322248433049239</v>
      </c>
    </row>
    <row r="33" spans="1:8" x14ac:dyDescent="0.2">
      <c r="A33" t="s">
        <v>48</v>
      </c>
      <c r="B33" s="24">
        <f>100-Table5[[#This Row],[% Acc Answer]]</f>
        <v>56.462963903077579</v>
      </c>
      <c r="C33" s="24">
        <f>AVERAGEIF(Table1[Category],$A33,Table1[Avg. View])</f>
        <v>2167.1864285714287</v>
      </c>
      <c r="D33" s="25">
        <f>SUMIF(Table1[Category],$A33,Table1[Posts])</f>
        <v>50534</v>
      </c>
      <c r="E33" s="19">
        <f>AVERAGEIF(Table1[Category],$A33,Table1[Avg. Favorite])</f>
        <v>0.42214285714285715</v>
      </c>
      <c r="F33" s="19">
        <f>AVERAGEIF(Table1[Category],$A33,Table1[Avg. Score])</f>
        <v>1.8128571428571427</v>
      </c>
      <c r="G33" s="24">
        <f>AVERAGEIF(Table1[Category],$A33,Table1[Ans Hour])</f>
        <v>146.38805160018615</v>
      </c>
      <c r="H33" s="24">
        <f>AVERAGEIF(Table1[Category],$A33,Table1[% Acc Answer])</f>
        <v>43.537036096922421</v>
      </c>
    </row>
  </sheetData>
  <sortState xmlns:xlrd2="http://schemas.microsoft.com/office/spreadsheetml/2017/richdata2" ref="A2:F25">
    <sortCondition descending="1" ref="C1"/>
  </sortState>
  <phoneticPr fontId="6" type="noConversion"/>
  <conditionalFormatting sqref="C2:C25">
    <cfRule type="colorScale" priority="19">
      <colorScale>
        <cfvo type="min"/>
        <cfvo type="percentile" val="50"/>
        <cfvo type="max"/>
        <color rgb="FFF8696B"/>
        <color rgb="FFFFEB84"/>
        <color rgb="FF63BE7B"/>
      </colorScale>
    </cfRule>
  </conditionalFormatting>
  <conditionalFormatting sqref="E2:E25">
    <cfRule type="colorScale" priority="18">
      <colorScale>
        <cfvo type="min"/>
        <cfvo type="percentile" val="50"/>
        <cfvo type="max"/>
        <color rgb="FFF8696B"/>
        <color rgb="FFFFEB84"/>
        <color rgb="FF63BE7B"/>
      </colorScale>
    </cfRule>
  </conditionalFormatting>
  <conditionalFormatting sqref="F2:F25">
    <cfRule type="colorScale" priority="17">
      <colorScale>
        <cfvo type="min"/>
        <cfvo type="percentile" val="50"/>
        <cfvo type="max"/>
        <color rgb="FFF8696B"/>
        <color rgb="FFFFEB84"/>
        <color rgb="FF63BE7B"/>
      </colorScale>
    </cfRule>
  </conditionalFormatting>
  <conditionalFormatting sqref="H2:H25">
    <cfRule type="colorScale" priority="16">
      <colorScale>
        <cfvo type="min"/>
        <cfvo type="percentile" val="50"/>
        <cfvo type="max"/>
        <color rgb="FFF8696B"/>
        <color rgb="FFFFEB84"/>
        <color rgb="FF63BE7B"/>
      </colorScale>
    </cfRule>
  </conditionalFormatting>
  <conditionalFormatting sqref="G2:G25">
    <cfRule type="colorScale" priority="4">
      <colorScale>
        <cfvo type="min"/>
        <cfvo type="percentile" val="50"/>
        <cfvo type="max"/>
        <color rgb="FF63BE7B"/>
        <color rgb="FFFFEB84"/>
        <color rgb="FFF8696B"/>
      </colorScale>
    </cfRule>
  </conditionalFormatting>
  <conditionalFormatting sqref="G29:G33">
    <cfRule type="colorScale" priority="2">
      <colorScale>
        <cfvo type="min"/>
        <cfvo type="percentile" val="50"/>
        <cfvo type="max"/>
        <color rgb="FF63BE7B"/>
        <color rgb="FFFFEB84"/>
        <color rgb="FFF8696B"/>
      </colorScale>
    </cfRule>
  </conditionalFormatting>
  <conditionalFormatting sqref="H29:H33">
    <cfRule type="colorScale" priority="13">
      <colorScale>
        <cfvo type="min"/>
        <cfvo type="percentile" val="50"/>
        <cfvo type="max"/>
        <color rgb="FFF8696B"/>
        <color rgb="FFFFEB84"/>
        <color rgb="FF63BE7B"/>
      </colorScale>
    </cfRule>
  </conditionalFormatting>
  <conditionalFormatting sqref="F29:F33">
    <cfRule type="colorScale" priority="12">
      <colorScale>
        <cfvo type="min"/>
        <cfvo type="percentile" val="50"/>
        <cfvo type="max"/>
        <color rgb="FFF8696B"/>
        <color rgb="FFFFEB84"/>
        <color rgb="FF63BE7B"/>
      </colorScale>
    </cfRule>
  </conditionalFormatting>
  <conditionalFormatting sqref="E29:E33">
    <cfRule type="colorScale" priority="11">
      <colorScale>
        <cfvo type="min"/>
        <cfvo type="percentile" val="50"/>
        <cfvo type="max"/>
        <color rgb="FFF8696B"/>
        <color rgb="FFFFEB84"/>
        <color rgb="FF63BE7B"/>
      </colorScale>
    </cfRule>
  </conditionalFormatting>
  <conditionalFormatting sqref="C29:C33">
    <cfRule type="colorScale" priority="10">
      <colorScale>
        <cfvo type="min"/>
        <cfvo type="percentile" val="50"/>
        <cfvo type="max"/>
        <color rgb="FFF8696B"/>
        <color rgb="FFFFEB84"/>
        <color rgb="FF63BE7B"/>
      </colorScale>
    </cfRule>
  </conditionalFormatting>
  <conditionalFormatting sqref="D2:D25">
    <cfRule type="colorScale" priority="9">
      <colorScale>
        <cfvo type="min"/>
        <cfvo type="percentile" val="50"/>
        <cfvo type="max"/>
        <color rgb="FFF8696B"/>
        <color rgb="FFFFEB84"/>
        <color rgb="FF63BE7B"/>
      </colorScale>
    </cfRule>
  </conditionalFormatting>
  <conditionalFormatting sqref="D29">
    <cfRule type="colorScale" priority="8">
      <colorScale>
        <cfvo type="min"/>
        <cfvo type="percentile" val="50"/>
        <cfvo type="max"/>
        <color rgb="FFF8696B"/>
        <color rgb="FFFFEB84"/>
        <color rgb="FF63BE7B"/>
      </colorScale>
    </cfRule>
  </conditionalFormatting>
  <conditionalFormatting sqref="D29:D33">
    <cfRule type="colorScale" priority="7">
      <colorScale>
        <cfvo type="min"/>
        <cfvo type="percentile" val="50"/>
        <cfvo type="max"/>
        <color rgb="FFF8696B"/>
        <color rgb="FFFFEB84"/>
        <color rgb="FF63BE7B"/>
      </colorScale>
    </cfRule>
  </conditionalFormatting>
  <conditionalFormatting sqref="B2:B25">
    <cfRule type="colorScale" priority="3">
      <colorScale>
        <cfvo type="min"/>
        <cfvo type="percentile" val="50"/>
        <cfvo type="max"/>
        <color rgb="FF63BE7B"/>
        <color rgb="FFFFEB84"/>
        <color rgb="FFF8696B"/>
      </colorScale>
    </cfRule>
  </conditionalFormatting>
  <conditionalFormatting sqref="B29:B33">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200" verticalDpi="200" r:id="rId1"/>
  <drawing r:id="rId2"/>
  <tableParts count="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5"/>
  <sheetViews>
    <sheetView workbookViewId="0">
      <selection activeCell="A3" sqref="A1:XFD1048576"/>
    </sheetView>
  </sheetViews>
  <sheetFormatPr baseColWidth="10" defaultColWidth="8.83203125" defaultRowHeight="15" x14ac:dyDescent="0.2"/>
  <cols>
    <col min="1" max="1" width="34.6640625" bestFit="1" customWidth="1"/>
    <col min="2" max="2" width="15.6640625" style="1" customWidth="1"/>
    <col min="3" max="3" width="20.1640625" style="1" bestFit="1" customWidth="1"/>
  </cols>
  <sheetData>
    <row r="1" spans="1:6" x14ac:dyDescent="0.2">
      <c r="A1" s="12" t="s">
        <v>74</v>
      </c>
      <c r="B1" s="13" t="s">
        <v>82</v>
      </c>
      <c r="C1" s="14" t="s">
        <v>83</v>
      </c>
    </row>
    <row r="2" spans="1:6" x14ac:dyDescent="0.2">
      <c r="A2" s="6" t="s">
        <v>22</v>
      </c>
      <c r="B2" s="4">
        <v>53.624246850465582</v>
      </c>
      <c r="C2" s="7">
        <v>163.93609640314</v>
      </c>
    </row>
    <row r="3" spans="1:6" x14ac:dyDescent="0.2">
      <c r="A3" s="6" t="s">
        <v>24</v>
      </c>
      <c r="B3" s="4">
        <v>43.238486359636255</v>
      </c>
      <c r="C3" s="7">
        <v>141.885303608096</v>
      </c>
    </row>
    <row r="4" spans="1:6" x14ac:dyDescent="0.2">
      <c r="A4" s="6" t="s">
        <v>26</v>
      </c>
      <c r="B4" s="4">
        <v>54.193761710569824</v>
      </c>
      <c r="C4" s="7">
        <v>131.64763584260899</v>
      </c>
    </row>
    <row r="5" spans="1:6" x14ac:dyDescent="0.2">
      <c r="A5" s="6" t="s">
        <v>75</v>
      </c>
      <c r="B5" s="4">
        <v>42.636789521027964</v>
      </c>
      <c r="C5" s="7">
        <v>132.5692661869746</v>
      </c>
    </row>
    <row r="6" spans="1:6" x14ac:dyDescent="0.2">
      <c r="A6" s="6" t="s">
        <v>43</v>
      </c>
      <c r="B6" s="4">
        <v>48.401305324277217</v>
      </c>
      <c r="C6" s="7">
        <v>145.17871698488301</v>
      </c>
    </row>
    <row r="7" spans="1:6" x14ac:dyDescent="0.2">
      <c r="A7" s="6" t="s">
        <v>32</v>
      </c>
      <c r="B7" s="4">
        <v>40.864518711226737</v>
      </c>
      <c r="C7" s="7">
        <v>138.48909345607299</v>
      </c>
    </row>
    <row r="8" spans="1:6" x14ac:dyDescent="0.2">
      <c r="A8" s="6" t="s">
        <v>97</v>
      </c>
      <c r="B8" s="4">
        <v>34.445446348061317</v>
      </c>
      <c r="C8" s="7">
        <v>131.665163811241</v>
      </c>
    </row>
    <row r="9" spans="1:6" x14ac:dyDescent="0.2">
      <c r="A9" s="6" t="s">
        <v>95</v>
      </c>
      <c r="B9" s="4">
        <v>41.869237217099752</v>
      </c>
      <c r="C9" s="7">
        <v>191.25230511315999</v>
      </c>
    </row>
    <row r="10" spans="1:6" x14ac:dyDescent="0.2">
      <c r="A10" s="6" t="s">
        <v>68</v>
      </c>
      <c r="B10" s="4">
        <v>36.067019400352734</v>
      </c>
      <c r="C10" s="7">
        <v>196.93756613756599</v>
      </c>
    </row>
    <row r="11" spans="1:6" x14ac:dyDescent="0.2">
      <c r="A11" s="6" t="s">
        <v>1</v>
      </c>
      <c r="B11" s="4">
        <v>39.899481193255511</v>
      </c>
      <c r="C11" s="7">
        <v>249.84176394293101</v>
      </c>
    </row>
    <row r="12" spans="1:6" x14ac:dyDescent="0.2">
      <c r="A12" s="6" t="s">
        <v>29</v>
      </c>
      <c r="B12" s="4">
        <v>40.486807878112224</v>
      </c>
      <c r="C12" s="7">
        <v>74.293942772203593</v>
      </c>
    </row>
    <row r="13" spans="1:6" x14ac:dyDescent="0.2">
      <c r="A13" s="6" t="s">
        <v>3</v>
      </c>
      <c r="B13" s="4">
        <v>37.884436160298229</v>
      </c>
      <c r="C13" s="7">
        <v>236.47122553588</v>
      </c>
      <c r="E13" s="1"/>
      <c r="F13" s="1"/>
    </row>
    <row r="14" spans="1:6" x14ac:dyDescent="0.2">
      <c r="A14" s="6" t="s">
        <v>5</v>
      </c>
      <c r="B14" s="4">
        <v>38.86506103596173</v>
      </c>
      <c r="C14" s="7">
        <v>248.19333553282701</v>
      </c>
      <c r="E14" s="1"/>
      <c r="F14" s="1"/>
    </row>
    <row r="15" spans="1:6" x14ac:dyDescent="0.2">
      <c r="A15" s="6" t="s">
        <v>8</v>
      </c>
      <c r="B15" s="4">
        <v>36.661045531197303</v>
      </c>
      <c r="C15" s="7">
        <v>154.251096121416</v>
      </c>
    </row>
    <row r="16" spans="1:6" x14ac:dyDescent="0.2">
      <c r="A16" s="6" t="s">
        <v>11</v>
      </c>
      <c r="B16" s="4">
        <v>35.324232081911262</v>
      </c>
      <c r="C16" s="7">
        <v>173.93117178611999</v>
      </c>
    </row>
    <row r="17" spans="1:3" x14ac:dyDescent="0.2">
      <c r="A17" s="6" t="s">
        <v>15</v>
      </c>
      <c r="B17" s="4">
        <v>38.315999999999995</v>
      </c>
      <c r="C17" s="7">
        <v>193.76247778000001</v>
      </c>
    </row>
    <row r="18" spans="1:3" x14ac:dyDescent="0.2">
      <c r="A18" s="6" t="s">
        <v>34</v>
      </c>
      <c r="B18" s="4">
        <v>40.0831696892688</v>
      </c>
      <c r="C18" s="7">
        <v>105.934272842786</v>
      </c>
    </row>
    <row r="19" spans="1:3" x14ac:dyDescent="0.2">
      <c r="A19" s="6" t="s">
        <v>36</v>
      </c>
      <c r="B19" s="4">
        <v>42.786069651741293</v>
      </c>
      <c r="C19" s="7">
        <v>127.395403932717</v>
      </c>
    </row>
    <row r="20" spans="1:3" x14ac:dyDescent="0.2">
      <c r="A20" s="6" t="s">
        <v>38</v>
      </c>
      <c r="B20" s="4">
        <v>38.152035623409667</v>
      </c>
      <c r="C20" s="7">
        <v>107.15251272264599</v>
      </c>
    </row>
    <row r="21" spans="1:3" x14ac:dyDescent="0.2">
      <c r="A21" s="6" t="s">
        <v>71</v>
      </c>
      <c r="B21" s="4">
        <v>36.282693377851977</v>
      </c>
      <c r="C21" s="7">
        <v>251.053422370617</v>
      </c>
    </row>
    <row r="22" spans="1:3" x14ac:dyDescent="0.2">
      <c r="A22" s="6" t="s">
        <v>56</v>
      </c>
      <c r="B22" s="4">
        <v>41.30548302872063</v>
      </c>
      <c r="C22" s="7">
        <v>222.37302001740599</v>
      </c>
    </row>
    <row r="23" spans="1:3" x14ac:dyDescent="0.2">
      <c r="A23" s="6" t="s">
        <v>59</v>
      </c>
      <c r="B23" s="4">
        <v>40.949287132286592</v>
      </c>
      <c r="C23" s="7">
        <v>134.81537628586801</v>
      </c>
    </row>
    <row r="24" spans="1:3" x14ac:dyDescent="0.2">
      <c r="A24" s="6" t="s">
        <v>51</v>
      </c>
      <c r="B24" s="4">
        <v>55.071590052750565</v>
      </c>
      <c r="C24" s="7">
        <v>72.862697814619395</v>
      </c>
    </row>
    <row r="25" spans="1:3" x14ac:dyDescent="0.2">
      <c r="A25" s="11" t="s">
        <v>96</v>
      </c>
      <c r="B25" s="15">
        <v>41.38559708295351</v>
      </c>
      <c r="C25" s="16">
        <v>216.372835004557</v>
      </c>
    </row>
  </sheetData>
  <sortState xmlns:xlrd2="http://schemas.microsoft.com/office/spreadsheetml/2017/richdata2" ref="A2:C26">
    <sortCondition descending="1" ref="B2"/>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419F5-8D49-724D-9501-E2E03B6CC7E7}">
  <dimension ref="A2:D44"/>
  <sheetViews>
    <sheetView topLeftCell="A22" zoomScale="110" zoomScaleNormal="110" workbookViewId="0">
      <selection activeCell="D26" sqref="D26"/>
    </sheetView>
  </sheetViews>
  <sheetFormatPr baseColWidth="10" defaultRowHeight="16" x14ac:dyDescent="0.2"/>
  <cols>
    <col min="1" max="1" width="10.83203125" style="57"/>
    <col min="2" max="2" width="4.6640625" style="57" bestFit="1" customWidth="1"/>
    <col min="3" max="3" width="10.83203125" style="57"/>
    <col min="4" max="4" width="96.6640625" style="65" customWidth="1"/>
    <col min="5" max="16384" width="10.83203125" style="57"/>
  </cols>
  <sheetData>
    <row r="2" spans="1:4" ht="17" x14ac:dyDescent="0.2">
      <c r="B2" s="64" t="s">
        <v>111</v>
      </c>
      <c r="C2" s="57" t="s">
        <v>298</v>
      </c>
      <c r="D2" s="65" t="s">
        <v>299</v>
      </c>
    </row>
    <row r="3" spans="1:4" ht="17" x14ac:dyDescent="0.2">
      <c r="B3" s="64">
        <v>1</v>
      </c>
      <c r="C3" s="57" t="s">
        <v>287</v>
      </c>
      <c r="D3" s="65" t="s">
        <v>284</v>
      </c>
    </row>
    <row r="4" spans="1:4" ht="17" x14ac:dyDescent="0.2">
      <c r="B4" s="64">
        <v>2</v>
      </c>
      <c r="C4" s="64" t="s">
        <v>286</v>
      </c>
      <c r="D4" s="66" t="s">
        <v>285</v>
      </c>
    </row>
    <row r="5" spans="1:4" ht="17" x14ac:dyDescent="0.2">
      <c r="A5" s="57" t="s">
        <v>305</v>
      </c>
      <c r="B5" s="64">
        <v>3</v>
      </c>
      <c r="C5" s="64" t="s">
        <v>287</v>
      </c>
      <c r="D5" s="66" t="s">
        <v>294</v>
      </c>
    </row>
    <row r="6" spans="1:4" x14ac:dyDescent="0.2">
      <c r="A6" s="57" t="s">
        <v>305</v>
      </c>
      <c r="B6" s="64"/>
      <c r="C6" s="64"/>
      <c r="D6" s="66"/>
    </row>
    <row r="7" spans="1:4" ht="17" x14ac:dyDescent="0.2">
      <c r="B7" s="64">
        <v>4</v>
      </c>
      <c r="C7" s="64" t="s">
        <v>287</v>
      </c>
      <c r="D7" s="66" t="s">
        <v>289</v>
      </c>
    </row>
    <row r="8" spans="1:4" ht="17" x14ac:dyDescent="0.2">
      <c r="B8" s="64">
        <v>5</v>
      </c>
      <c r="C8" s="64" t="s">
        <v>287</v>
      </c>
      <c r="D8" s="66" t="s">
        <v>288</v>
      </c>
    </row>
    <row r="9" spans="1:4" ht="17" x14ac:dyDescent="0.2">
      <c r="B9" s="64">
        <v>6</v>
      </c>
      <c r="C9" s="64" t="s">
        <v>286</v>
      </c>
      <c r="D9" s="66" t="s">
        <v>303</v>
      </c>
    </row>
    <row r="10" spans="1:4" x14ac:dyDescent="0.2">
      <c r="B10" s="64"/>
      <c r="C10" s="64"/>
      <c r="D10" s="66"/>
    </row>
    <row r="11" spans="1:4" ht="51" x14ac:dyDescent="0.2">
      <c r="B11" s="64">
        <v>7</v>
      </c>
      <c r="C11" s="64" t="s">
        <v>287</v>
      </c>
      <c r="D11" s="66" t="s">
        <v>292</v>
      </c>
    </row>
    <row r="12" spans="1:4" ht="17" x14ac:dyDescent="0.2">
      <c r="B12" s="64">
        <v>8</v>
      </c>
      <c r="C12" s="64" t="s">
        <v>287</v>
      </c>
      <c r="D12" s="66" t="s">
        <v>302</v>
      </c>
    </row>
    <row r="13" spans="1:4" ht="17" x14ac:dyDescent="0.2">
      <c r="B13" s="64">
        <v>9</v>
      </c>
      <c r="C13" s="64" t="s">
        <v>287</v>
      </c>
      <c r="D13" s="66" t="s">
        <v>301</v>
      </c>
    </row>
    <row r="14" spans="1:4" ht="17" x14ac:dyDescent="0.2">
      <c r="B14" s="64">
        <v>10</v>
      </c>
      <c r="C14" s="64" t="s">
        <v>286</v>
      </c>
      <c r="D14" s="66" t="s">
        <v>290</v>
      </c>
    </row>
    <row r="15" spans="1:4" ht="17" x14ac:dyDescent="0.2">
      <c r="B15" s="64">
        <v>11</v>
      </c>
      <c r="C15" s="64" t="s">
        <v>286</v>
      </c>
      <c r="D15" s="66" t="s">
        <v>291</v>
      </c>
    </row>
    <row r="16" spans="1:4" x14ac:dyDescent="0.2">
      <c r="B16" s="64"/>
      <c r="C16" s="64"/>
      <c r="D16" s="66"/>
    </row>
    <row r="17" spans="1:4" ht="34" x14ac:dyDescent="0.2">
      <c r="B17" s="64">
        <v>12</v>
      </c>
      <c r="C17" s="64" t="s">
        <v>287</v>
      </c>
      <c r="D17" s="66" t="s">
        <v>293</v>
      </c>
    </row>
    <row r="18" spans="1:4" ht="17" x14ac:dyDescent="0.2">
      <c r="A18" s="57" t="s">
        <v>305</v>
      </c>
      <c r="B18" s="64">
        <v>13</v>
      </c>
      <c r="C18" s="64" t="s">
        <v>287</v>
      </c>
      <c r="D18" s="66" t="s">
        <v>304</v>
      </c>
    </row>
    <row r="19" spans="1:4" ht="17" x14ac:dyDescent="0.2">
      <c r="A19" s="57" t="s">
        <v>305</v>
      </c>
      <c r="B19" s="64">
        <v>14</v>
      </c>
      <c r="C19" s="64" t="s">
        <v>287</v>
      </c>
      <c r="D19" s="66" t="s">
        <v>297</v>
      </c>
    </row>
    <row r="20" spans="1:4" ht="17" x14ac:dyDescent="0.2">
      <c r="A20" s="57" t="s">
        <v>305</v>
      </c>
      <c r="B20" s="64">
        <v>15</v>
      </c>
      <c r="C20" s="64" t="s">
        <v>286</v>
      </c>
      <c r="D20" s="66" t="s">
        <v>300</v>
      </c>
    </row>
    <row r="21" spans="1:4" x14ac:dyDescent="0.2">
      <c r="A21" s="57" t="s">
        <v>305</v>
      </c>
    </row>
    <row r="23" spans="1:4" ht="17" x14ac:dyDescent="0.2">
      <c r="C23" s="69" t="s">
        <v>298</v>
      </c>
      <c r="D23" s="70" t="s">
        <v>299</v>
      </c>
    </row>
    <row r="24" spans="1:4" x14ac:dyDescent="0.2">
      <c r="C24" s="69" t="s">
        <v>287</v>
      </c>
      <c r="D24" s="71" t="s">
        <v>343</v>
      </c>
    </row>
    <row r="25" spans="1:4" x14ac:dyDescent="0.2">
      <c r="C25" s="69" t="s">
        <v>287</v>
      </c>
      <c r="D25" s="71" t="s">
        <v>344</v>
      </c>
    </row>
    <row r="26" spans="1:4" x14ac:dyDescent="0.2">
      <c r="C26" s="69" t="s">
        <v>287</v>
      </c>
      <c r="D26" s="71" t="s">
        <v>345</v>
      </c>
    </row>
    <row r="27" spans="1:4" x14ac:dyDescent="0.2">
      <c r="C27" s="69" t="s">
        <v>286</v>
      </c>
      <c r="D27" s="71" t="s">
        <v>346</v>
      </c>
    </row>
    <row r="28" spans="1:4" x14ac:dyDescent="0.2">
      <c r="C28" s="69" t="s">
        <v>287</v>
      </c>
      <c r="D28" s="71" t="s">
        <v>347</v>
      </c>
    </row>
    <row r="29" spans="1:4" x14ac:dyDescent="0.2">
      <c r="C29" s="69" t="s">
        <v>287</v>
      </c>
      <c r="D29" s="71" t="s">
        <v>348</v>
      </c>
    </row>
    <row r="30" spans="1:4" x14ac:dyDescent="0.2">
      <c r="C30" s="69" t="s">
        <v>286</v>
      </c>
      <c r="D30" s="71" t="s">
        <v>349</v>
      </c>
    </row>
    <row r="31" spans="1:4" x14ac:dyDescent="0.2">
      <c r="C31" s="69" t="s">
        <v>287</v>
      </c>
      <c r="D31" s="71" t="s">
        <v>350</v>
      </c>
    </row>
    <row r="32" spans="1:4" x14ac:dyDescent="0.2">
      <c r="C32" s="69" t="s">
        <v>287</v>
      </c>
      <c r="D32" s="71" t="s">
        <v>351</v>
      </c>
    </row>
    <row r="33" spans="3:4" x14ac:dyDescent="0.2">
      <c r="C33" s="69" t="s">
        <v>287</v>
      </c>
      <c r="D33" s="71" t="s">
        <v>352</v>
      </c>
    </row>
    <row r="34" spans="3:4" x14ac:dyDescent="0.2">
      <c r="C34" s="69" t="s">
        <v>287</v>
      </c>
      <c r="D34" s="71" t="s">
        <v>353</v>
      </c>
    </row>
    <row r="35" spans="3:4" x14ac:dyDescent="0.2">
      <c r="C35" s="69" t="s">
        <v>287</v>
      </c>
      <c r="D35" s="71" t="s">
        <v>354</v>
      </c>
    </row>
    <row r="36" spans="3:4" x14ac:dyDescent="0.2">
      <c r="C36" s="69" t="s">
        <v>287</v>
      </c>
      <c r="D36" s="71" t="s">
        <v>355</v>
      </c>
    </row>
    <row r="37" spans="3:4" x14ac:dyDescent="0.2">
      <c r="C37" s="69" t="s">
        <v>287</v>
      </c>
      <c r="D37" s="71" t="s">
        <v>356</v>
      </c>
    </row>
    <row r="38" spans="3:4" x14ac:dyDescent="0.2">
      <c r="C38" s="69" t="s">
        <v>287</v>
      </c>
      <c r="D38" s="71" t="s">
        <v>357</v>
      </c>
    </row>
    <row r="39" spans="3:4" x14ac:dyDescent="0.2">
      <c r="C39" s="69" t="s">
        <v>286</v>
      </c>
      <c r="D39" s="71" t="s">
        <v>358</v>
      </c>
    </row>
    <row r="40" spans="3:4" x14ac:dyDescent="0.2">
      <c r="C40" s="69" t="s">
        <v>286</v>
      </c>
      <c r="D40" s="71" t="s">
        <v>359</v>
      </c>
    </row>
    <row r="41" spans="3:4" x14ac:dyDescent="0.2">
      <c r="C41" s="69" t="s">
        <v>287</v>
      </c>
      <c r="D41" s="71" t="s">
        <v>360</v>
      </c>
    </row>
    <row r="42" spans="3:4" x14ac:dyDescent="0.2">
      <c r="C42" s="69" t="s">
        <v>287</v>
      </c>
      <c r="D42" s="71" t="s">
        <v>361</v>
      </c>
    </row>
    <row r="43" spans="3:4" x14ac:dyDescent="0.2">
      <c r="C43" s="69" t="s">
        <v>287</v>
      </c>
      <c r="D43" s="71" t="s">
        <v>362</v>
      </c>
    </row>
    <row r="44" spans="3:4" x14ac:dyDescent="0.2">
      <c r="C44" s="69" t="s">
        <v>286</v>
      </c>
      <c r="D44" s="71" t="s">
        <v>363</v>
      </c>
    </row>
  </sheetData>
  <phoneticPr fontId="6" type="noConversion"/>
  <pageMargins left="0.75" right="0.75" top="1" bottom="1" header="0.5" footer="0.5"/>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AAE7F-CA19-3F49-B90A-C916033E943D}">
  <dimension ref="B3:G21"/>
  <sheetViews>
    <sheetView zoomScale="140" zoomScaleNormal="140" workbookViewId="0">
      <selection activeCell="F20" sqref="F20"/>
    </sheetView>
  </sheetViews>
  <sheetFormatPr baseColWidth="10" defaultRowHeight="15" x14ac:dyDescent="0.2"/>
  <cols>
    <col min="1" max="1" width="6" customWidth="1"/>
    <col min="2" max="2" width="3.1640625" bestFit="1" customWidth="1"/>
    <col min="3" max="3" width="13" bestFit="1" customWidth="1"/>
    <col min="4" max="4" width="13" customWidth="1"/>
    <col min="7" max="7" width="11.83203125" bestFit="1" customWidth="1"/>
  </cols>
  <sheetData>
    <row r="3" spans="2:7" x14ac:dyDescent="0.2">
      <c r="B3" t="s">
        <v>111</v>
      </c>
      <c r="C3" t="s">
        <v>315</v>
      </c>
      <c r="D3" t="s">
        <v>321</v>
      </c>
      <c r="E3" t="s">
        <v>316</v>
      </c>
      <c r="F3" t="s">
        <v>318</v>
      </c>
      <c r="G3" t="s">
        <v>319</v>
      </c>
    </row>
    <row r="4" spans="2:7" x14ac:dyDescent="0.2">
      <c r="B4">
        <v>1</v>
      </c>
      <c r="C4" t="s">
        <v>306</v>
      </c>
      <c r="D4" t="s">
        <v>322</v>
      </c>
      <c r="E4" t="s">
        <v>317</v>
      </c>
      <c r="F4" s="67">
        <v>44411</v>
      </c>
    </row>
    <row r="5" spans="2:7" x14ac:dyDescent="0.2">
      <c r="B5">
        <v>2</v>
      </c>
      <c r="C5" t="s">
        <v>307</v>
      </c>
      <c r="D5" t="s">
        <v>322</v>
      </c>
      <c r="E5" t="s">
        <v>317</v>
      </c>
      <c r="F5" s="67">
        <v>44411</v>
      </c>
    </row>
    <row r="6" spans="2:7" x14ac:dyDescent="0.2">
      <c r="B6">
        <v>3</v>
      </c>
      <c r="C6" t="s">
        <v>338</v>
      </c>
      <c r="D6" t="s">
        <v>322</v>
      </c>
      <c r="E6" t="s">
        <v>317</v>
      </c>
      <c r="F6" s="67">
        <v>44411</v>
      </c>
    </row>
    <row r="7" spans="2:7" x14ac:dyDescent="0.2">
      <c r="B7">
        <v>4</v>
      </c>
      <c r="C7" t="s">
        <v>308</v>
      </c>
      <c r="D7" t="s">
        <v>322</v>
      </c>
      <c r="E7" t="s">
        <v>317</v>
      </c>
    </row>
    <row r="8" spans="2:7" x14ac:dyDescent="0.2">
      <c r="B8">
        <v>5</v>
      </c>
      <c r="C8" t="s">
        <v>309</v>
      </c>
      <c r="D8" t="s">
        <v>322</v>
      </c>
      <c r="E8" t="s">
        <v>317</v>
      </c>
      <c r="F8" s="67">
        <v>44413</v>
      </c>
    </row>
    <row r="9" spans="2:7" x14ac:dyDescent="0.2">
      <c r="B9">
        <v>6</v>
      </c>
      <c r="C9" t="s">
        <v>310</v>
      </c>
      <c r="D9" t="s">
        <v>322</v>
      </c>
      <c r="E9" t="s">
        <v>317</v>
      </c>
      <c r="F9" s="67">
        <v>44411</v>
      </c>
    </row>
    <row r="10" spans="2:7" x14ac:dyDescent="0.2">
      <c r="B10">
        <v>7</v>
      </c>
      <c r="C10" t="s">
        <v>311</v>
      </c>
      <c r="D10" t="s">
        <v>322</v>
      </c>
      <c r="E10" t="s">
        <v>317</v>
      </c>
      <c r="F10" s="67">
        <v>44413</v>
      </c>
    </row>
    <row r="11" spans="2:7" x14ac:dyDescent="0.2">
      <c r="B11">
        <v>8</v>
      </c>
      <c r="C11" t="s">
        <v>312</v>
      </c>
      <c r="D11" t="s">
        <v>322</v>
      </c>
      <c r="E11" t="s">
        <v>317</v>
      </c>
    </row>
    <row r="12" spans="2:7" x14ac:dyDescent="0.2">
      <c r="B12">
        <v>9</v>
      </c>
      <c r="C12" t="s">
        <v>313</v>
      </c>
      <c r="D12" t="s">
        <v>322</v>
      </c>
      <c r="E12" t="s">
        <v>317</v>
      </c>
      <c r="F12" s="67">
        <v>44411</v>
      </c>
    </row>
    <row r="13" spans="2:7" x14ac:dyDescent="0.2">
      <c r="B13">
        <v>10</v>
      </c>
      <c r="C13" t="s">
        <v>314</v>
      </c>
      <c r="D13" t="s">
        <v>322</v>
      </c>
      <c r="E13" t="s">
        <v>317</v>
      </c>
      <c r="F13" s="67">
        <v>44411</v>
      </c>
    </row>
    <row r="14" spans="2:7" x14ac:dyDescent="0.2">
      <c r="B14">
        <v>11</v>
      </c>
      <c r="C14" t="s">
        <v>320</v>
      </c>
      <c r="D14" t="s">
        <v>323</v>
      </c>
      <c r="E14" t="s">
        <v>317</v>
      </c>
      <c r="F14" s="67">
        <v>44411</v>
      </c>
    </row>
    <row r="15" spans="2:7" x14ac:dyDescent="0.2">
      <c r="B15">
        <v>12</v>
      </c>
      <c r="C15" t="s">
        <v>324</v>
      </c>
      <c r="D15" t="s">
        <v>325</v>
      </c>
      <c r="E15" t="s">
        <v>317</v>
      </c>
      <c r="F15" s="67">
        <v>44411</v>
      </c>
    </row>
    <row r="16" spans="2:7" x14ac:dyDescent="0.2">
      <c r="B16">
        <v>13</v>
      </c>
      <c r="C16" t="s">
        <v>327</v>
      </c>
      <c r="D16" t="s">
        <v>326</v>
      </c>
      <c r="E16" t="s">
        <v>317</v>
      </c>
      <c r="F16" s="67">
        <v>44411</v>
      </c>
    </row>
    <row r="17" spans="2:6" x14ac:dyDescent="0.2">
      <c r="B17">
        <v>14</v>
      </c>
      <c r="C17" t="s">
        <v>331</v>
      </c>
      <c r="D17" t="s">
        <v>328</v>
      </c>
      <c r="E17" t="s">
        <v>317</v>
      </c>
      <c r="F17" s="67">
        <v>44411</v>
      </c>
    </row>
    <row r="18" spans="2:6" x14ac:dyDescent="0.2">
      <c r="B18">
        <v>15</v>
      </c>
      <c r="C18" t="s">
        <v>329</v>
      </c>
      <c r="D18" t="s">
        <v>330</v>
      </c>
      <c r="E18" t="s">
        <v>317</v>
      </c>
      <c r="F18" s="67">
        <v>44414</v>
      </c>
    </row>
    <row r="19" spans="2:6" x14ac:dyDescent="0.2">
      <c r="B19">
        <v>16</v>
      </c>
      <c r="C19" t="s">
        <v>332</v>
      </c>
      <c r="D19" t="s">
        <v>333</v>
      </c>
      <c r="E19" t="s">
        <v>317</v>
      </c>
      <c r="F19" s="67">
        <v>44411</v>
      </c>
    </row>
    <row r="20" spans="2:6" x14ac:dyDescent="0.2">
      <c r="B20">
        <v>17</v>
      </c>
      <c r="C20" t="s">
        <v>334</v>
      </c>
      <c r="D20" t="s">
        <v>335</v>
      </c>
      <c r="E20" t="s">
        <v>317</v>
      </c>
    </row>
    <row r="21" spans="2:6" x14ac:dyDescent="0.2">
      <c r="B21">
        <v>18</v>
      </c>
      <c r="C21" t="s">
        <v>336</v>
      </c>
      <c r="D21" t="s">
        <v>337</v>
      </c>
      <c r="E21" t="s">
        <v>317</v>
      </c>
      <c r="F21" s="67">
        <v>44412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4B71E-5383-D243-AAB3-647DAF134A42}">
  <dimension ref="B4:E25"/>
  <sheetViews>
    <sheetView topLeftCell="A9" zoomScale="80" zoomScaleNormal="80" workbookViewId="0">
      <selection activeCell="D17" sqref="D17"/>
    </sheetView>
  </sheetViews>
  <sheetFormatPr baseColWidth="10" defaultColWidth="11" defaultRowHeight="15" x14ac:dyDescent="0.2"/>
  <cols>
    <col min="2" max="2" width="3.5" bestFit="1" customWidth="1"/>
    <col min="3" max="3" width="13.6640625" style="84" customWidth="1"/>
    <col min="4" max="4" width="78.1640625" style="84" customWidth="1"/>
    <col min="5" max="5" width="10.5" customWidth="1"/>
  </cols>
  <sheetData>
    <row r="4" spans="2:5" ht="35" thickBot="1" x14ac:dyDescent="0.25">
      <c r="B4" s="82" t="s">
        <v>111</v>
      </c>
      <c r="C4" s="82" t="s">
        <v>369</v>
      </c>
      <c r="D4" s="82" t="s">
        <v>397</v>
      </c>
      <c r="E4" s="82" t="s">
        <v>222</v>
      </c>
    </row>
    <row r="5" spans="2:5" ht="34" x14ac:dyDescent="0.2">
      <c r="B5" s="83">
        <v>1</v>
      </c>
      <c r="C5" s="88" t="s">
        <v>208</v>
      </c>
      <c r="D5" s="85" t="s">
        <v>221</v>
      </c>
      <c r="E5" s="86" t="s">
        <v>391</v>
      </c>
    </row>
    <row r="6" spans="2:5" ht="34" x14ac:dyDescent="0.2">
      <c r="B6" s="83">
        <v>2</v>
      </c>
      <c r="C6" s="88" t="s">
        <v>208</v>
      </c>
      <c r="D6" s="86" t="s">
        <v>134</v>
      </c>
      <c r="E6" s="86" t="s">
        <v>391</v>
      </c>
    </row>
    <row r="7" spans="2:5" ht="34" x14ac:dyDescent="0.2">
      <c r="B7" s="83">
        <v>3</v>
      </c>
      <c r="C7" s="88" t="s">
        <v>208</v>
      </c>
      <c r="D7" s="87" t="s">
        <v>125</v>
      </c>
      <c r="E7" s="86" t="s">
        <v>391</v>
      </c>
    </row>
    <row r="8" spans="2:5" ht="34" x14ac:dyDescent="0.2">
      <c r="B8" s="83">
        <v>4</v>
      </c>
      <c r="C8" s="88" t="s">
        <v>208</v>
      </c>
      <c r="D8" s="86" t="s">
        <v>129</v>
      </c>
      <c r="E8" s="86" t="s">
        <v>391</v>
      </c>
    </row>
    <row r="9" spans="2:5" ht="34" x14ac:dyDescent="0.2">
      <c r="B9" s="83">
        <v>5</v>
      </c>
      <c r="C9" s="88" t="s">
        <v>208</v>
      </c>
      <c r="D9" s="87" t="s">
        <v>207</v>
      </c>
      <c r="E9" s="86" t="s">
        <v>391</v>
      </c>
    </row>
    <row r="10" spans="2:5" ht="46" x14ac:dyDescent="0.2">
      <c r="B10" s="83">
        <v>6</v>
      </c>
      <c r="C10" s="88" t="s">
        <v>208</v>
      </c>
      <c r="D10" s="86" t="s">
        <v>249</v>
      </c>
      <c r="E10" s="86" t="s">
        <v>383</v>
      </c>
    </row>
    <row r="11" spans="2:5" ht="34" x14ac:dyDescent="0.2">
      <c r="B11" s="83">
        <v>7</v>
      </c>
      <c r="C11" s="88" t="s">
        <v>208</v>
      </c>
      <c r="D11" s="87" t="s">
        <v>125</v>
      </c>
      <c r="E11" s="86" t="s">
        <v>387</v>
      </c>
    </row>
    <row r="12" spans="2:5" ht="34" x14ac:dyDescent="0.2">
      <c r="B12" s="83">
        <v>8</v>
      </c>
      <c r="C12" s="88" t="s">
        <v>208</v>
      </c>
      <c r="D12" s="86" t="s">
        <v>143</v>
      </c>
      <c r="E12" s="86" t="s">
        <v>387</v>
      </c>
    </row>
    <row r="13" spans="2:5" ht="34" x14ac:dyDescent="0.2">
      <c r="B13" s="83">
        <v>9</v>
      </c>
      <c r="C13" s="88" t="s">
        <v>208</v>
      </c>
      <c r="D13" s="87" t="s">
        <v>120</v>
      </c>
      <c r="E13" s="86" t="s">
        <v>387</v>
      </c>
    </row>
    <row r="14" spans="2:5" ht="34" x14ac:dyDescent="0.2">
      <c r="B14" s="83">
        <v>10</v>
      </c>
      <c r="C14" s="88" t="s">
        <v>365</v>
      </c>
      <c r="D14" s="86" t="s">
        <v>197</v>
      </c>
      <c r="E14" s="86" t="s">
        <v>389</v>
      </c>
    </row>
    <row r="15" spans="2:5" ht="46" x14ac:dyDescent="0.2">
      <c r="B15" s="83">
        <v>11</v>
      </c>
      <c r="C15" s="88" t="s">
        <v>365</v>
      </c>
      <c r="D15" s="86" t="s">
        <v>215</v>
      </c>
      <c r="E15" s="86" t="s">
        <v>389</v>
      </c>
    </row>
    <row r="16" spans="2:5" ht="34" x14ac:dyDescent="0.2">
      <c r="B16" s="83">
        <v>12</v>
      </c>
      <c r="C16" s="88" t="s">
        <v>365</v>
      </c>
      <c r="D16" s="86" t="s">
        <v>195</v>
      </c>
      <c r="E16" s="86" t="s">
        <v>389</v>
      </c>
    </row>
    <row r="17" spans="2:5" ht="34" x14ac:dyDescent="0.2">
      <c r="B17" s="83">
        <v>13</v>
      </c>
      <c r="C17" s="88" t="s">
        <v>365</v>
      </c>
      <c r="D17" s="86" t="s">
        <v>199</v>
      </c>
      <c r="E17" s="86" t="s">
        <v>388</v>
      </c>
    </row>
    <row r="18" spans="2:5" ht="34" x14ac:dyDescent="0.2">
      <c r="B18" s="83">
        <v>14</v>
      </c>
      <c r="C18" s="88" t="s">
        <v>366</v>
      </c>
      <c r="D18" s="86" t="s">
        <v>163</v>
      </c>
      <c r="E18" s="86" t="s">
        <v>392</v>
      </c>
    </row>
    <row r="19" spans="2:5" ht="34" x14ac:dyDescent="0.2">
      <c r="B19" s="83">
        <v>15</v>
      </c>
      <c r="C19" s="88" t="s">
        <v>366</v>
      </c>
      <c r="D19" s="86" t="s">
        <v>148</v>
      </c>
      <c r="E19" s="86" t="s">
        <v>393</v>
      </c>
    </row>
    <row r="20" spans="2:5" ht="34" x14ac:dyDescent="0.2">
      <c r="B20" s="83">
        <v>16</v>
      </c>
      <c r="C20" s="88" t="s">
        <v>366</v>
      </c>
      <c r="D20" s="86" t="s">
        <v>399</v>
      </c>
      <c r="E20" s="86" t="s">
        <v>394</v>
      </c>
    </row>
    <row r="21" spans="2:5" ht="46" x14ac:dyDescent="0.2">
      <c r="B21" s="83">
        <v>17</v>
      </c>
      <c r="C21" s="88" t="s">
        <v>367</v>
      </c>
      <c r="D21" s="86" t="s">
        <v>371</v>
      </c>
      <c r="E21" s="86" t="s">
        <v>390</v>
      </c>
    </row>
    <row r="22" spans="2:5" ht="31" x14ac:dyDescent="0.2">
      <c r="B22" s="83">
        <v>18</v>
      </c>
      <c r="C22" s="88" t="s">
        <v>367</v>
      </c>
      <c r="D22" s="86" t="s">
        <v>382</v>
      </c>
      <c r="E22" s="86" t="s">
        <v>395</v>
      </c>
    </row>
    <row r="23" spans="2:5" ht="46" x14ac:dyDescent="0.2">
      <c r="B23" s="83">
        <v>19</v>
      </c>
      <c r="C23" s="88" t="s">
        <v>367</v>
      </c>
      <c r="D23" s="86" t="s">
        <v>244</v>
      </c>
      <c r="E23" s="86" t="s">
        <v>224</v>
      </c>
    </row>
    <row r="24" spans="2:5" ht="17" x14ac:dyDescent="0.2">
      <c r="B24" s="83">
        <v>20</v>
      </c>
      <c r="C24" s="88" t="s">
        <v>367</v>
      </c>
      <c r="D24" s="86" t="s">
        <v>178</v>
      </c>
      <c r="E24" s="86" t="s">
        <v>226</v>
      </c>
    </row>
    <row r="25" spans="2:5" ht="17" x14ac:dyDescent="0.2">
      <c r="B25" s="83">
        <v>21</v>
      </c>
      <c r="C25" s="88" t="s">
        <v>367</v>
      </c>
      <c r="D25" s="86" t="s">
        <v>385</v>
      </c>
      <c r="E25" s="86" t="s">
        <v>386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D40A7-214F-F444-9D8C-CF008825BE5E}">
  <dimension ref="B2:J52"/>
  <sheetViews>
    <sheetView zoomScale="80" zoomScaleNormal="80" workbookViewId="0">
      <selection activeCell="G18" sqref="G18"/>
    </sheetView>
  </sheetViews>
  <sheetFormatPr baseColWidth="10" defaultRowHeight="15" x14ac:dyDescent="0.2"/>
  <cols>
    <col min="2" max="2" width="14.83203125" hidden="1" customWidth="1"/>
    <col min="3" max="3" width="14.83203125" customWidth="1"/>
    <col min="4" max="4" width="24.83203125" customWidth="1"/>
    <col min="5" max="5" width="18.6640625" hidden="1" customWidth="1"/>
    <col min="6" max="6" width="8.83203125" hidden="1" customWidth="1"/>
    <col min="7" max="7" width="57.33203125" customWidth="1"/>
    <col min="8" max="8" width="47" hidden="1" customWidth="1"/>
    <col min="9" max="9" width="14" hidden="1" customWidth="1"/>
  </cols>
  <sheetData>
    <row r="2" spans="2:10" ht="16" x14ac:dyDescent="0.2">
      <c r="C2" s="49" t="s">
        <v>204</v>
      </c>
      <c r="D2" s="38"/>
      <c r="E2" s="38"/>
      <c r="F2" s="38"/>
    </row>
    <row r="3" spans="2:10" ht="16" x14ac:dyDescent="0.2">
      <c r="D3" s="50" t="s">
        <v>103</v>
      </c>
      <c r="E3" s="38"/>
      <c r="F3" s="38"/>
    </row>
    <row r="4" spans="2:10" ht="16" x14ac:dyDescent="0.2">
      <c r="D4" s="50" t="s">
        <v>106</v>
      </c>
      <c r="E4" s="38"/>
      <c r="F4" s="38"/>
    </row>
    <row r="5" spans="2:10" ht="16" x14ac:dyDescent="0.2">
      <c r="D5" s="50" t="s">
        <v>104</v>
      </c>
      <c r="E5" s="38"/>
      <c r="F5" s="38"/>
    </row>
    <row r="6" spans="2:10" ht="16" x14ac:dyDescent="0.2">
      <c r="D6" s="50" t="s">
        <v>105</v>
      </c>
      <c r="E6" s="38"/>
      <c r="F6" s="38"/>
    </row>
    <row r="7" spans="2:10" ht="16" x14ac:dyDescent="0.2">
      <c r="B7" s="38"/>
      <c r="C7" s="38"/>
      <c r="D7" s="38"/>
      <c r="E7" s="38"/>
      <c r="F7" s="38"/>
    </row>
    <row r="8" spans="2:10" ht="34" x14ac:dyDescent="0.2">
      <c r="B8" s="41" t="s">
        <v>111</v>
      </c>
      <c r="C8" s="41" t="s">
        <v>396</v>
      </c>
      <c r="D8" s="41" t="s">
        <v>369</v>
      </c>
      <c r="E8" s="77" t="s">
        <v>209</v>
      </c>
      <c r="F8" s="77" t="s">
        <v>247</v>
      </c>
      <c r="G8" s="41" t="s">
        <v>108</v>
      </c>
      <c r="H8" s="41" t="s">
        <v>109</v>
      </c>
      <c r="I8" s="51" t="s">
        <v>110</v>
      </c>
      <c r="J8" s="41" t="s">
        <v>222</v>
      </c>
    </row>
    <row r="9" spans="2:10" ht="70" customHeight="1" x14ac:dyDescent="0.2">
      <c r="B9" s="41">
        <v>1</v>
      </c>
      <c r="C9" s="42">
        <v>5</v>
      </c>
      <c r="D9" s="52" t="s">
        <v>208</v>
      </c>
      <c r="E9" s="77" t="s">
        <v>210</v>
      </c>
      <c r="F9" s="77" t="s">
        <v>248</v>
      </c>
      <c r="G9" s="55" t="s">
        <v>221</v>
      </c>
      <c r="H9" s="56" t="s">
        <v>113</v>
      </c>
      <c r="I9" s="73" t="s">
        <v>136</v>
      </c>
      <c r="J9" s="42" t="s">
        <v>391</v>
      </c>
    </row>
    <row r="10" spans="2:10" ht="31" x14ac:dyDescent="0.2">
      <c r="B10" s="41">
        <v>10</v>
      </c>
      <c r="C10" s="42">
        <v>6</v>
      </c>
      <c r="D10" s="52" t="s">
        <v>208</v>
      </c>
      <c r="E10" s="77" t="s">
        <v>210</v>
      </c>
      <c r="F10" s="77" t="s">
        <v>248</v>
      </c>
      <c r="G10" s="42" t="s">
        <v>134</v>
      </c>
      <c r="H10" s="42" t="s">
        <v>135</v>
      </c>
      <c r="I10" s="74" t="s">
        <v>136</v>
      </c>
      <c r="J10" s="42" t="s">
        <v>391</v>
      </c>
    </row>
    <row r="11" spans="2:10" ht="34" hidden="1" x14ac:dyDescent="0.2">
      <c r="B11" s="41">
        <v>2</v>
      </c>
      <c r="C11" s="42"/>
      <c r="D11" s="52" t="s">
        <v>208</v>
      </c>
      <c r="E11" s="77" t="s">
        <v>210</v>
      </c>
      <c r="F11" s="77" t="s">
        <v>248</v>
      </c>
      <c r="G11" s="41" t="s">
        <v>206</v>
      </c>
      <c r="H11" s="41" t="s">
        <v>114</v>
      </c>
      <c r="I11" s="74" t="s">
        <v>124</v>
      </c>
      <c r="J11" s="42"/>
    </row>
    <row r="12" spans="2:10" ht="46" hidden="1" x14ac:dyDescent="0.2">
      <c r="B12" s="41">
        <v>11</v>
      </c>
      <c r="C12" s="42"/>
      <c r="D12" s="52" t="s">
        <v>208</v>
      </c>
      <c r="E12" s="77" t="s">
        <v>210</v>
      </c>
      <c r="F12" s="77" t="s">
        <v>364</v>
      </c>
      <c r="G12" s="42" t="s">
        <v>134</v>
      </c>
      <c r="H12" s="42" t="s">
        <v>137</v>
      </c>
      <c r="I12" s="42" t="s">
        <v>138</v>
      </c>
      <c r="J12" s="42"/>
    </row>
    <row r="13" spans="2:10" ht="51" x14ac:dyDescent="0.2">
      <c r="B13" s="41">
        <v>6</v>
      </c>
      <c r="C13" s="42">
        <v>7</v>
      </c>
      <c r="D13" s="52" t="s">
        <v>208</v>
      </c>
      <c r="E13" s="77" t="s">
        <v>211</v>
      </c>
      <c r="F13" s="77" t="s">
        <v>364</v>
      </c>
      <c r="G13" s="41" t="s">
        <v>125</v>
      </c>
      <c r="H13" s="41" t="s">
        <v>127</v>
      </c>
      <c r="I13" s="42" t="s">
        <v>126</v>
      </c>
      <c r="J13" s="42" t="s">
        <v>391</v>
      </c>
    </row>
    <row r="14" spans="2:10" ht="46" x14ac:dyDescent="0.2">
      <c r="B14" s="41">
        <v>8</v>
      </c>
      <c r="C14" s="42">
        <v>8</v>
      </c>
      <c r="D14" s="52" t="s">
        <v>208</v>
      </c>
      <c r="E14" s="77" t="s">
        <v>212</v>
      </c>
      <c r="F14" s="77" t="s">
        <v>248</v>
      </c>
      <c r="G14" s="54" t="s">
        <v>129</v>
      </c>
      <c r="H14" s="42" t="s">
        <v>130</v>
      </c>
      <c r="I14" s="74" t="s">
        <v>150</v>
      </c>
      <c r="J14" s="42" t="s">
        <v>391</v>
      </c>
    </row>
    <row r="15" spans="2:10" ht="85" x14ac:dyDescent="0.2">
      <c r="B15" s="41">
        <v>3</v>
      </c>
      <c r="C15" s="42">
        <v>9</v>
      </c>
      <c r="D15" s="52" t="s">
        <v>208</v>
      </c>
      <c r="E15" s="77" t="s">
        <v>213</v>
      </c>
      <c r="F15" s="77" t="s">
        <v>248</v>
      </c>
      <c r="G15" s="53" t="s">
        <v>207</v>
      </c>
      <c r="H15" s="41" t="s">
        <v>118</v>
      </c>
      <c r="I15" s="75" t="s">
        <v>119</v>
      </c>
      <c r="J15" s="42" t="s">
        <v>391</v>
      </c>
    </row>
    <row r="16" spans="2:10" ht="61" x14ac:dyDescent="0.2">
      <c r="B16" s="41">
        <v>14</v>
      </c>
      <c r="C16" s="42">
        <v>19</v>
      </c>
      <c r="D16" s="52" t="s">
        <v>208</v>
      </c>
      <c r="E16" s="77" t="s">
        <v>216</v>
      </c>
      <c r="F16" s="77" t="s">
        <v>248</v>
      </c>
      <c r="G16" s="54" t="s">
        <v>249</v>
      </c>
      <c r="H16" s="42" t="s">
        <v>146</v>
      </c>
      <c r="I16" s="74" t="s">
        <v>147</v>
      </c>
      <c r="J16" s="42" t="s">
        <v>383</v>
      </c>
    </row>
    <row r="17" spans="2:10" ht="76" hidden="1" x14ac:dyDescent="0.2">
      <c r="B17" s="41">
        <v>9</v>
      </c>
      <c r="C17" s="42"/>
      <c r="D17" s="52" t="s">
        <v>208</v>
      </c>
      <c r="E17" s="77" t="s">
        <v>212</v>
      </c>
      <c r="F17" s="77" t="s">
        <v>364</v>
      </c>
      <c r="G17" s="42" t="s">
        <v>132</v>
      </c>
      <c r="H17" s="42" t="s">
        <v>133</v>
      </c>
      <c r="I17" s="42" t="s">
        <v>131</v>
      </c>
      <c r="J17" s="42"/>
    </row>
    <row r="18" spans="2:10" ht="65" customHeight="1" x14ac:dyDescent="0.2">
      <c r="B18" s="41">
        <v>7</v>
      </c>
      <c r="C18" s="42">
        <v>21</v>
      </c>
      <c r="D18" s="52" t="s">
        <v>208</v>
      </c>
      <c r="E18" s="77" t="s">
        <v>211</v>
      </c>
      <c r="F18" s="77" t="s">
        <v>364</v>
      </c>
      <c r="G18" s="41" t="s">
        <v>125</v>
      </c>
      <c r="H18" s="41" t="s">
        <v>128</v>
      </c>
      <c r="I18" s="42" t="s">
        <v>115</v>
      </c>
      <c r="J18" s="42" t="s">
        <v>387</v>
      </c>
    </row>
    <row r="19" spans="2:10" ht="61" x14ac:dyDescent="0.2">
      <c r="B19" s="41">
        <v>12</v>
      </c>
      <c r="C19" s="42">
        <v>22</v>
      </c>
      <c r="D19" s="52" t="s">
        <v>208</v>
      </c>
      <c r="E19" s="77" t="s">
        <v>211</v>
      </c>
      <c r="F19" s="77" t="s">
        <v>364</v>
      </c>
      <c r="G19" s="42" t="s">
        <v>143</v>
      </c>
      <c r="H19" s="42" t="s">
        <v>144</v>
      </c>
      <c r="I19" s="42" t="s">
        <v>124</v>
      </c>
      <c r="J19" s="42" t="s">
        <v>387</v>
      </c>
    </row>
    <row r="20" spans="2:10" ht="68" hidden="1" x14ac:dyDescent="0.2">
      <c r="B20" s="41">
        <v>5</v>
      </c>
      <c r="C20" s="42"/>
      <c r="D20" s="52" t="s">
        <v>208</v>
      </c>
      <c r="E20" s="77" t="s">
        <v>214</v>
      </c>
      <c r="F20" s="77" t="s">
        <v>364</v>
      </c>
      <c r="G20" s="41" t="s">
        <v>120</v>
      </c>
      <c r="H20" s="41" t="s">
        <v>123</v>
      </c>
      <c r="I20" s="41" t="s">
        <v>124</v>
      </c>
      <c r="J20" s="42"/>
    </row>
    <row r="21" spans="2:10" ht="51" x14ac:dyDescent="0.2">
      <c r="B21" s="41">
        <v>4</v>
      </c>
      <c r="C21" s="42">
        <v>23</v>
      </c>
      <c r="D21" s="52" t="s">
        <v>208</v>
      </c>
      <c r="E21" s="77" t="s">
        <v>214</v>
      </c>
      <c r="F21" s="77" t="s">
        <v>364</v>
      </c>
      <c r="G21" s="41" t="s">
        <v>120</v>
      </c>
      <c r="H21" s="41" t="s">
        <v>121</v>
      </c>
      <c r="I21" s="41" t="s">
        <v>122</v>
      </c>
      <c r="J21" s="42" t="s">
        <v>387</v>
      </c>
    </row>
    <row r="22" spans="2:10" ht="31" hidden="1" x14ac:dyDescent="0.2">
      <c r="B22" s="41">
        <v>13</v>
      </c>
      <c r="C22" s="42"/>
      <c r="D22" s="52" t="s">
        <v>208</v>
      </c>
      <c r="E22" s="77" t="s">
        <v>216</v>
      </c>
      <c r="F22" s="77" t="s">
        <v>364</v>
      </c>
      <c r="G22" s="42" t="s">
        <v>139</v>
      </c>
      <c r="H22" s="42" t="s">
        <v>140</v>
      </c>
      <c r="I22" s="42" t="s">
        <v>131</v>
      </c>
      <c r="J22" s="42"/>
    </row>
    <row r="23" spans="2:10" ht="50" customHeight="1" x14ac:dyDescent="0.2">
      <c r="B23" s="41">
        <v>38</v>
      </c>
      <c r="C23" s="42">
        <v>1</v>
      </c>
      <c r="D23" s="52" t="s">
        <v>365</v>
      </c>
      <c r="E23" s="77" t="s">
        <v>212</v>
      </c>
      <c r="F23" s="77" t="s">
        <v>248</v>
      </c>
      <c r="G23" s="42" t="s">
        <v>197</v>
      </c>
      <c r="H23" s="42" t="s">
        <v>198</v>
      </c>
      <c r="I23" s="42" t="s">
        <v>138</v>
      </c>
      <c r="J23" s="42" t="s">
        <v>389</v>
      </c>
    </row>
    <row r="24" spans="2:10" ht="46" x14ac:dyDescent="0.2">
      <c r="B24" s="41">
        <v>40</v>
      </c>
      <c r="C24" s="42">
        <v>2</v>
      </c>
      <c r="D24" s="52" t="s">
        <v>365</v>
      </c>
      <c r="E24" s="77" t="s">
        <v>220</v>
      </c>
      <c r="F24" s="77" t="s">
        <v>248</v>
      </c>
      <c r="G24" s="42" t="s">
        <v>215</v>
      </c>
      <c r="H24" s="42" t="s">
        <v>202</v>
      </c>
      <c r="I24" s="42" t="s">
        <v>203</v>
      </c>
      <c r="J24" s="42" t="s">
        <v>389</v>
      </c>
    </row>
    <row r="25" spans="2:10" ht="46" x14ac:dyDescent="0.2">
      <c r="B25" s="41">
        <v>37</v>
      </c>
      <c r="C25" s="42">
        <v>3</v>
      </c>
      <c r="D25" s="52" t="s">
        <v>365</v>
      </c>
      <c r="E25" s="77" t="s">
        <v>220</v>
      </c>
      <c r="F25" s="77" t="s">
        <v>248</v>
      </c>
      <c r="G25" s="42" t="s">
        <v>195</v>
      </c>
      <c r="H25" s="42" t="s">
        <v>196</v>
      </c>
      <c r="I25" s="42" t="s">
        <v>177</v>
      </c>
      <c r="J25" s="42" t="s">
        <v>389</v>
      </c>
    </row>
    <row r="26" spans="2:10" ht="24" customHeight="1" x14ac:dyDescent="0.2">
      <c r="B26" s="41">
        <v>39</v>
      </c>
      <c r="C26" s="42">
        <v>24</v>
      </c>
      <c r="D26" s="52" t="s">
        <v>365</v>
      </c>
      <c r="E26" s="77" t="s">
        <v>220</v>
      </c>
      <c r="F26" s="77" t="s">
        <v>248</v>
      </c>
      <c r="G26" s="42" t="s">
        <v>199</v>
      </c>
      <c r="H26" s="42" t="s">
        <v>200</v>
      </c>
      <c r="I26" s="42" t="s">
        <v>126</v>
      </c>
      <c r="J26" s="42" t="s">
        <v>388</v>
      </c>
    </row>
    <row r="27" spans="2:10" ht="31" hidden="1" x14ac:dyDescent="0.2">
      <c r="B27" s="41">
        <v>18</v>
      </c>
      <c r="C27" s="42"/>
      <c r="D27" s="52" t="s">
        <v>366</v>
      </c>
      <c r="E27" s="52" t="s">
        <v>210</v>
      </c>
      <c r="F27" s="52" t="s">
        <v>364</v>
      </c>
      <c r="G27" s="42" t="s">
        <v>156</v>
      </c>
      <c r="H27" s="42" t="s">
        <v>155</v>
      </c>
      <c r="I27" s="42"/>
      <c r="J27" s="42"/>
    </row>
    <row r="28" spans="2:10" ht="31" x14ac:dyDescent="0.2">
      <c r="B28" s="41">
        <v>22</v>
      </c>
      <c r="C28" s="42">
        <v>10</v>
      </c>
      <c r="D28" s="52" t="s">
        <v>366</v>
      </c>
      <c r="E28" s="52" t="s">
        <v>210</v>
      </c>
      <c r="F28" s="52" t="s">
        <v>364</v>
      </c>
      <c r="G28" s="42" t="s">
        <v>163</v>
      </c>
      <c r="H28" s="42" t="s">
        <v>164</v>
      </c>
      <c r="I28" s="42"/>
      <c r="J28" s="42" t="s">
        <v>392</v>
      </c>
    </row>
    <row r="29" spans="2:10" ht="31" x14ac:dyDescent="0.2">
      <c r="B29" s="41">
        <v>25</v>
      </c>
      <c r="C29" s="42">
        <v>11</v>
      </c>
      <c r="D29" s="52" t="s">
        <v>366</v>
      </c>
      <c r="E29" s="52" t="s">
        <v>217</v>
      </c>
      <c r="F29" s="52" t="s">
        <v>364</v>
      </c>
      <c r="G29" s="42" t="s">
        <v>169</v>
      </c>
      <c r="H29" s="42" t="s">
        <v>205</v>
      </c>
      <c r="I29" s="42"/>
      <c r="J29" s="42" t="s">
        <v>392</v>
      </c>
    </row>
    <row r="30" spans="2:10" ht="61" x14ac:dyDescent="0.2">
      <c r="B30" s="41">
        <v>15</v>
      </c>
      <c r="C30" s="42">
        <v>12</v>
      </c>
      <c r="D30" s="52" t="s">
        <v>366</v>
      </c>
      <c r="E30" s="52"/>
      <c r="F30" s="52" t="s">
        <v>248</v>
      </c>
      <c r="G30" s="54" t="s">
        <v>148</v>
      </c>
      <c r="H30" s="72" t="s">
        <v>149</v>
      </c>
      <c r="I30" s="74" t="s">
        <v>150</v>
      </c>
      <c r="J30" s="42" t="s">
        <v>393</v>
      </c>
    </row>
    <row r="31" spans="2:10" ht="46" hidden="1" x14ac:dyDescent="0.2">
      <c r="B31" s="41">
        <v>26</v>
      </c>
      <c r="C31" s="42"/>
      <c r="D31" s="52" t="s">
        <v>366</v>
      </c>
      <c r="E31" s="52" t="s">
        <v>217</v>
      </c>
      <c r="F31" s="52" t="s">
        <v>248</v>
      </c>
      <c r="G31" s="54" t="s">
        <v>170</v>
      </c>
      <c r="H31" s="42" t="s">
        <v>171</v>
      </c>
      <c r="I31" s="74" t="s">
        <v>172</v>
      </c>
      <c r="J31" s="42"/>
    </row>
    <row r="32" spans="2:10" ht="61" hidden="1" x14ac:dyDescent="0.2">
      <c r="B32" s="41">
        <v>17</v>
      </c>
      <c r="C32" s="42"/>
      <c r="D32" s="52" t="s">
        <v>366</v>
      </c>
      <c r="E32" s="52" t="s">
        <v>217</v>
      </c>
      <c r="F32" s="52" t="s">
        <v>364</v>
      </c>
      <c r="G32" s="42" t="s">
        <v>153</v>
      </c>
      <c r="H32" s="42" t="s">
        <v>154</v>
      </c>
      <c r="I32" s="42" t="s">
        <v>150</v>
      </c>
      <c r="J32" s="42"/>
    </row>
    <row r="33" spans="2:10" ht="46" hidden="1" x14ac:dyDescent="0.2">
      <c r="B33" s="41">
        <v>27</v>
      </c>
      <c r="C33" s="42"/>
      <c r="D33" s="52" t="s">
        <v>366</v>
      </c>
      <c r="E33" s="52" t="s">
        <v>217</v>
      </c>
      <c r="F33" s="52" t="s">
        <v>364</v>
      </c>
      <c r="G33" s="42" t="s">
        <v>170</v>
      </c>
      <c r="H33" s="42" t="s">
        <v>173</v>
      </c>
      <c r="I33" s="42" t="s">
        <v>150</v>
      </c>
      <c r="J33" s="42"/>
    </row>
    <row r="34" spans="2:10" ht="106" x14ac:dyDescent="0.2">
      <c r="B34" s="41">
        <v>24</v>
      </c>
      <c r="C34" s="42">
        <v>13</v>
      </c>
      <c r="D34" s="52" t="s">
        <v>366</v>
      </c>
      <c r="E34" s="77" t="s">
        <v>212</v>
      </c>
      <c r="F34" s="77" t="s">
        <v>364</v>
      </c>
      <c r="G34" s="42" t="s">
        <v>167</v>
      </c>
      <c r="H34" s="42" t="s">
        <v>168</v>
      </c>
      <c r="I34" s="42" t="s">
        <v>126</v>
      </c>
      <c r="J34" s="42" t="s">
        <v>394</v>
      </c>
    </row>
    <row r="35" spans="2:10" ht="61" hidden="1" x14ac:dyDescent="0.2">
      <c r="B35" s="41">
        <v>20</v>
      </c>
      <c r="C35" s="42"/>
      <c r="D35" s="52" t="s">
        <v>366</v>
      </c>
      <c r="E35" s="52" t="s">
        <v>218</v>
      </c>
      <c r="F35" s="52" t="s">
        <v>364</v>
      </c>
      <c r="G35" s="42" t="s">
        <v>159</v>
      </c>
      <c r="H35" s="42" t="s">
        <v>160</v>
      </c>
      <c r="I35" s="42"/>
      <c r="J35" s="42"/>
    </row>
    <row r="36" spans="2:10" ht="31" hidden="1" x14ac:dyDescent="0.2">
      <c r="B36" s="41">
        <v>21</v>
      </c>
      <c r="C36" s="42"/>
      <c r="D36" s="52" t="s">
        <v>366</v>
      </c>
      <c r="E36" s="52" t="s">
        <v>219</v>
      </c>
      <c r="F36" s="52" t="s">
        <v>364</v>
      </c>
      <c r="G36" s="42" t="s">
        <v>161</v>
      </c>
      <c r="H36" s="42" t="s">
        <v>162</v>
      </c>
      <c r="I36" s="42"/>
      <c r="J36" s="42"/>
    </row>
    <row r="37" spans="2:10" ht="46" x14ac:dyDescent="0.2">
      <c r="B37" s="41">
        <v>23</v>
      </c>
      <c r="C37" s="42">
        <v>14</v>
      </c>
      <c r="D37" s="52" t="s">
        <v>366</v>
      </c>
      <c r="E37" s="52" t="s">
        <v>213</v>
      </c>
      <c r="F37" s="52" t="s">
        <v>364</v>
      </c>
      <c r="G37" s="42" t="s">
        <v>165</v>
      </c>
      <c r="H37" s="42" t="s">
        <v>166</v>
      </c>
      <c r="I37" s="42"/>
      <c r="J37" s="42" t="s">
        <v>394</v>
      </c>
    </row>
    <row r="38" spans="2:10" ht="46" x14ac:dyDescent="0.2">
      <c r="B38" s="41">
        <v>16</v>
      </c>
      <c r="C38" s="42">
        <v>15</v>
      </c>
      <c r="D38" s="52" t="s">
        <v>366</v>
      </c>
      <c r="E38" s="52"/>
      <c r="F38" s="52" t="s">
        <v>364</v>
      </c>
      <c r="G38" s="42" t="s">
        <v>151</v>
      </c>
      <c r="H38" s="42" t="s">
        <v>152</v>
      </c>
      <c r="I38" s="42" t="s">
        <v>124</v>
      </c>
      <c r="J38" s="42" t="s">
        <v>394</v>
      </c>
    </row>
    <row r="39" spans="2:10" ht="31" hidden="1" x14ac:dyDescent="0.2">
      <c r="B39" s="41">
        <v>19</v>
      </c>
      <c r="C39" s="42"/>
      <c r="D39" s="52" t="s">
        <v>366</v>
      </c>
      <c r="E39" s="52"/>
      <c r="F39" s="52" t="s">
        <v>364</v>
      </c>
      <c r="G39" s="42" t="s">
        <v>157</v>
      </c>
      <c r="H39" s="42" t="s">
        <v>158</v>
      </c>
      <c r="I39" s="42"/>
      <c r="J39" s="42"/>
    </row>
    <row r="40" spans="2:10" ht="61" x14ac:dyDescent="0.2">
      <c r="B40" s="41"/>
      <c r="C40" s="42">
        <v>4</v>
      </c>
      <c r="D40" s="52" t="s">
        <v>367</v>
      </c>
      <c r="E40" s="52" t="s">
        <v>370</v>
      </c>
      <c r="F40" s="52" t="s">
        <v>248</v>
      </c>
      <c r="G40" s="42" t="s">
        <v>371</v>
      </c>
      <c r="H40" s="42"/>
      <c r="I40" s="42"/>
      <c r="J40" s="42" t="s">
        <v>390</v>
      </c>
    </row>
    <row r="41" spans="2:10" ht="46" x14ac:dyDescent="0.2">
      <c r="B41" s="41"/>
      <c r="C41" s="42">
        <v>16</v>
      </c>
      <c r="D41" s="52" t="s">
        <v>367</v>
      </c>
      <c r="E41" s="52" t="s">
        <v>381</v>
      </c>
      <c r="F41" s="52" t="s">
        <v>248</v>
      </c>
      <c r="G41" s="42" t="s">
        <v>382</v>
      </c>
      <c r="H41" s="42"/>
      <c r="I41" s="42"/>
      <c r="J41" s="42" t="s">
        <v>395</v>
      </c>
    </row>
    <row r="42" spans="2:10" ht="46" hidden="1" x14ac:dyDescent="0.2">
      <c r="B42" s="41">
        <v>33</v>
      </c>
      <c r="C42" s="42"/>
      <c r="D42" s="52" t="s">
        <v>367</v>
      </c>
      <c r="E42" s="52" t="s">
        <v>211</v>
      </c>
      <c r="F42" s="52" t="s">
        <v>364</v>
      </c>
      <c r="G42" s="42" t="s">
        <v>181</v>
      </c>
      <c r="H42" s="42" t="s">
        <v>182</v>
      </c>
      <c r="I42" s="42" t="s">
        <v>124</v>
      </c>
      <c r="J42" s="42"/>
    </row>
    <row r="43" spans="2:10" ht="91" hidden="1" x14ac:dyDescent="0.2">
      <c r="B43" s="41">
        <v>35</v>
      </c>
      <c r="C43" s="42"/>
      <c r="D43" s="52" t="s">
        <v>367</v>
      </c>
      <c r="E43" s="52" t="s">
        <v>212</v>
      </c>
      <c r="F43" s="52" t="s">
        <v>248</v>
      </c>
      <c r="G43" s="54" t="s">
        <v>245</v>
      </c>
      <c r="H43" s="42" t="s">
        <v>189</v>
      </c>
      <c r="I43" s="74" t="s">
        <v>124</v>
      </c>
      <c r="J43" s="42"/>
    </row>
    <row r="44" spans="2:10" ht="91" hidden="1" x14ac:dyDescent="0.2">
      <c r="B44" s="41">
        <v>34</v>
      </c>
      <c r="C44" s="42"/>
      <c r="D44" s="52" t="s">
        <v>367</v>
      </c>
      <c r="E44" s="52" t="s">
        <v>213</v>
      </c>
      <c r="F44" s="52" t="s">
        <v>248</v>
      </c>
      <c r="G44" s="54" t="s">
        <v>183</v>
      </c>
      <c r="H44" s="42" t="s">
        <v>184</v>
      </c>
      <c r="I44" s="74" t="s">
        <v>119</v>
      </c>
      <c r="J44" s="42"/>
    </row>
    <row r="45" spans="2:10" ht="91" hidden="1" x14ac:dyDescent="0.2">
      <c r="B45" s="41">
        <v>31</v>
      </c>
      <c r="C45" s="42"/>
      <c r="D45" s="52" t="s">
        <v>367</v>
      </c>
      <c r="E45" s="52" t="s">
        <v>217</v>
      </c>
      <c r="F45" s="52" t="s">
        <v>364</v>
      </c>
      <c r="G45" s="42" t="s">
        <v>246</v>
      </c>
      <c r="H45" s="42" t="s">
        <v>180</v>
      </c>
      <c r="I45" s="42" t="s">
        <v>172</v>
      </c>
      <c r="J45" s="42"/>
    </row>
    <row r="46" spans="2:10" ht="91" hidden="1" x14ac:dyDescent="0.2">
      <c r="B46" s="41">
        <v>32</v>
      </c>
      <c r="C46" s="42"/>
      <c r="D46" s="52" t="s">
        <v>367</v>
      </c>
      <c r="E46" s="52" t="s">
        <v>217</v>
      </c>
      <c r="F46" s="52" t="s">
        <v>364</v>
      </c>
      <c r="G46" s="42" t="s">
        <v>246</v>
      </c>
      <c r="H46" s="42" t="s">
        <v>187</v>
      </c>
      <c r="I46" s="42" t="s">
        <v>172</v>
      </c>
      <c r="J46" s="42"/>
    </row>
    <row r="47" spans="2:10" ht="46" hidden="1" x14ac:dyDescent="0.2">
      <c r="B47" s="41">
        <v>36</v>
      </c>
      <c r="C47" s="42"/>
      <c r="D47" s="52" t="s">
        <v>367</v>
      </c>
      <c r="E47" s="52" t="s">
        <v>218</v>
      </c>
      <c r="F47" s="52" t="s">
        <v>364</v>
      </c>
      <c r="G47" s="42" t="s">
        <v>190</v>
      </c>
      <c r="H47" s="42" t="s">
        <v>191</v>
      </c>
      <c r="I47" s="42" t="s">
        <v>192</v>
      </c>
      <c r="J47" s="42"/>
    </row>
    <row r="48" spans="2:10" ht="46" hidden="1" x14ac:dyDescent="0.2">
      <c r="B48" s="41">
        <v>28</v>
      </c>
      <c r="C48" s="42"/>
      <c r="D48" s="52" t="s">
        <v>367</v>
      </c>
      <c r="E48" s="52" t="s">
        <v>219</v>
      </c>
      <c r="F48" s="52" t="s">
        <v>364</v>
      </c>
      <c r="G48" s="42" t="s">
        <v>174</v>
      </c>
      <c r="H48" s="42" t="s">
        <v>175</v>
      </c>
      <c r="I48" s="42"/>
      <c r="J48" s="42"/>
    </row>
    <row r="49" spans="2:10" ht="61" x14ac:dyDescent="0.2">
      <c r="B49" s="41">
        <v>29</v>
      </c>
      <c r="C49" s="42">
        <v>17</v>
      </c>
      <c r="D49" s="52" t="s">
        <v>367</v>
      </c>
      <c r="E49" s="52" t="s">
        <v>210</v>
      </c>
      <c r="F49" s="52" t="s">
        <v>248</v>
      </c>
      <c r="G49" s="54" t="s">
        <v>244</v>
      </c>
      <c r="H49" s="42" t="s">
        <v>176</v>
      </c>
      <c r="I49" s="42" t="s">
        <v>177</v>
      </c>
      <c r="J49" s="42" t="s">
        <v>224</v>
      </c>
    </row>
    <row r="50" spans="2:10" ht="61" x14ac:dyDescent="0.2">
      <c r="B50" s="41">
        <v>30</v>
      </c>
      <c r="C50" s="42">
        <v>18</v>
      </c>
      <c r="D50" s="52" t="s">
        <v>367</v>
      </c>
      <c r="E50" s="52" t="s">
        <v>210</v>
      </c>
      <c r="F50" s="52" t="s">
        <v>248</v>
      </c>
      <c r="G50" s="42" t="s">
        <v>178</v>
      </c>
      <c r="H50" s="42" t="s">
        <v>225</v>
      </c>
      <c r="I50" s="42" t="s">
        <v>177</v>
      </c>
      <c r="J50" s="42" t="s">
        <v>226</v>
      </c>
    </row>
    <row r="51" spans="2:10" ht="16" x14ac:dyDescent="0.2">
      <c r="B51" s="41"/>
      <c r="C51" s="42">
        <v>20</v>
      </c>
      <c r="D51" s="52" t="s">
        <v>367</v>
      </c>
      <c r="E51" s="52" t="s">
        <v>384</v>
      </c>
      <c r="F51" s="52" t="s">
        <v>248</v>
      </c>
      <c r="G51" s="42" t="s">
        <v>385</v>
      </c>
      <c r="H51" s="42"/>
      <c r="I51" s="42"/>
      <c r="J51" s="42" t="s">
        <v>386</v>
      </c>
    </row>
    <row r="52" spans="2:10" ht="16" x14ac:dyDescent="0.2">
      <c r="B52" s="41"/>
      <c r="C52" s="41"/>
      <c r="D52" s="52"/>
      <c r="E52" s="52"/>
      <c r="F52" s="42"/>
      <c r="G52" s="42"/>
      <c r="H52" s="4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DF1E1-CF9E-2046-90E0-6E7445D4F630}">
  <dimension ref="A2:I52"/>
  <sheetViews>
    <sheetView topLeftCell="A18" zoomScale="80" zoomScaleNormal="80" workbookViewId="0">
      <selection activeCell="D27" sqref="D27"/>
    </sheetView>
  </sheetViews>
  <sheetFormatPr baseColWidth="10" defaultRowHeight="15" x14ac:dyDescent="0.2"/>
  <cols>
    <col min="1" max="1" width="3.83203125" customWidth="1"/>
    <col min="2" max="2" width="24.83203125" customWidth="1"/>
    <col min="3" max="3" width="25.83203125" customWidth="1"/>
    <col min="4" max="4" width="11.1640625" customWidth="1"/>
    <col min="5" max="5" width="57.33203125" customWidth="1"/>
    <col min="6" max="6" width="47" customWidth="1"/>
    <col min="7" max="7" width="14" customWidth="1"/>
    <col min="8" max="8" width="11.6640625" customWidth="1"/>
  </cols>
  <sheetData>
    <row r="2" spans="1:9" ht="16" x14ac:dyDescent="0.2">
      <c r="A2" s="49" t="s">
        <v>204</v>
      </c>
      <c r="B2" s="38"/>
      <c r="C2" s="38"/>
      <c r="D2" s="38"/>
    </row>
    <row r="3" spans="1:9" ht="16" x14ac:dyDescent="0.2">
      <c r="B3" s="50" t="s">
        <v>103</v>
      </c>
      <c r="C3" s="38"/>
      <c r="D3" s="38"/>
    </row>
    <row r="4" spans="1:9" ht="16" x14ac:dyDescent="0.2">
      <c r="B4" s="50" t="s">
        <v>104</v>
      </c>
      <c r="C4" s="38"/>
      <c r="D4" s="38"/>
    </row>
    <row r="5" spans="1:9" ht="16" x14ac:dyDescent="0.2">
      <c r="B5" s="50" t="s">
        <v>105</v>
      </c>
      <c r="C5" s="38"/>
      <c r="D5" s="38"/>
    </row>
    <row r="6" spans="1:9" ht="16" x14ac:dyDescent="0.2">
      <c r="B6" s="50" t="s">
        <v>106</v>
      </c>
      <c r="C6" s="38"/>
      <c r="D6" s="38"/>
    </row>
    <row r="7" spans="1:9" ht="16" x14ac:dyDescent="0.2">
      <c r="A7" s="38"/>
      <c r="B7" s="38"/>
      <c r="C7" s="38"/>
      <c r="D7" s="38"/>
    </row>
    <row r="8" spans="1:9" ht="34" x14ac:dyDescent="0.2">
      <c r="A8" s="41" t="s">
        <v>111</v>
      </c>
      <c r="B8" s="41" t="s">
        <v>107</v>
      </c>
      <c r="C8" s="52" t="s">
        <v>209</v>
      </c>
      <c r="D8" s="52" t="s">
        <v>247</v>
      </c>
      <c r="E8" s="41" t="s">
        <v>108</v>
      </c>
      <c r="F8" s="41" t="s">
        <v>109</v>
      </c>
      <c r="G8" s="51" t="s">
        <v>110</v>
      </c>
      <c r="H8" s="41" t="s">
        <v>222</v>
      </c>
      <c r="I8" s="41" t="s">
        <v>299</v>
      </c>
    </row>
    <row r="9" spans="1:9" ht="51" x14ac:dyDescent="0.2">
      <c r="A9" s="41">
        <v>6</v>
      </c>
      <c r="B9" s="52" t="s">
        <v>208</v>
      </c>
      <c r="C9" s="52" t="s">
        <v>211</v>
      </c>
      <c r="D9" s="52" t="s">
        <v>364</v>
      </c>
      <c r="E9" s="41" t="s">
        <v>125</v>
      </c>
      <c r="F9" s="41" t="s">
        <v>127</v>
      </c>
      <c r="G9" s="42" t="s">
        <v>126</v>
      </c>
      <c r="H9" s="42" t="s">
        <v>227</v>
      </c>
      <c r="I9" s="42"/>
    </row>
    <row r="10" spans="1:9" ht="51" x14ac:dyDescent="0.2">
      <c r="A10" s="41">
        <v>4</v>
      </c>
      <c r="B10" s="52" t="s">
        <v>208</v>
      </c>
      <c r="C10" s="52" t="s">
        <v>214</v>
      </c>
      <c r="D10" s="52" t="s">
        <v>364</v>
      </c>
      <c r="E10" s="41" t="s">
        <v>120</v>
      </c>
      <c r="F10" s="41" t="s">
        <v>121</v>
      </c>
      <c r="G10" s="41" t="s">
        <v>122</v>
      </c>
      <c r="H10" s="42" t="s">
        <v>235</v>
      </c>
      <c r="I10" s="42"/>
    </row>
    <row r="11" spans="1:9" ht="46" x14ac:dyDescent="0.2">
      <c r="A11" s="41">
        <v>1</v>
      </c>
      <c r="B11" s="52" t="s">
        <v>208</v>
      </c>
      <c r="C11" s="52" t="s">
        <v>210</v>
      </c>
      <c r="D11" s="52" t="s">
        <v>248</v>
      </c>
      <c r="E11" s="55" t="s">
        <v>221</v>
      </c>
      <c r="F11" s="56" t="s">
        <v>113</v>
      </c>
      <c r="G11" s="73" t="s">
        <v>136</v>
      </c>
      <c r="H11" s="42" t="s">
        <v>243</v>
      </c>
      <c r="I11" s="42"/>
    </row>
    <row r="12" spans="1:9" ht="31" x14ac:dyDescent="0.2">
      <c r="A12" s="41">
        <v>10</v>
      </c>
      <c r="B12" s="52" t="s">
        <v>208</v>
      </c>
      <c r="C12" s="52" t="s">
        <v>210</v>
      </c>
      <c r="D12" s="52" t="s">
        <v>248</v>
      </c>
      <c r="E12" s="42" t="s">
        <v>134</v>
      </c>
      <c r="F12" s="42" t="s">
        <v>135</v>
      </c>
      <c r="G12" s="74" t="s">
        <v>136</v>
      </c>
      <c r="H12" s="42" t="s">
        <v>241</v>
      </c>
      <c r="I12" s="42"/>
    </row>
    <row r="13" spans="1:9" ht="85" x14ac:dyDescent="0.2">
      <c r="A13" s="41">
        <v>3</v>
      </c>
      <c r="B13" s="52" t="s">
        <v>208</v>
      </c>
      <c r="C13" s="52" t="s">
        <v>213</v>
      </c>
      <c r="D13" s="52" t="s">
        <v>248</v>
      </c>
      <c r="E13" s="53" t="s">
        <v>207</v>
      </c>
      <c r="F13" s="41" t="s">
        <v>118</v>
      </c>
      <c r="G13" s="75" t="s">
        <v>119</v>
      </c>
      <c r="H13" s="42" t="s">
        <v>233</v>
      </c>
      <c r="I13" s="42"/>
    </row>
    <row r="14" spans="1:9" ht="61" x14ac:dyDescent="0.2">
      <c r="A14" s="41">
        <v>14</v>
      </c>
      <c r="B14" s="52" t="s">
        <v>208</v>
      </c>
      <c r="C14" s="52" t="s">
        <v>216</v>
      </c>
      <c r="D14" s="52" t="s">
        <v>248</v>
      </c>
      <c r="E14" s="54" t="s">
        <v>249</v>
      </c>
      <c r="F14" s="42" t="s">
        <v>146</v>
      </c>
      <c r="G14" s="74" t="s">
        <v>147</v>
      </c>
      <c r="H14" s="42" t="s">
        <v>236</v>
      </c>
      <c r="I14" s="42"/>
    </row>
    <row r="15" spans="1:9" ht="46" x14ac:dyDescent="0.2">
      <c r="A15" s="41">
        <v>8</v>
      </c>
      <c r="B15" s="52" t="s">
        <v>208</v>
      </c>
      <c r="C15" s="52" t="s">
        <v>212</v>
      </c>
      <c r="D15" s="52" t="s">
        <v>248</v>
      </c>
      <c r="E15" s="54" t="s">
        <v>129</v>
      </c>
      <c r="F15" s="42" t="s">
        <v>130</v>
      </c>
      <c r="G15" s="74" t="s">
        <v>150</v>
      </c>
      <c r="H15" s="42" t="s">
        <v>229</v>
      </c>
      <c r="I15" s="42"/>
    </row>
    <row r="16" spans="1:9" ht="34" x14ac:dyDescent="0.2">
      <c r="A16" s="41">
        <v>2</v>
      </c>
      <c r="B16" s="52" t="s">
        <v>208</v>
      </c>
      <c r="C16" s="52" t="s">
        <v>210</v>
      </c>
      <c r="D16" s="52" t="s">
        <v>248</v>
      </c>
      <c r="E16" s="41" t="s">
        <v>206</v>
      </c>
      <c r="F16" s="41" t="s">
        <v>114</v>
      </c>
      <c r="G16" s="74" t="s">
        <v>124</v>
      </c>
      <c r="H16" s="42" t="s">
        <v>242</v>
      </c>
      <c r="I16" s="42"/>
    </row>
    <row r="17" spans="1:9" ht="68" x14ac:dyDescent="0.2">
      <c r="A17" s="41">
        <v>7</v>
      </c>
      <c r="B17" s="52" t="s">
        <v>208</v>
      </c>
      <c r="C17" s="52" t="s">
        <v>211</v>
      </c>
      <c r="D17" s="52" t="s">
        <v>364</v>
      </c>
      <c r="E17" s="41" t="s">
        <v>125</v>
      </c>
      <c r="F17" s="41" t="s">
        <v>128</v>
      </c>
      <c r="G17" s="42" t="s">
        <v>115</v>
      </c>
      <c r="H17" s="42" t="s">
        <v>228</v>
      </c>
      <c r="I17" s="42"/>
    </row>
    <row r="18" spans="1:9" ht="46" x14ac:dyDescent="0.2">
      <c r="A18" s="41">
        <v>11</v>
      </c>
      <c r="B18" s="52" t="s">
        <v>208</v>
      </c>
      <c r="C18" s="52" t="s">
        <v>210</v>
      </c>
      <c r="D18" s="52" t="s">
        <v>364</v>
      </c>
      <c r="E18" s="42" t="s">
        <v>134</v>
      </c>
      <c r="F18" s="42" t="s">
        <v>137</v>
      </c>
      <c r="G18" s="42" t="s">
        <v>138</v>
      </c>
      <c r="H18" s="42" t="s">
        <v>223</v>
      </c>
      <c r="I18" s="42"/>
    </row>
    <row r="19" spans="1:9" ht="76" x14ac:dyDescent="0.2">
      <c r="A19" s="41">
        <v>9</v>
      </c>
      <c r="B19" s="52" t="s">
        <v>208</v>
      </c>
      <c r="C19" s="52" t="s">
        <v>212</v>
      </c>
      <c r="D19" s="52" t="s">
        <v>364</v>
      </c>
      <c r="E19" s="42" t="s">
        <v>132</v>
      </c>
      <c r="F19" s="42" t="s">
        <v>133</v>
      </c>
      <c r="G19" s="42" t="s">
        <v>131</v>
      </c>
      <c r="H19" s="42" t="s">
        <v>230</v>
      </c>
      <c r="I19" s="42"/>
    </row>
    <row r="20" spans="1:9" ht="31" x14ac:dyDescent="0.2">
      <c r="A20" s="41">
        <v>13</v>
      </c>
      <c r="B20" s="52" t="s">
        <v>208</v>
      </c>
      <c r="C20" s="52" t="s">
        <v>216</v>
      </c>
      <c r="D20" s="52" t="s">
        <v>364</v>
      </c>
      <c r="E20" s="42" t="s">
        <v>139</v>
      </c>
      <c r="F20" s="42" t="s">
        <v>140</v>
      </c>
      <c r="G20" s="42" t="s">
        <v>131</v>
      </c>
      <c r="H20" s="42" t="s">
        <v>236</v>
      </c>
      <c r="I20" s="42"/>
    </row>
    <row r="21" spans="1:9" ht="61" x14ac:dyDescent="0.2">
      <c r="A21" s="41">
        <v>12</v>
      </c>
      <c r="B21" s="52" t="s">
        <v>208</v>
      </c>
      <c r="C21" s="52" t="s">
        <v>211</v>
      </c>
      <c r="D21" s="52" t="s">
        <v>364</v>
      </c>
      <c r="E21" s="42" t="s">
        <v>143</v>
      </c>
      <c r="F21" s="42" t="s">
        <v>144</v>
      </c>
      <c r="G21" s="42" t="s">
        <v>124</v>
      </c>
      <c r="H21" s="42"/>
      <c r="I21" s="42"/>
    </row>
    <row r="22" spans="1:9" ht="68" x14ac:dyDescent="0.2">
      <c r="A22" s="41">
        <v>5</v>
      </c>
      <c r="B22" s="52" t="s">
        <v>208</v>
      </c>
      <c r="C22" s="52" t="s">
        <v>214</v>
      </c>
      <c r="D22" s="52" t="s">
        <v>364</v>
      </c>
      <c r="E22" s="41" t="s">
        <v>120</v>
      </c>
      <c r="F22" s="41" t="s">
        <v>123</v>
      </c>
      <c r="G22" s="41" t="s">
        <v>124</v>
      </c>
      <c r="H22" s="42" t="s">
        <v>235</v>
      </c>
      <c r="I22" s="42"/>
    </row>
    <row r="23" spans="1:9" ht="91" x14ac:dyDescent="0.2">
      <c r="A23" s="41">
        <v>39</v>
      </c>
      <c r="B23" s="52" t="s">
        <v>365</v>
      </c>
      <c r="C23" s="52" t="s">
        <v>220</v>
      </c>
      <c r="D23" s="52" t="s">
        <v>248</v>
      </c>
      <c r="E23" s="42" t="s">
        <v>199</v>
      </c>
      <c r="F23" s="42" t="s">
        <v>200</v>
      </c>
      <c r="G23" s="42" t="s">
        <v>126</v>
      </c>
      <c r="H23" s="42"/>
      <c r="I23" s="42" t="s">
        <v>368</v>
      </c>
    </row>
    <row r="24" spans="1:9" ht="136" x14ac:dyDescent="0.2">
      <c r="A24" s="41">
        <v>38</v>
      </c>
      <c r="B24" s="52" t="s">
        <v>365</v>
      </c>
      <c r="C24" s="52" t="s">
        <v>212</v>
      </c>
      <c r="D24" s="52" t="s">
        <v>248</v>
      </c>
      <c r="E24" s="42" t="s">
        <v>197</v>
      </c>
      <c r="F24" s="42" t="s">
        <v>198</v>
      </c>
      <c r="G24" s="42" t="s">
        <v>138</v>
      </c>
      <c r="H24" s="42" t="s">
        <v>232</v>
      </c>
      <c r="I24" s="42" t="s">
        <v>368</v>
      </c>
    </row>
    <row r="25" spans="1:9" ht="46" x14ac:dyDescent="0.2">
      <c r="A25" s="41">
        <v>40</v>
      </c>
      <c r="B25" s="52" t="s">
        <v>365</v>
      </c>
      <c r="C25" s="52" t="s">
        <v>220</v>
      </c>
      <c r="D25" s="52" t="s">
        <v>248</v>
      </c>
      <c r="E25" s="42" t="s">
        <v>215</v>
      </c>
      <c r="F25" s="42" t="s">
        <v>202</v>
      </c>
      <c r="G25" s="42" t="s">
        <v>203</v>
      </c>
      <c r="H25" s="42"/>
      <c r="I25" s="42" t="s">
        <v>368</v>
      </c>
    </row>
    <row r="26" spans="1:9" ht="46" x14ac:dyDescent="0.2">
      <c r="A26" s="41">
        <v>37</v>
      </c>
      <c r="B26" s="52" t="s">
        <v>365</v>
      </c>
      <c r="C26" s="52" t="s">
        <v>220</v>
      </c>
      <c r="D26" s="52" t="s">
        <v>248</v>
      </c>
      <c r="E26" s="42" t="s">
        <v>195</v>
      </c>
      <c r="F26" s="42" t="s">
        <v>196</v>
      </c>
      <c r="G26" s="42" t="s">
        <v>177</v>
      </c>
      <c r="H26" s="42"/>
      <c r="I26" s="42" t="s">
        <v>368</v>
      </c>
    </row>
    <row r="27" spans="1:9" ht="106" x14ac:dyDescent="0.2">
      <c r="A27" s="41">
        <v>24</v>
      </c>
      <c r="B27" s="52" t="s">
        <v>366</v>
      </c>
      <c r="C27" s="52" t="s">
        <v>212</v>
      </c>
      <c r="D27" s="52" t="s">
        <v>364</v>
      </c>
      <c r="E27" s="42" t="s">
        <v>167</v>
      </c>
      <c r="F27" s="42" t="s">
        <v>168</v>
      </c>
      <c r="G27" s="42" t="s">
        <v>126</v>
      </c>
      <c r="H27" s="42" t="s">
        <v>231</v>
      </c>
      <c r="I27" s="42"/>
    </row>
    <row r="28" spans="1:9" ht="61" x14ac:dyDescent="0.2">
      <c r="A28" s="41">
        <v>15</v>
      </c>
      <c r="B28" s="52" t="s">
        <v>366</v>
      </c>
      <c r="C28" s="52"/>
      <c r="D28" s="52" t="s">
        <v>248</v>
      </c>
      <c r="E28" s="54" t="s">
        <v>148</v>
      </c>
      <c r="F28" s="72" t="s">
        <v>149</v>
      </c>
      <c r="G28" s="74" t="s">
        <v>150</v>
      </c>
      <c r="H28" s="42" t="s">
        <v>240</v>
      </c>
      <c r="I28" s="42"/>
    </row>
    <row r="29" spans="1:9" ht="46" x14ac:dyDescent="0.2">
      <c r="A29" s="41">
        <v>26</v>
      </c>
      <c r="B29" s="52" t="s">
        <v>366</v>
      </c>
      <c r="C29" s="52" t="s">
        <v>217</v>
      </c>
      <c r="D29" s="52" t="s">
        <v>248</v>
      </c>
      <c r="E29" s="54" t="s">
        <v>170</v>
      </c>
      <c r="F29" s="42" t="s">
        <v>171</v>
      </c>
      <c r="G29" s="74" t="s">
        <v>172</v>
      </c>
      <c r="H29" s="42"/>
      <c r="I29" s="42"/>
    </row>
    <row r="30" spans="1:9" ht="61" x14ac:dyDescent="0.2">
      <c r="A30" s="41">
        <v>17</v>
      </c>
      <c r="B30" s="52" t="s">
        <v>366</v>
      </c>
      <c r="C30" s="52" t="s">
        <v>217</v>
      </c>
      <c r="D30" s="52" t="s">
        <v>364</v>
      </c>
      <c r="E30" s="42" t="s">
        <v>153</v>
      </c>
      <c r="F30" s="42" t="s">
        <v>154</v>
      </c>
      <c r="G30" s="42" t="s">
        <v>150</v>
      </c>
      <c r="H30" s="42" t="s">
        <v>237</v>
      </c>
      <c r="I30" s="42"/>
    </row>
    <row r="31" spans="1:9" ht="46" x14ac:dyDescent="0.2">
      <c r="A31" s="41">
        <v>27</v>
      </c>
      <c r="B31" s="52" t="s">
        <v>366</v>
      </c>
      <c r="C31" s="52" t="s">
        <v>217</v>
      </c>
      <c r="D31" s="52" t="s">
        <v>364</v>
      </c>
      <c r="E31" s="42" t="s">
        <v>170</v>
      </c>
      <c r="F31" s="42" t="s">
        <v>173</v>
      </c>
      <c r="G31" s="42" t="s">
        <v>150</v>
      </c>
      <c r="H31" s="42"/>
      <c r="I31" s="42"/>
    </row>
    <row r="32" spans="1:9" ht="46" x14ac:dyDescent="0.2">
      <c r="A32" s="41">
        <v>16</v>
      </c>
      <c r="B32" s="52" t="s">
        <v>366</v>
      </c>
      <c r="C32" s="52"/>
      <c r="D32" s="52" t="s">
        <v>364</v>
      </c>
      <c r="E32" s="42" t="s">
        <v>151</v>
      </c>
      <c r="F32" s="42" t="s">
        <v>152</v>
      </c>
      <c r="G32" s="42" t="s">
        <v>124</v>
      </c>
      <c r="H32" s="42" t="s">
        <v>240</v>
      </c>
      <c r="I32" s="42"/>
    </row>
    <row r="33" spans="1:9" ht="31" x14ac:dyDescent="0.2">
      <c r="A33" s="41">
        <v>18</v>
      </c>
      <c r="B33" s="52" t="s">
        <v>366</v>
      </c>
      <c r="C33" s="52" t="s">
        <v>210</v>
      </c>
      <c r="D33" s="52" t="s">
        <v>364</v>
      </c>
      <c r="E33" s="42" t="s">
        <v>156</v>
      </c>
      <c r="F33" s="42" t="s">
        <v>155</v>
      </c>
      <c r="G33" s="42"/>
      <c r="H33" s="42" t="s">
        <v>243</v>
      </c>
      <c r="I33" s="42"/>
    </row>
    <row r="34" spans="1:9" ht="31" x14ac:dyDescent="0.2">
      <c r="A34" s="41">
        <v>22</v>
      </c>
      <c r="B34" s="52" t="s">
        <v>366</v>
      </c>
      <c r="C34" s="52" t="s">
        <v>210</v>
      </c>
      <c r="D34" s="52" t="s">
        <v>364</v>
      </c>
      <c r="E34" s="42" t="s">
        <v>163</v>
      </c>
      <c r="F34" s="42" t="s">
        <v>164</v>
      </c>
      <c r="G34" s="42"/>
      <c r="H34" s="42" t="s">
        <v>243</v>
      </c>
      <c r="I34" s="42"/>
    </row>
    <row r="35" spans="1:9" ht="46" x14ac:dyDescent="0.2">
      <c r="A35" s="41">
        <v>23</v>
      </c>
      <c r="B35" s="52" t="s">
        <v>366</v>
      </c>
      <c r="C35" s="52" t="s">
        <v>213</v>
      </c>
      <c r="D35" s="52" t="s">
        <v>364</v>
      </c>
      <c r="E35" s="42" t="s">
        <v>165</v>
      </c>
      <c r="F35" s="42" t="s">
        <v>166</v>
      </c>
      <c r="G35" s="42"/>
      <c r="H35" s="42" t="s">
        <v>241</v>
      </c>
      <c r="I35" s="42"/>
    </row>
    <row r="36" spans="1:9" ht="31" x14ac:dyDescent="0.2">
      <c r="A36" s="41">
        <v>25</v>
      </c>
      <c r="B36" s="52" t="s">
        <v>366</v>
      </c>
      <c r="C36" s="52" t="s">
        <v>217</v>
      </c>
      <c r="D36" s="52" t="s">
        <v>364</v>
      </c>
      <c r="E36" s="42" t="s">
        <v>169</v>
      </c>
      <c r="F36" s="42" t="s">
        <v>205</v>
      </c>
      <c r="G36" s="42"/>
      <c r="H36" s="42" t="s">
        <v>238</v>
      </c>
      <c r="I36" s="42"/>
    </row>
    <row r="37" spans="1:9" ht="61" x14ac:dyDescent="0.2">
      <c r="A37" s="41">
        <v>20</v>
      </c>
      <c r="B37" s="52" t="s">
        <v>366</v>
      </c>
      <c r="C37" s="52" t="s">
        <v>218</v>
      </c>
      <c r="D37" s="52" t="s">
        <v>364</v>
      </c>
      <c r="E37" s="42" t="s">
        <v>159</v>
      </c>
      <c r="F37" s="42" t="s">
        <v>160</v>
      </c>
      <c r="G37" s="42"/>
      <c r="H37" s="42"/>
      <c r="I37" s="42"/>
    </row>
    <row r="38" spans="1:9" ht="31" x14ac:dyDescent="0.2">
      <c r="A38" s="41">
        <v>21</v>
      </c>
      <c r="B38" s="52" t="s">
        <v>366</v>
      </c>
      <c r="C38" s="52" t="s">
        <v>219</v>
      </c>
      <c r="D38" s="52" t="s">
        <v>364</v>
      </c>
      <c r="E38" s="42" t="s">
        <v>161</v>
      </c>
      <c r="F38" s="42" t="s">
        <v>162</v>
      </c>
      <c r="G38" s="42"/>
      <c r="H38" s="42"/>
      <c r="I38" s="42"/>
    </row>
    <row r="39" spans="1:9" ht="31" x14ac:dyDescent="0.2">
      <c r="A39" s="41">
        <v>19</v>
      </c>
      <c r="B39" s="52" t="s">
        <v>366</v>
      </c>
      <c r="C39" s="52"/>
      <c r="D39" s="52" t="s">
        <v>364</v>
      </c>
      <c r="E39" s="42" t="s">
        <v>157</v>
      </c>
      <c r="F39" s="42" t="s">
        <v>158</v>
      </c>
      <c r="G39" s="42"/>
      <c r="H39" s="42"/>
      <c r="I39" s="42"/>
    </row>
    <row r="40" spans="1:9" ht="46" x14ac:dyDescent="0.2">
      <c r="A40" s="41">
        <v>36</v>
      </c>
      <c r="B40" s="52" t="s">
        <v>367</v>
      </c>
      <c r="C40" s="52" t="s">
        <v>218</v>
      </c>
      <c r="D40" s="52" t="s">
        <v>364</v>
      </c>
      <c r="E40" s="42" t="s">
        <v>190</v>
      </c>
      <c r="F40" s="42" t="s">
        <v>191</v>
      </c>
      <c r="G40" s="42" t="s">
        <v>192</v>
      </c>
      <c r="H40" s="42" t="s">
        <v>239</v>
      </c>
      <c r="I40" s="42"/>
    </row>
    <row r="41" spans="1:9" ht="91" x14ac:dyDescent="0.2">
      <c r="A41" s="41">
        <v>34</v>
      </c>
      <c r="B41" s="52" t="s">
        <v>367</v>
      </c>
      <c r="C41" s="52" t="s">
        <v>213</v>
      </c>
      <c r="D41" s="52" t="s">
        <v>248</v>
      </c>
      <c r="E41" s="54" t="s">
        <v>183</v>
      </c>
      <c r="F41" s="42" t="s">
        <v>184</v>
      </c>
      <c r="G41" s="74" t="s">
        <v>119</v>
      </c>
      <c r="H41" s="42" t="s">
        <v>234</v>
      </c>
      <c r="I41" s="42"/>
    </row>
    <row r="42" spans="1:9" ht="61" x14ac:dyDescent="0.2">
      <c r="A42" s="41">
        <v>30</v>
      </c>
      <c r="B42" s="52" t="s">
        <v>367</v>
      </c>
      <c r="C42" s="52" t="s">
        <v>210</v>
      </c>
      <c r="D42" s="52" t="s">
        <v>248</v>
      </c>
      <c r="E42" s="42" t="s">
        <v>178</v>
      </c>
      <c r="F42" s="42" t="s">
        <v>225</v>
      </c>
      <c r="G42" s="42" t="s">
        <v>177</v>
      </c>
      <c r="H42" s="42" t="s">
        <v>226</v>
      </c>
      <c r="I42" s="42"/>
    </row>
    <row r="43" spans="1:9" ht="46" x14ac:dyDescent="0.2">
      <c r="A43" s="41">
        <v>33</v>
      </c>
      <c r="B43" s="52" t="s">
        <v>367</v>
      </c>
      <c r="C43" s="52" t="s">
        <v>211</v>
      </c>
      <c r="D43" s="52" t="s">
        <v>364</v>
      </c>
      <c r="E43" s="42" t="s">
        <v>181</v>
      </c>
      <c r="F43" s="42" t="s">
        <v>182</v>
      </c>
      <c r="G43" s="42" t="s">
        <v>124</v>
      </c>
      <c r="H43" s="42" t="s">
        <v>227</v>
      </c>
      <c r="I43" s="42"/>
    </row>
    <row r="44" spans="1:9" ht="61" x14ac:dyDescent="0.2">
      <c r="A44" s="41">
        <v>29</v>
      </c>
      <c r="B44" s="52" t="s">
        <v>367</v>
      </c>
      <c r="C44" s="52" t="s">
        <v>210</v>
      </c>
      <c r="D44" s="52" t="s">
        <v>248</v>
      </c>
      <c r="E44" s="54" t="s">
        <v>244</v>
      </c>
      <c r="F44" s="42" t="s">
        <v>176</v>
      </c>
      <c r="G44" s="42" t="s">
        <v>177</v>
      </c>
      <c r="H44" s="42" t="s">
        <v>224</v>
      </c>
      <c r="I44" s="42"/>
    </row>
    <row r="45" spans="1:9" ht="91" x14ac:dyDescent="0.2">
      <c r="A45" s="41">
        <v>35</v>
      </c>
      <c r="B45" s="52" t="s">
        <v>367</v>
      </c>
      <c r="C45" s="52" t="s">
        <v>212</v>
      </c>
      <c r="D45" s="52" t="s">
        <v>248</v>
      </c>
      <c r="E45" s="54" t="s">
        <v>245</v>
      </c>
      <c r="F45" s="42" t="s">
        <v>189</v>
      </c>
      <c r="G45" s="74" t="s">
        <v>124</v>
      </c>
      <c r="H45" s="42"/>
      <c r="I45" s="42"/>
    </row>
    <row r="46" spans="1:9" ht="91" x14ac:dyDescent="0.2">
      <c r="A46" s="41">
        <v>31</v>
      </c>
      <c r="B46" s="52" t="s">
        <v>367</v>
      </c>
      <c r="C46" s="52" t="s">
        <v>217</v>
      </c>
      <c r="D46" s="52" t="s">
        <v>364</v>
      </c>
      <c r="E46" s="42" t="s">
        <v>246</v>
      </c>
      <c r="F46" s="42" t="s">
        <v>180</v>
      </c>
      <c r="G46" s="42" t="s">
        <v>172</v>
      </c>
      <c r="H46" s="42"/>
      <c r="I46" s="42"/>
    </row>
    <row r="47" spans="1:9" ht="91" x14ac:dyDescent="0.2">
      <c r="A47" s="41">
        <v>32</v>
      </c>
      <c r="B47" s="52" t="s">
        <v>367</v>
      </c>
      <c r="C47" s="52" t="s">
        <v>217</v>
      </c>
      <c r="D47" s="52" t="s">
        <v>364</v>
      </c>
      <c r="E47" s="42" t="s">
        <v>246</v>
      </c>
      <c r="F47" s="42" t="s">
        <v>187</v>
      </c>
      <c r="G47" s="42" t="s">
        <v>172</v>
      </c>
      <c r="H47" s="42"/>
      <c r="I47" s="42"/>
    </row>
    <row r="48" spans="1:9" ht="46" x14ac:dyDescent="0.2">
      <c r="A48" s="41">
        <v>28</v>
      </c>
      <c r="B48" s="52" t="s">
        <v>367</v>
      </c>
      <c r="C48" s="52" t="s">
        <v>219</v>
      </c>
      <c r="D48" s="52" t="s">
        <v>364</v>
      </c>
      <c r="E48" s="42" t="s">
        <v>174</v>
      </c>
      <c r="F48" s="42" t="s">
        <v>175</v>
      </c>
      <c r="G48" s="42"/>
      <c r="H48" s="42"/>
      <c r="I48" s="42"/>
    </row>
    <row r="49" spans="1:6" ht="16" x14ac:dyDescent="0.2">
      <c r="A49" s="41"/>
      <c r="B49" s="52"/>
      <c r="C49" s="52"/>
      <c r="D49" s="42"/>
      <c r="E49" s="42"/>
      <c r="F49" s="42"/>
    </row>
    <row r="50" spans="1:6" ht="16" x14ac:dyDescent="0.2">
      <c r="A50" s="41"/>
      <c r="B50" s="52"/>
      <c r="C50" s="52"/>
      <c r="D50" s="42"/>
      <c r="E50" s="42"/>
      <c r="F50" s="42"/>
    </row>
    <row r="51" spans="1:6" ht="16" x14ac:dyDescent="0.2">
      <c r="A51" s="41"/>
      <c r="B51" s="52"/>
      <c r="C51" s="52"/>
      <c r="D51" s="42"/>
      <c r="E51" s="42"/>
      <c r="F51" s="42"/>
    </row>
    <row r="52" spans="1:6" ht="16" x14ac:dyDescent="0.2">
      <c r="A52" s="41"/>
      <c r="B52" s="52"/>
      <c r="C52" s="52"/>
      <c r="D52" s="42"/>
      <c r="E52" s="42"/>
      <c r="F52" s="4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C9243-6EF6-9C41-B38E-E6C631AAD3E1}">
  <dimension ref="A2:I37"/>
  <sheetViews>
    <sheetView topLeftCell="A5" workbookViewId="0">
      <selection activeCell="A16" sqref="A16"/>
    </sheetView>
  </sheetViews>
  <sheetFormatPr baseColWidth="10" defaultRowHeight="16" x14ac:dyDescent="0.2"/>
  <cols>
    <col min="1" max="1" width="64.1640625" style="57" customWidth="1"/>
    <col min="2" max="2" width="10.83203125" style="57"/>
    <col min="3" max="3" width="13.83203125" style="57" customWidth="1"/>
    <col min="4" max="4" width="10.83203125" style="57"/>
    <col min="5" max="5" width="12.1640625" style="57" bestFit="1" customWidth="1"/>
    <col min="6" max="6" width="61" style="57" bestFit="1" customWidth="1"/>
    <col min="7" max="8" width="10.83203125" style="57"/>
    <col min="9" max="9" width="93.6640625" style="57" customWidth="1"/>
    <col min="10" max="16384" width="10.83203125" style="57"/>
  </cols>
  <sheetData>
    <row r="2" spans="1:9" x14ac:dyDescent="0.2">
      <c r="A2" s="57" t="s">
        <v>250</v>
      </c>
      <c r="B2" s="57" t="s">
        <v>251</v>
      </c>
      <c r="C2" s="57" t="s">
        <v>252</v>
      </c>
      <c r="E2" s="57" t="s">
        <v>298</v>
      </c>
      <c r="F2" s="57" t="s">
        <v>299</v>
      </c>
      <c r="H2" s="57" t="s">
        <v>298</v>
      </c>
      <c r="I2" s="57" t="s">
        <v>299</v>
      </c>
    </row>
    <row r="3" spans="1:9" x14ac:dyDescent="0.2">
      <c r="A3" s="57" t="s">
        <v>253</v>
      </c>
      <c r="B3" s="57" t="s">
        <v>254</v>
      </c>
      <c r="E3" s="57" t="s">
        <v>287</v>
      </c>
      <c r="F3" s="57" t="s">
        <v>284</v>
      </c>
      <c r="H3" s="57" t="s">
        <v>287</v>
      </c>
      <c r="I3" s="57" t="s">
        <v>284</v>
      </c>
    </row>
    <row r="4" spans="1:9" x14ac:dyDescent="0.2">
      <c r="A4" s="57" t="s">
        <v>255</v>
      </c>
      <c r="B4" s="57" t="s">
        <v>254</v>
      </c>
      <c r="E4" s="64" t="s">
        <v>286</v>
      </c>
      <c r="F4" s="64" t="s">
        <v>285</v>
      </c>
      <c r="H4" s="64" t="s">
        <v>286</v>
      </c>
      <c r="I4" s="64" t="s">
        <v>285</v>
      </c>
    </row>
    <row r="5" spans="1:9" x14ac:dyDescent="0.2">
      <c r="A5" s="57" t="s">
        <v>256</v>
      </c>
      <c r="B5" s="57" t="s">
        <v>254</v>
      </c>
      <c r="E5" s="64" t="s">
        <v>287</v>
      </c>
      <c r="F5" s="64" t="s">
        <v>294</v>
      </c>
      <c r="G5" s="57" t="s">
        <v>305</v>
      </c>
      <c r="H5" s="64" t="s">
        <v>287</v>
      </c>
      <c r="I5" s="64" t="s">
        <v>294</v>
      </c>
    </row>
    <row r="6" spans="1:9" x14ac:dyDescent="0.2">
      <c r="A6" s="57" t="s">
        <v>257</v>
      </c>
      <c r="B6" s="57" t="s">
        <v>258</v>
      </c>
      <c r="E6" s="64" t="s">
        <v>287</v>
      </c>
      <c r="F6" s="64" t="s">
        <v>292</v>
      </c>
      <c r="G6" s="57" t="s">
        <v>305</v>
      </c>
      <c r="H6" s="64"/>
      <c r="I6" s="64"/>
    </row>
    <row r="7" spans="1:9" x14ac:dyDescent="0.2">
      <c r="A7" s="57" t="s">
        <v>259</v>
      </c>
      <c r="B7" s="57" t="s">
        <v>254</v>
      </c>
      <c r="E7" s="64"/>
      <c r="F7" s="64"/>
      <c r="H7" s="64" t="s">
        <v>287</v>
      </c>
      <c r="I7" s="64" t="s">
        <v>289</v>
      </c>
    </row>
    <row r="8" spans="1:9" x14ac:dyDescent="0.2">
      <c r="A8" s="57" t="s">
        <v>260</v>
      </c>
      <c r="B8" s="57" t="s">
        <v>254</v>
      </c>
      <c r="E8" s="64" t="s">
        <v>287</v>
      </c>
      <c r="F8" s="64" t="s">
        <v>302</v>
      </c>
      <c r="H8" s="64" t="s">
        <v>287</v>
      </c>
      <c r="I8" s="64" t="s">
        <v>288</v>
      </c>
    </row>
    <row r="9" spans="1:9" x14ac:dyDescent="0.2">
      <c r="A9" s="58" t="s">
        <v>261</v>
      </c>
      <c r="B9" s="57" t="s">
        <v>272</v>
      </c>
      <c r="E9" s="64" t="s">
        <v>287</v>
      </c>
      <c r="F9" s="64" t="s">
        <v>301</v>
      </c>
      <c r="H9" s="64" t="s">
        <v>286</v>
      </c>
      <c r="I9" s="64" t="s">
        <v>303</v>
      </c>
    </row>
    <row r="10" spans="1:9" x14ac:dyDescent="0.2">
      <c r="A10" s="58" t="s">
        <v>262</v>
      </c>
      <c r="B10" s="57" t="s">
        <v>258</v>
      </c>
      <c r="E10" s="64"/>
      <c r="F10" s="64"/>
      <c r="H10" s="64"/>
      <c r="I10" s="64"/>
    </row>
    <row r="11" spans="1:9" x14ac:dyDescent="0.2">
      <c r="A11" s="58" t="s">
        <v>263</v>
      </c>
      <c r="B11" s="57" t="s">
        <v>258</v>
      </c>
      <c r="E11" s="64"/>
      <c r="F11" s="64"/>
      <c r="H11" s="64" t="s">
        <v>287</v>
      </c>
      <c r="I11" s="64" t="s">
        <v>292</v>
      </c>
    </row>
    <row r="12" spans="1:9" x14ac:dyDescent="0.2">
      <c r="A12" s="58" t="s">
        <v>264</v>
      </c>
      <c r="B12" s="57" t="s">
        <v>258</v>
      </c>
      <c r="E12" s="64"/>
      <c r="F12" s="64"/>
      <c r="H12" s="64" t="s">
        <v>287</v>
      </c>
      <c r="I12" s="64" t="s">
        <v>302</v>
      </c>
    </row>
    <row r="13" spans="1:9" x14ac:dyDescent="0.2">
      <c r="A13" s="58" t="s">
        <v>265</v>
      </c>
      <c r="B13" s="57" t="s">
        <v>254</v>
      </c>
      <c r="E13" s="64" t="s">
        <v>287</v>
      </c>
      <c r="F13" s="64" t="s">
        <v>288</v>
      </c>
      <c r="H13" s="64" t="s">
        <v>287</v>
      </c>
      <c r="I13" s="64" t="s">
        <v>301</v>
      </c>
    </row>
    <row r="14" spans="1:9" x14ac:dyDescent="0.2">
      <c r="A14" s="58" t="s">
        <v>266</v>
      </c>
      <c r="B14" s="57" t="s">
        <v>254</v>
      </c>
      <c r="E14" s="64" t="s">
        <v>286</v>
      </c>
      <c r="F14" s="64" t="s">
        <v>303</v>
      </c>
      <c r="H14" s="64" t="s">
        <v>286</v>
      </c>
      <c r="I14" s="64" t="s">
        <v>290</v>
      </c>
    </row>
    <row r="15" spans="1:9" x14ac:dyDescent="0.2">
      <c r="A15" s="58" t="s">
        <v>267</v>
      </c>
      <c r="B15" s="57" t="s">
        <v>258</v>
      </c>
      <c r="E15" s="64" t="s">
        <v>287</v>
      </c>
      <c r="F15" s="64" t="s">
        <v>289</v>
      </c>
      <c r="H15" s="64" t="s">
        <v>286</v>
      </c>
      <c r="I15" s="64" t="s">
        <v>291</v>
      </c>
    </row>
    <row r="16" spans="1:9" x14ac:dyDescent="0.2">
      <c r="A16" s="59" t="s">
        <v>268</v>
      </c>
      <c r="B16" s="57" t="s">
        <v>254</v>
      </c>
      <c r="E16" s="64" t="s">
        <v>286</v>
      </c>
      <c r="F16" s="64" t="s">
        <v>290</v>
      </c>
      <c r="H16" s="64"/>
      <c r="I16" s="64"/>
    </row>
    <row r="17" spans="1:9" x14ac:dyDescent="0.2">
      <c r="A17" s="59" t="s">
        <v>269</v>
      </c>
      <c r="B17" s="57" t="s">
        <v>258</v>
      </c>
      <c r="E17" s="64" t="s">
        <v>286</v>
      </c>
      <c r="F17" s="64" t="s">
        <v>291</v>
      </c>
      <c r="H17" s="64"/>
      <c r="I17" s="64"/>
    </row>
    <row r="18" spans="1:9" x14ac:dyDescent="0.2">
      <c r="A18" s="59" t="s">
        <v>270</v>
      </c>
      <c r="B18" s="57" t="s">
        <v>258</v>
      </c>
      <c r="E18" s="57" t="s">
        <v>287</v>
      </c>
      <c r="F18" s="57" t="s">
        <v>293</v>
      </c>
      <c r="G18" s="57" t="s">
        <v>305</v>
      </c>
      <c r="H18" s="64"/>
      <c r="I18" s="64"/>
    </row>
    <row r="19" spans="1:9" x14ac:dyDescent="0.2">
      <c r="A19" s="60" t="s">
        <v>271</v>
      </c>
      <c r="B19" s="57" t="s">
        <v>272</v>
      </c>
      <c r="E19" s="57" t="s">
        <v>287</v>
      </c>
      <c r="F19" s="57" t="s">
        <v>304</v>
      </c>
      <c r="G19" s="57" t="s">
        <v>305</v>
      </c>
      <c r="H19" s="64" t="s">
        <v>287</v>
      </c>
      <c r="I19" s="64" t="s">
        <v>293</v>
      </c>
    </row>
    <row r="20" spans="1:9" x14ac:dyDescent="0.2">
      <c r="A20" s="60" t="s">
        <v>273</v>
      </c>
      <c r="B20" s="57" t="s">
        <v>258</v>
      </c>
      <c r="E20" s="57" t="s">
        <v>287</v>
      </c>
      <c r="F20" s="57" t="s">
        <v>297</v>
      </c>
      <c r="G20" s="57" t="s">
        <v>305</v>
      </c>
      <c r="H20" s="64" t="s">
        <v>287</v>
      </c>
      <c r="I20" s="64" t="s">
        <v>304</v>
      </c>
    </row>
    <row r="21" spans="1:9" x14ac:dyDescent="0.2">
      <c r="A21" s="60" t="s">
        <v>274</v>
      </c>
      <c r="B21" s="57" t="s">
        <v>254</v>
      </c>
      <c r="E21" s="64" t="s">
        <v>286</v>
      </c>
      <c r="F21" s="64" t="s">
        <v>300</v>
      </c>
      <c r="G21" s="57" t="s">
        <v>305</v>
      </c>
      <c r="H21" s="64" t="s">
        <v>287</v>
      </c>
      <c r="I21" s="64" t="s">
        <v>297</v>
      </c>
    </row>
    <row r="22" spans="1:9" x14ac:dyDescent="0.2">
      <c r="A22" s="60" t="s">
        <v>275</v>
      </c>
      <c r="B22" s="57" t="s">
        <v>254</v>
      </c>
      <c r="E22" s="64"/>
      <c r="F22" s="64"/>
      <c r="H22" s="64" t="s">
        <v>286</v>
      </c>
      <c r="I22" s="64" t="s">
        <v>300</v>
      </c>
    </row>
    <row r="23" spans="1:9" x14ac:dyDescent="0.2">
      <c r="A23" s="61" t="s">
        <v>276</v>
      </c>
      <c r="B23" s="57" t="s">
        <v>258</v>
      </c>
      <c r="E23" s="64"/>
      <c r="F23" s="64"/>
      <c r="H23" s="64"/>
      <c r="I23" s="64"/>
    </row>
    <row r="24" spans="1:9" x14ac:dyDescent="0.2">
      <c r="A24" s="61" t="s">
        <v>277</v>
      </c>
      <c r="B24" s="57" t="s">
        <v>254</v>
      </c>
      <c r="E24" s="64"/>
      <c r="F24" s="64"/>
      <c r="H24" s="64"/>
      <c r="I24" s="64"/>
    </row>
    <row r="25" spans="1:9" x14ac:dyDescent="0.2">
      <c r="A25" s="57" t="s">
        <v>278</v>
      </c>
      <c r="B25" s="57" t="s">
        <v>272</v>
      </c>
    </row>
    <row r="26" spans="1:9" x14ac:dyDescent="0.2">
      <c r="A26" s="57" t="s">
        <v>279</v>
      </c>
      <c r="B26" s="57" t="s">
        <v>254</v>
      </c>
    </row>
    <row r="27" spans="1:9" x14ac:dyDescent="0.2">
      <c r="A27" s="61" t="s">
        <v>280</v>
      </c>
      <c r="B27" s="57" t="s">
        <v>272</v>
      </c>
    </row>
    <row r="28" spans="1:9" x14ac:dyDescent="0.2">
      <c r="A28" s="61" t="s">
        <v>281</v>
      </c>
      <c r="B28" s="57" t="s">
        <v>258</v>
      </c>
    </row>
    <row r="29" spans="1:9" x14ac:dyDescent="0.2">
      <c r="A29" s="57" t="s">
        <v>282</v>
      </c>
      <c r="B29" s="57" t="s">
        <v>258</v>
      </c>
    </row>
    <row r="30" spans="1:9" x14ac:dyDescent="0.2">
      <c r="A30" s="57" t="s">
        <v>283</v>
      </c>
      <c r="B30" s="57" t="s">
        <v>254</v>
      </c>
    </row>
    <row r="34" spans="4:4" x14ac:dyDescent="0.2">
      <c r="D34" s="62"/>
    </row>
    <row r="37" spans="4:4" x14ac:dyDescent="0.2">
      <c r="D37" s="62"/>
    </row>
  </sheetData>
  <pageMargins left="0.75" right="0.75" top="1" bottom="1" header="0.5" footer="0.5"/>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943DF-D819-CF4F-AABE-D50F190410FE}">
  <dimension ref="A2:E52"/>
  <sheetViews>
    <sheetView topLeftCell="B1" zoomScale="90" zoomScaleNormal="90" workbookViewId="0">
      <selection activeCell="C6" sqref="C6"/>
    </sheetView>
  </sheetViews>
  <sheetFormatPr baseColWidth="10" defaultRowHeight="15" x14ac:dyDescent="0.2"/>
  <cols>
    <col min="1" max="1" width="3.83203125" customWidth="1"/>
    <col min="2" max="2" width="57.5" customWidth="1"/>
    <col min="3" max="3" width="56.33203125" customWidth="1"/>
    <col min="4" max="4" width="56.6640625" customWidth="1"/>
    <col min="5" max="5" width="42.5" customWidth="1"/>
  </cols>
  <sheetData>
    <row r="2" spans="1:5" ht="16" x14ac:dyDescent="0.2">
      <c r="A2" s="49" t="s">
        <v>204</v>
      </c>
      <c r="B2" s="38"/>
      <c r="C2" s="38"/>
      <c r="D2" s="38"/>
    </row>
    <row r="3" spans="1:5" ht="16" x14ac:dyDescent="0.2">
      <c r="B3" s="50" t="s">
        <v>103</v>
      </c>
      <c r="C3" s="38"/>
      <c r="D3" s="38"/>
    </row>
    <row r="4" spans="1:5" ht="16" x14ac:dyDescent="0.2">
      <c r="B4" s="50" t="s">
        <v>104</v>
      </c>
      <c r="C4" s="38"/>
      <c r="D4" s="38"/>
    </row>
    <row r="5" spans="1:5" ht="16" x14ac:dyDescent="0.2">
      <c r="B5" s="50" t="s">
        <v>105</v>
      </c>
      <c r="C5" s="38"/>
      <c r="D5" s="38"/>
    </row>
    <row r="6" spans="1:5" ht="16" x14ac:dyDescent="0.2">
      <c r="B6" s="50" t="s">
        <v>106</v>
      </c>
      <c r="C6" s="38"/>
      <c r="D6" s="38"/>
    </row>
    <row r="7" spans="1:5" ht="16" x14ac:dyDescent="0.2">
      <c r="A7" s="38"/>
      <c r="B7" s="38"/>
      <c r="C7" s="38"/>
      <c r="D7" s="38"/>
    </row>
    <row r="8" spans="1:5" ht="34" x14ac:dyDescent="0.2">
      <c r="A8" s="41" t="s">
        <v>111</v>
      </c>
      <c r="B8" s="41" t="s">
        <v>107</v>
      </c>
      <c r="C8" s="41" t="s">
        <v>108</v>
      </c>
      <c r="D8" s="41" t="s">
        <v>109</v>
      </c>
      <c r="E8" s="41" t="s">
        <v>110</v>
      </c>
    </row>
    <row r="9" spans="1:5" ht="51" x14ac:dyDescent="0.2">
      <c r="A9" s="41">
        <v>1</v>
      </c>
      <c r="B9" s="41" t="s">
        <v>103</v>
      </c>
      <c r="C9" s="41" t="s">
        <v>116</v>
      </c>
      <c r="D9" s="41" t="s">
        <v>113</v>
      </c>
      <c r="E9" s="41" t="s">
        <v>136</v>
      </c>
    </row>
    <row r="10" spans="1:5" ht="34" x14ac:dyDescent="0.2">
      <c r="A10" s="41">
        <v>2</v>
      </c>
      <c r="B10" s="41" t="s">
        <v>103</v>
      </c>
      <c r="C10" s="41" t="s">
        <v>112</v>
      </c>
      <c r="D10" s="41" t="s">
        <v>114</v>
      </c>
      <c r="E10" s="41" t="s">
        <v>115</v>
      </c>
    </row>
    <row r="11" spans="1:5" ht="68" x14ac:dyDescent="0.2">
      <c r="A11" s="41">
        <v>3</v>
      </c>
      <c r="B11" s="41" t="s">
        <v>103</v>
      </c>
      <c r="C11" s="41" t="s">
        <v>117</v>
      </c>
      <c r="D11" s="41" t="s">
        <v>118</v>
      </c>
      <c r="E11" s="41" t="s">
        <v>119</v>
      </c>
    </row>
    <row r="12" spans="1:5" ht="34" x14ac:dyDescent="0.2">
      <c r="A12" s="41">
        <v>4</v>
      </c>
      <c r="B12" s="41" t="s">
        <v>103</v>
      </c>
      <c r="C12" s="41" t="s">
        <v>120</v>
      </c>
      <c r="D12" s="41" t="s">
        <v>121</v>
      </c>
      <c r="E12" s="41" t="s">
        <v>122</v>
      </c>
    </row>
    <row r="13" spans="1:5" ht="51" x14ac:dyDescent="0.2">
      <c r="A13" s="41">
        <v>5</v>
      </c>
      <c r="B13" s="41" t="s">
        <v>103</v>
      </c>
      <c r="C13" s="41" t="s">
        <v>120</v>
      </c>
      <c r="D13" s="41" t="s">
        <v>123</v>
      </c>
      <c r="E13" s="41" t="s">
        <v>124</v>
      </c>
    </row>
    <row r="14" spans="1:5" ht="51" x14ac:dyDescent="0.2">
      <c r="A14" s="41">
        <v>6</v>
      </c>
      <c r="B14" s="41" t="s">
        <v>103</v>
      </c>
      <c r="C14" s="41" t="s">
        <v>125</v>
      </c>
      <c r="D14" s="41" t="s">
        <v>127</v>
      </c>
      <c r="E14" s="42" t="s">
        <v>126</v>
      </c>
    </row>
    <row r="15" spans="1:5" ht="51" x14ac:dyDescent="0.2">
      <c r="A15" s="41">
        <v>7</v>
      </c>
      <c r="B15" s="41" t="s">
        <v>103</v>
      </c>
      <c r="C15" s="41" t="s">
        <v>125</v>
      </c>
      <c r="D15" s="41" t="s">
        <v>128</v>
      </c>
      <c r="E15" s="42" t="s">
        <v>115</v>
      </c>
    </row>
    <row r="16" spans="1:5" ht="46" x14ac:dyDescent="0.2">
      <c r="A16" s="41">
        <v>8</v>
      </c>
      <c r="B16" s="41" t="s">
        <v>103</v>
      </c>
      <c r="C16" s="42" t="s">
        <v>129</v>
      </c>
      <c r="D16" s="42" t="s">
        <v>130</v>
      </c>
      <c r="E16" s="42" t="s">
        <v>131</v>
      </c>
    </row>
    <row r="17" spans="1:5" ht="76" x14ac:dyDescent="0.2">
      <c r="A17" s="41">
        <v>9</v>
      </c>
      <c r="B17" s="41" t="s">
        <v>103</v>
      </c>
      <c r="C17" s="42" t="s">
        <v>132</v>
      </c>
      <c r="D17" s="42" t="s">
        <v>133</v>
      </c>
      <c r="E17" s="42" t="s">
        <v>131</v>
      </c>
    </row>
    <row r="18" spans="1:5" ht="31" x14ac:dyDescent="0.2">
      <c r="A18" s="41">
        <v>10</v>
      </c>
      <c r="B18" s="41" t="s">
        <v>103</v>
      </c>
      <c r="C18" s="42" t="s">
        <v>134</v>
      </c>
      <c r="D18" s="42" t="s">
        <v>135</v>
      </c>
      <c r="E18" s="42" t="s">
        <v>136</v>
      </c>
    </row>
    <row r="19" spans="1:5" ht="31" x14ac:dyDescent="0.2">
      <c r="A19" s="41">
        <v>11</v>
      </c>
      <c r="B19" s="41" t="s">
        <v>103</v>
      </c>
      <c r="C19" s="42"/>
      <c r="D19" s="42" t="s">
        <v>137</v>
      </c>
      <c r="E19" s="42" t="s">
        <v>138</v>
      </c>
    </row>
    <row r="20" spans="1:5" ht="46" x14ac:dyDescent="0.2">
      <c r="A20" s="41">
        <v>12</v>
      </c>
      <c r="B20" s="41" t="s">
        <v>103</v>
      </c>
      <c r="C20" s="42" t="s">
        <v>143</v>
      </c>
      <c r="D20" s="42" t="s">
        <v>144</v>
      </c>
      <c r="E20" s="42" t="s">
        <v>124</v>
      </c>
    </row>
    <row r="21" spans="1:5" ht="46" x14ac:dyDescent="0.2">
      <c r="A21" s="41">
        <v>13</v>
      </c>
      <c r="B21" s="41" t="s">
        <v>103</v>
      </c>
      <c r="C21" s="42" t="s">
        <v>139</v>
      </c>
      <c r="D21" s="42" t="s">
        <v>140</v>
      </c>
      <c r="E21" s="42" t="s">
        <v>131</v>
      </c>
    </row>
    <row r="22" spans="1:5" ht="46" x14ac:dyDescent="0.2">
      <c r="A22" s="41">
        <v>14</v>
      </c>
      <c r="B22" s="41" t="s">
        <v>103</v>
      </c>
      <c r="C22" s="42" t="s">
        <v>145</v>
      </c>
      <c r="D22" s="42" t="s">
        <v>146</v>
      </c>
      <c r="E22" s="42" t="s">
        <v>147</v>
      </c>
    </row>
    <row r="23" spans="1:5" ht="61" x14ac:dyDescent="0.2">
      <c r="A23" s="41">
        <v>15</v>
      </c>
      <c r="B23" s="39" t="s">
        <v>104</v>
      </c>
      <c r="C23" s="42" t="s">
        <v>148</v>
      </c>
      <c r="D23" s="42" t="s">
        <v>149</v>
      </c>
      <c r="E23" s="42" t="s">
        <v>150</v>
      </c>
    </row>
    <row r="24" spans="1:5" ht="46" x14ac:dyDescent="0.2">
      <c r="A24" s="41">
        <v>16</v>
      </c>
      <c r="B24" s="39" t="s">
        <v>104</v>
      </c>
      <c r="C24" s="42" t="s">
        <v>151</v>
      </c>
      <c r="D24" s="42" t="s">
        <v>152</v>
      </c>
      <c r="E24" s="42" t="s">
        <v>124</v>
      </c>
    </row>
    <row r="25" spans="1:5" ht="46" x14ac:dyDescent="0.2">
      <c r="A25" s="41">
        <v>17</v>
      </c>
      <c r="B25" s="39" t="s">
        <v>104</v>
      </c>
      <c r="C25" s="42" t="s">
        <v>153</v>
      </c>
      <c r="D25" s="42" t="s">
        <v>154</v>
      </c>
      <c r="E25" s="42" t="s">
        <v>150</v>
      </c>
    </row>
    <row r="26" spans="1:5" ht="31" x14ac:dyDescent="0.2">
      <c r="A26" s="41">
        <v>18</v>
      </c>
      <c r="B26" s="39" t="s">
        <v>104</v>
      </c>
      <c r="C26" s="42" t="s">
        <v>156</v>
      </c>
      <c r="D26" s="42" t="s">
        <v>155</v>
      </c>
      <c r="E26" s="42"/>
    </row>
    <row r="27" spans="1:5" ht="31" x14ac:dyDescent="0.2">
      <c r="A27" s="41">
        <v>19</v>
      </c>
      <c r="B27" s="39" t="s">
        <v>104</v>
      </c>
      <c r="C27" s="42" t="s">
        <v>157</v>
      </c>
      <c r="D27" s="42" t="s">
        <v>158</v>
      </c>
      <c r="E27" s="42"/>
    </row>
    <row r="28" spans="1:5" ht="61" x14ac:dyDescent="0.2">
      <c r="A28" s="41">
        <v>20</v>
      </c>
      <c r="B28" s="39" t="s">
        <v>104</v>
      </c>
      <c r="C28" s="42" t="s">
        <v>159</v>
      </c>
      <c r="D28" s="42" t="s">
        <v>160</v>
      </c>
      <c r="E28" s="42"/>
    </row>
    <row r="29" spans="1:5" ht="31" x14ac:dyDescent="0.2">
      <c r="A29" s="41">
        <v>21</v>
      </c>
      <c r="B29" s="39" t="s">
        <v>104</v>
      </c>
      <c r="C29" s="42" t="s">
        <v>161</v>
      </c>
      <c r="D29" s="42" t="s">
        <v>162</v>
      </c>
      <c r="E29" s="42"/>
    </row>
    <row r="30" spans="1:5" ht="31" x14ac:dyDescent="0.2">
      <c r="A30" s="41">
        <v>22</v>
      </c>
      <c r="B30" s="39" t="s">
        <v>104</v>
      </c>
      <c r="C30" s="42" t="s">
        <v>163</v>
      </c>
      <c r="D30" s="42" t="s">
        <v>164</v>
      </c>
      <c r="E30" s="42"/>
    </row>
    <row r="31" spans="1:5" ht="31" x14ac:dyDescent="0.2">
      <c r="A31" s="41">
        <v>23</v>
      </c>
      <c r="B31" s="39" t="s">
        <v>104</v>
      </c>
      <c r="C31" s="42" t="s">
        <v>165</v>
      </c>
      <c r="D31" s="42" t="s">
        <v>166</v>
      </c>
      <c r="E31" s="42"/>
    </row>
    <row r="32" spans="1:5" ht="91" x14ac:dyDescent="0.2">
      <c r="A32" s="41">
        <v>24</v>
      </c>
      <c r="B32" s="39" t="s">
        <v>104</v>
      </c>
      <c r="C32" s="42" t="s">
        <v>167</v>
      </c>
      <c r="D32" s="42" t="s">
        <v>168</v>
      </c>
      <c r="E32" s="42" t="s">
        <v>126</v>
      </c>
    </row>
    <row r="33" spans="1:5" ht="31" x14ac:dyDescent="0.2">
      <c r="A33" s="41">
        <v>25</v>
      </c>
      <c r="B33" s="39" t="s">
        <v>104</v>
      </c>
      <c r="C33" s="42" t="s">
        <v>169</v>
      </c>
      <c r="D33" s="42" t="s">
        <v>205</v>
      </c>
      <c r="E33" s="42"/>
    </row>
    <row r="34" spans="1:5" ht="46" x14ac:dyDescent="0.2">
      <c r="A34" s="41">
        <v>26</v>
      </c>
      <c r="B34" s="39" t="s">
        <v>104</v>
      </c>
      <c r="C34" s="42" t="s">
        <v>170</v>
      </c>
      <c r="D34" s="42" t="s">
        <v>171</v>
      </c>
      <c r="E34" s="42" t="s">
        <v>172</v>
      </c>
    </row>
    <row r="35" spans="1:5" ht="46" x14ac:dyDescent="0.2">
      <c r="A35" s="41">
        <v>27</v>
      </c>
      <c r="B35" s="39" t="s">
        <v>104</v>
      </c>
      <c r="C35" s="42" t="s">
        <v>170</v>
      </c>
      <c r="D35" s="42" t="s">
        <v>173</v>
      </c>
      <c r="E35" s="42" t="s">
        <v>150</v>
      </c>
    </row>
    <row r="36" spans="1:5" ht="46" x14ac:dyDescent="0.2">
      <c r="A36" s="41">
        <v>28</v>
      </c>
      <c r="B36" s="39" t="s">
        <v>105</v>
      </c>
      <c r="C36" s="42" t="s">
        <v>174</v>
      </c>
      <c r="D36" s="42" t="s">
        <v>175</v>
      </c>
      <c r="E36" s="42"/>
    </row>
    <row r="37" spans="1:5" ht="61" x14ac:dyDescent="0.2">
      <c r="A37" s="41">
        <v>29</v>
      </c>
      <c r="B37" s="39" t="s">
        <v>105</v>
      </c>
      <c r="C37" s="42" t="s">
        <v>185</v>
      </c>
      <c r="D37" s="42" t="s">
        <v>176</v>
      </c>
      <c r="E37" s="42" t="s">
        <v>177</v>
      </c>
    </row>
    <row r="38" spans="1:5" ht="46" x14ac:dyDescent="0.2">
      <c r="A38" s="41">
        <v>30</v>
      </c>
      <c r="B38" s="39" t="s">
        <v>105</v>
      </c>
      <c r="C38" s="42" t="s">
        <v>178</v>
      </c>
      <c r="D38" s="42" t="s">
        <v>179</v>
      </c>
      <c r="E38" s="42" t="s">
        <v>177</v>
      </c>
    </row>
    <row r="39" spans="1:5" ht="76" x14ac:dyDescent="0.2">
      <c r="A39" s="41">
        <v>31</v>
      </c>
      <c r="B39" s="39" t="s">
        <v>105</v>
      </c>
      <c r="C39" s="42" t="s">
        <v>186</v>
      </c>
      <c r="D39" s="42" t="s">
        <v>180</v>
      </c>
      <c r="E39" s="42" t="s">
        <v>172</v>
      </c>
    </row>
    <row r="40" spans="1:5" ht="76" x14ac:dyDescent="0.2">
      <c r="A40" s="41">
        <v>32</v>
      </c>
      <c r="B40" s="39" t="s">
        <v>105</v>
      </c>
      <c r="C40" s="42" t="s">
        <v>186</v>
      </c>
      <c r="D40" s="42" t="s">
        <v>187</v>
      </c>
      <c r="E40" s="42" t="s">
        <v>172</v>
      </c>
    </row>
    <row r="41" spans="1:5" ht="46" x14ac:dyDescent="0.2">
      <c r="A41" s="41">
        <v>33</v>
      </c>
      <c r="B41" s="39" t="s">
        <v>105</v>
      </c>
      <c r="C41" s="42" t="s">
        <v>181</v>
      </c>
      <c r="D41" s="42" t="s">
        <v>182</v>
      </c>
      <c r="E41" s="42" t="s">
        <v>124</v>
      </c>
    </row>
    <row r="42" spans="1:5" ht="76" x14ac:dyDescent="0.2">
      <c r="A42" s="41">
        <v>34</v>
      </c>
      <c r="B42" s="39" t="s">
        <v>105</v>
      </c>
      <c r="C42" s="42" t="s">
        <v>183</v>
      </c>
      <c r="D42" s="42" t="s">
        <v>184</v>
      </c>
      <c r="E42" s="42" t="s">
        <v>119</v>
      </c>
    </row>
    <row r="43" spans="1:5" ht="76" x14ac:dyDescent="0.2">
      <c r="A43" s="41">
        <v>35</v>
      </c>
      <c r="B43" s="39" t="s">
        <v>105</v>
      </c>
      <c r="C43" s="42" t="s">
        <v>188</v>
      </c>
      <c r="D43" s="42" t="s">
        <v>189</v>
      </c>
      <c r="E43" s="42" t="s">
        <v>124</v>
      </c>
    </row>
    <row r="44" spans="1:5" ht="61" x14ac:dyDescent="0.2">
      <c r="A44" s="41">
        <v>36</v>
      </c>
      <c r="B44" s="39" t="s">
        <v>105</v>
      </c>
      <c r="C44" s="42" t="s">
        <v>190</v>
      </c>
      <c r="D44" s="42" t="s">
        <v>191</v>
      </c>
      <c r="E44" s="42" t="s">
        <v>192</v>
      </c>
    </row>
    <row r="45" spans="1:5" ht="46" x14ac:dyDescent="0.2">
      <c r="A45" s="41">
        <v>37</v>
      </c>
      <c r="B45" s="39" t="s">
        <v>106</v>
      </c>
      <c r="C45" s="42" t="s">
        <v>195</v>
      </c>
      <c r="D45" s="42" t="s">
        <v>196</v>
      </c>
      <c r="E45" s="42" t="s">
        <v>177</v>
      </c>
    </row>
    <row r="46" spans="1:5" ht="106" x14ac:dyDescent="0.2">
      <c r="A46" s="41">
        <v>38</v>
      </c>
      <c r="B46" s="39" t="s">
        <v>106</v>
      </c>
      <c r="C46" s="42" t="s">
        <v>197</v>
      </c>
      <c r="D46" s="42" t="s">
        <v>198</v>
      </c>
      <c r="E46" s="42" t="s">
        <v>138</v>
      </c>
    </row>
    <row r="47" spans="1:5" ht="76" x14ac:dyDescent="0.2">
      <c r="A47" s="41">
        <v>39</v>
      </c>
      <c r="B47" s="39" t="s">
        <v>106</v>
      </c>
      <c r="C47" s="42" t="s">
        <v>199</v>
      </c>
      <c r="D47" s="42" t="s">
        <v>200</v>
      </c>
      <c r="E47" s="42" t="s">
        <v>126</v>
      </c>
    </row>
    <row r="48" spans="1:5" ht="46" x14ac:dyDescent="0.2">
      <c r="A48" s="41">
        <v>40</v>
      </c>
      <c r="B48" s="39" t="s">
        <v>106</v>
      </c>
      <c r="C48" s="42" t="s">
        <v>201</v>
      </c>
      <c r="D48" s="42" t="s">
        <v>202</v>
      </c>
      <c r="E48" s="42" t="s">
        <v>203</v>
      </c>
    </row>
    <row r="49" spans="1:5" ht="16" x14ac:dyDescent="0.2">
      <c r="A49" s="41"/>
      <c r="B49" s="39"/>
      <c r="C49" s="42"/>
      <c r="D49" s="42"/>
      <c r="E49" s="42"/>
    </row>
    <row r="50" spans="1:5" ht="16" x14ac:dyDescent="0.2">
      <c r="A50" s="41"/>
      <c r="B50" s="39"/>
      <c r="C50" s="42"/>
      <c r="D50" s="42"/>
      <c r="E50" s="42"/>
    </row>
    <row r="51" spans="1:5" ht="16" x14ac:dyDescent="0.2">
      <c r="A51" s="41"/>
      <c r="B51" s="39"/>
      <c r="C51" s="42"/>
      <c r="D51" s="42"/>
      <c r="E51" s="42"/>
    </row>
    <row r="52" spans="1:5" ht="16" x14ac:dyDescent="0.2">
      <c r="A52" s="41"/>
      <c r="B52" s="39"/>
      <c r="C52" s="42"/>
      <c r="D52" s="42"/>
      <c r="E52" s="42"/>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966FB-1903-1F44-92B4-B20C9B14E04D}">
  <dimension ref="A3:F21"/>
  <sheetViews>
    <sheetView workbookViewId="0">
      <selection activeCell="G31" sqref="G31"/>
    </sheetView>
  </sheetViews>
  <sheetFormatPr baseColWidth="10" defaultRowHeight="15" x14ac:dyDescent="0.2"/>
  <cols>
    <col min="1" max="1" width="21.5" bestFit="1" customWidth="1"/>
    <col min="2" max="2" width="16.83203125" bestFit="1" customWidth="1"/>
    <col min="5" max="5" width="21.5" bestFit="1" customWidth="1"/>
    <col min="6" max="6" width="10.6640625" bestFit="1" customWidth="1"/>
  </cols>
  <sheetData>
    <row r="3" spans="1:6" x14ac:dyDescent="0.2">
      <c r="A3" s="78" t="s">
        <v>378</v>
      </c>
      <c r="B3" t="s">
        <v>380</v>
      </c>
    </row>
    <row r="4" spans="1:6" x14ac:dyDescent="0.2">
      <c r="A4" s="79" t="s">
        <v>373</v>
      </c>
      <c r="B4" s="81">
        <v>57.080193231138452</v>
      </c>
    </row>
    <row r="5" spans="1:6" x14ac:dyDescent="0.2">
      <c r="A5" s="79" t="s">
        <v>376</v>
      </c>
      <c r="B5" s="81">
        <v>58.192726682305889</v>
      </c>
    </row>
    <row r="6" spans="1:6" x14ac:dyDescent="0.2">
      <c r="A6" s="79" t="s">
        <v>375</v>
      </c>
      <c r="B6" s="81">
        <v>59.528551581088379</v>
      </c>
    </row>
    <row r="7" spans="1:6" x14ac:dyDescent="0.2">
      <c r="A7" s="79" t="s">
        <v>374</v>
      </c>
      <c r="B7" s="81">
        <v>57.732427891244349</v>
      </c>
    </row>
    <row r="8" spans="1:6" x14ac:dyDescent="0.2">
      <c r="A8" s="79" t="s">
        <v>377</v>
      </c>
      <c r="B8" s="81">
        <v>63.825143610897641</v>
      </c>
    </row>
    <row r="9" spans="1:6" x14ac:dyDescent="0.2">
      <c r="A9" s="79" t="s">
        <v>43</v>
      </c>
      <c r="B9" s="81">
        <v>55.324703771718092</v>
      </c>
    </row>
    <row r="10" spans="1:6" x14ac:dyDescent="0.2">
      <c r="A10" s="79" t="s">
        <v>379</v>
      </c>
      <c r="B10" s="81">
        <v>58.383591626565135</v>
      </c>
    </row>
    <row r="14" spans="1:6" x14ac:dyDescent="0.2">
      <c r="A14" s="78" t="s">
        <v>378</v>
      </c>
      <c r="B14" t="s">
        <v>380</v>
      </c>
      <c r="E14" s="78" t="s">
        <v>378</v>
      </c>
      <c r="F14" t="s">
        <v>398</v>
      </c>
    </row>
    <row r="15" spans="1:6" x14ac:dyDescent="0.2">
      <c r="A15" s="79" t="s">
        <v>373</v>
      </c>
      <c r="B15" s="81">
        <v>57.080193231138452</v>
      </c>
      <c r="E15" s="79" t="s">
        <v>373</v>
      </c>
      <c r="F15" s="80">
        <v>22837</v>
      </c>
    </row>
    <row r="16" spans="1:6" x14ac:dyDescent="0.2">
      <c r="A16" s="79" t="s">
        <v>376</v>
      </c>
      <c r="B16" s="81">
        <v>58.192726682305889</v>
      </c>
      <c r="E16" s="79" t="s">
        <v>376</v>
      </c>
      <c r="F16" s="80">
        <v>47427</v>
      </c>
    </row>
    <row r="17" spans="1:6" x14ac:dyDescent="0.2">
      <c r="A17" s="79" t="s">
        <v>375</v>
      </c>
      <c r="B17" s="81">
        <v>59.528551581088379</v>
      </c>
      <c r="E17" s="79" t="s">
        <v>43</v>
      </c>
      <c r="F17" s="80">
        <v>20581</v>
      </c>
    </row>
    <row r="18" spans="1:6" x14ac:dyDescent="0.2">
      <c r="A18" s="79" t="s">
        <v>374</v>
      </c>
      <c r="B18" s="81">
        <v>57.732427891244349</v>
      </c>
      <c r="E18" s="79" t="s">
        <v>375</v>
      </c>
      <c r="F18" s="80">
        <v>28384</v>
      </c>
    </row>
    <row r="19" spans="1:6" x14ac:dyDescent="0.2">
      <c r="A19" s="79" t="s">
        <v>377</v>
      </c>
      <c r="B19" s="81">
        <v>63.825143610897641</v>
      </c>
      <c r="E19" s="79" t="s">
        <v>374</v>
      </c>
      <c r="F19" s="80">
        <v>44403</v>
      </c>
    </row>
    <row r="20" spans="1:6" x14ac:dyDescent="0.2">
      <c r="A20" s="79" t="s">
        <v>43</v>
      </c>
      <c r="B20" s="81">
        <v>55.324703771718092</v>
      </c>
      <c r="E20" s="79" t="s">
        <v>377</v>
      </c>
      <c r="F20" s="80">
        <v>11061</v>
      </c>
    </row>
    <row r="21" spans="1:6" x14ac:dyDescent="0.2">
      <c r="A21" s="79" t="s">
        <v>379</v>
      </c>
      <c r="B21" s="81">
        <v>58.383591626565135</v>
      </c>
      <c r="E21" s="79" t="s">
        <v>379</v>
      </c>
      <c r="F21" s="80">
        <v>174693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Popularity Difficulty 3 yrs</vt:lpstr>
      <vt:lpstr>Survey Questions</vt:lpstr>
      <vt:lpstr>Survey Invitations</vt:lpstr>
      <vt:lpstr>Survey Questions &amp; Findings MAP</vt:lpstr>
      <vt:lpstr>Survey Questions &amp; Findings WIP</vt:lpstr>
      <vt:lpstr>Implications from Findings</vt:lpstr>
      <vt:lpstr>Survey Questions-WIP</vt:lpstr>
      <vt:lpstr>Findings Summary</vt:lpstr>
      <vt:lpstr>Phase Tools Difficulty</vt:lpstr>
      <vt:lpstr>Popularity Difficulty Tradeoff</vt:lpstr>
      <vt:lpstr>LifeCycle Phase wise Topics</vt:lpstr>
      <vt:lpstr>Evoluation_Relative_Impact</vt:lpstr>
      <vt:lpstr>Temporal_evoluation</vt:lpstr>
      <vt:lpstr>Topic Post Count</vt:lpstr>
      <vt:lpstr>Popularity Difficulty</vt:lpstr>
      <vt:lpstr>Difficulty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Microsoft Office User</cp:lastModifiedBy>
  <dcterms:created xsi:type="dcterms:W3CDTF">2021-05-18T13:21:44Z</dcterms:created>
  <dcterms:modified xsi:type="dcterms:W3CDTF">2021-09-03T12:26:30Z</dcterms:modified>
</cp:coreProperties>
</file>