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85b6e2554a4e58c/Documentos/GitHub/portfolio-em-dados/Excel/E-commerce_meteora/"/>
    </mc:Choice>
  </mc:AlternateContent>
  <xr:revisionPtr revIDLastSave="72" documentId="8_{9FBF241B-5C5A-49B3-8CAF-940A69EAA5E1}" xr6:coauthVersionLast="47" xr6:coauthVersionMax="47" xr10:uidLastSave="{97E3E10C-7D2D-4853-A68C-0788338902E3}"/>
  <bookViews>
    <workbookView xWindow="33885" yWindow="0" windowWidth="28365" windowHeight="15585" tabRatio="698" activeTab="3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Categoria">TB_Produtos[[#All],[Categoria]]</definedName>
    <definedName name="Int_Codigo">TB_Produtos[[#All],[Código]]</definedName>
    <definedName name="Int_Estoque">TB_Produtos[[#All],[Estoque]]</definedName>
    <definedName name="Int_Nome_Produtos">#REF!</definedName>
    <definedName name="Int_PrecoUnit">TB_Produtos[[#All],[Preço Unitário]]</definedName>
    <definedName name="Int_Produtos">TB_Produtos[[#All],[Produtos]]</definedName>
    <definedName name="Int_Quantidade">#REF!</definedName>
    <definedName name="Int_Tamanho">TB_Produtos[[#All],[Tamanho]]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G5" i="16" a="1"/>
  <c r="G5" i="16" s="1"/>
  <c r="G6" i="16" a="1"/>
  <c r="G6" i="16" s="1"/>
  <c r="G7" i="16" a="1"/>
  <c r="G7" i="16" s="1"/>
  <c r="G8" i="16" a="1"/>
  <c r="G8" i="16" s="1"/>
  <c r="G9" i="16" a="1"/>
  <c r="G9" i="16" s="1"/>
  <c r="G10" i="16" a="1"/>
  <c r="G10" i="16" s="1"/>
  <c r="G11" i="16" a="1"/>
  <c r="G11" i="16" s="1"/>
  <c r="G12" i="16" a="1"/>
  <c r="G12" i="16" s="1"/>
  <c r="G13" i="16" a="1"/>
  <c r="G13" i="16" s="1"/>
  <c r="G14" i="16" a="1"/>
  <c r="G14" i="16" s="1"/>
  <c r="G15" i="16" a="1"/>
  <c r="G15" i="16" s="1"/>
  <c r="G16" i="16" a="1"/>
  <c r="G16" i="16" s="1"/>
  <c r="G17" i="16" a="1"/>
  <c r="G17" i="16" s="1"/>
  <c r="G18" i="16" a="1"/>
  <c r="G18" i="16" s="1"/>
  <c r="G19" i="16" a="1"/>
  <c r="G19" i="16" s="1"/>
  <c r="G20" i="16" a="1"/>
  <c r="G20" i="16" s="1"/>
  <c r="G21" i="16" a="1"/>
  <c r="G21" i="16" s="1"/>
  <c r="G22" i="16" a="1"/>
  <c r="G22" i="16" s="1"/>
  <c r="G23" i="16" a="1"/>
  <c r="G23" i="16" s="1"/>
  <c r="G24" i="16" a="1"/>
  <c r="G24" i="16" s="1"/>
  <c r="G25" i="16" a="1"/>
  <c r="G25" i="16" s="1"/>
  <c r="G26" i="16" a="1"/>
  <c r="G26" i="16" s="1"/>
  <c r="G27" i="16" a="1"/>
  <c r="G27" i="16" s="1"/>
  <c r="G28" i="16" a="1"/>
  <c r="G28" i="16" s="1"/>
  <c r="G29" i="16" a="1"/>
  <c r="G29" i="16" s="1"/>
  <c r="G30" i="16" a="1"/>
  <c r="G30" i="16" s="1"/>
  <c r="G31" i="16" a="1"/>
  <c r="G31" i="16" s="1"/>
  <c r="G32" i="16" a="1"/>
  <c r="G32" i="16" s="1"/>
  <c r="G33" i="16" a="1"/>
  <c r="G33" i="16" s="1"/>
  <c r="G34" i="16" a="1"/>
  <c r="G34" i="16" s="1"/>
  <c r="G35" i="16" a="1"/>
  <c r="G35" i="16" s="1"/>
  <c r="G36" i="16" a="1"/>
  <c r="G36" i="16" s="1"/>
  <c r="G37" i="16" a="1"/>
  <c r="G37" i="16" s="1"/>
  <c r="G38" i="16" a="1"/>
  <c r="G38" i="16" s="1"/>
  <c r="G39" i="16" a="1"/>
  <c r="G39" i="16" s="1"/>
  <c r="G40" i="16" a="1"/>
  <c r="G40" i="16" s="1"/>
  <c r="G41" i="16" a="1"/>
  <c r="G41" i="16" s="1"/>
  <c r="G42" i="16" a="1"/>
  <c r="G42" i="16" s="1"/>
  <c r="G43" i="16" a="1"/>
  <c r="G43" i="16" s="1"/>
  <c r="G44" i="16" a="1"/>
  <c r="G44" i="16" s="1"/>
  <c r="G45" i="16" a="1"/>
  <c r="G45" i="16" s="1"/>
  <c r="G46" i="16" a="1"/>
  <c r="G46" i="16" s="1"/>
  <c r="G47" i="16" a="1"/>
  <c r="G47" i="16" s="1"/>
  <c r="G48" i="16" a="1"/>
  <c r="G48" i="16" s="1"/>
  <c r="G49" i="16" a="1"/>
  <c r="G49" i="16" s="1"/>
  <c r="G50" i="16" a="1"/>
  <c r="G50" i="16" s="1"/>
  <c r="G51" i="16" a="1"/>
  <c r="G51" i="16" s="1"/>
  <c r="G52" i="16" a="1"/>
  <c r="G52" i="16" s="1"/>
  <c r="G53" i="16" a="1"/>
  <c r="G53" i="16" s="1"/>
  <c r="G54" i="16" a="1"/>
  <c r="G54" i="16" s="1"/>
  <c r="G55" i="16" a="1"/>
  <c r="G55" i="16" s="1"/>
  <c r="G56" i="16" a="1"/>
  <c r="G56" i="16" s="1"/>
  <c r="G57" i="16" a="1"/>
  <c r="G57" i="16" s="1"/>
  <c r="G58" i="16" a="1"/>
  <c r="G58" i="16" s="1"/>
  <c r="G59" i="16" a="1"/>
  <c r="G59" i="16" s="1"/>
  <c r="G60" i="16" a="1"/>
  <c r="G60" i="16" s="1"/>
  <c r="G61" i="16" a="1"/>
  <c r="G61" i="16" s="1"/>
  <c r="G62" i="16" a="1"/>
  <c r="G62" i="16" s="1"/>
  <c r="G63" i="16" a="1"/>
  <c r="G63" i="16" s="1"/>
  <c r="G64" i="16" a="1"/>
  <c r="G64" i="16" s="1"/>
  <c r="G65" i="16" a="1"/>
  <c r="G65" i="16" s="1"/>
  <c r="G66" i="16" a="1"/>
  <c r="G66" i="16" s="1"/>
  <c r="G67" i="16" a="1"/>
  <c r="G67" i="16" s="1"/>
  <c r="G68" i="16" a="1"/>
  <c r="G68" i="16" s="1"/>
  <c r="G69" i="16" a="1"/>
  <c r="G69" i="16" s="1"/>
  <c r="G70" i="16" a="1"/>
  <c r="G70" i="16" s="1"/>
  <c r="G71" i="16" a="1"/>
  <c r="G71" i="16" s="1"/>
  <c r="G72" i="16" a="1"/>
  <c r="G72" i="16" s="1"/>
  <c r="G73" i="16" a="1"/>
  <c r="G73" i="16" s="1"/>
  <c r="G74" i="16" a="1"/>
  <c r="G74" i="16" s="1"/>
  <c r="G75" i="16" a="1"/>
  <c r="G75" i="16" s="1"/>
  <c r="G76" i="16" a="1"/>
  <c r="G76" i="16" s="1"/>
  <c r="G77" i="16" a="1"/>
  <c r="G77" i="16" s="1"/>
  <c r="G78" i="16" a="1"/>
  <c r="G78" i="16" s="1"/>
  <c r="G79" i="16" a="1"/>
  <c r="G79" i="16" s="1"/>
  <c r="G80" i="16" a="1"/>
  <c r="G80" i="16" s="1"/>
  <c r="G81" i="16" a="1"/>
  <c r="G81" i="16" s="1"/>
  <c r="G82" i="16" a="1"/>
  <c r="G82" i="16" s="1"/>
  <c r="G83" i="16" a="1"/>
  <c r="G83" i="16" s="1"/>
  <c r="G84" i="16" a="1"/>
  <c r="G84" i="16" s="1"/>
  <c r="G85" i="16" a="1"/>
  <c r="G85" i="16" s="1"/>
  <c r="G86" i="16" a="1"/>
  <c r="G86" i="16" s="1"/>
  <c r="F17" i="23"/>
  <c r="F16" i="23"/>
  <c r="F18" i="23" a="1"/>
  <c r="F18" i="23" s="1"/>
  <c r="C18" i="23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1" i="24"/>
  <c r="C7" i="24"/>
  <c r="C8" i="24"/>
  <c r="C9" i="24"/>
  <c r="C10" i="24"/>
  <c r="F7" i="24"/>
  <c r="F9" i="24"/>
  <c r="D17" i="23" l="1"/>
  <c r="C12" i="24" a="1"/>
  <c r="C12" i="24" s="1"/>
  <c r="C13" i="24"/>
  <c r="J68" i="16"/>
  <c r="J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J83" i="16" l="1"/>
  <c r="J75" i="16"/>
  <c r="J73" i="16"/>
  <c r="J65" i="16"/>
  <c r="J64" i="16"/>
  <c r="J79" i="16"/>
  <c r="J71" i="16"/>
  <c r="J80" i="16"/>
  <c r="J72" i="16"/>
  <c r="J84" i="16"/>
  <c r="J67" i="16"/>
  <c r="J82" i="16"/>
  <c r="J74" i="16"/>
  <c r="J66" i="16"/>
  <c r="J86" i="16"/>
  <c r="J78" i="16"/>
  <c r="J70" i="16"/>
  <c r="J85" i="16"/>
  <c r="J77" i="16"/>
  <c r="J69" i="16"/>
  <c r="J81" i="16"/>
  <c r="J5" i="16" l="1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Samir Oliveira</author>
  </authors>
  <commentList>
    <comment ref="C6" authorId="0" shapeId="0" xr:uid="{8486D932-1291-4212-AA72-D9D3806A5484}">
      <text>
        <r>
          <rPr>
            <b/>
            <sz val="9"/>
            <color indexed="81"/>
            <rFont val="Segoe UI"/>
            <family val="2"/>
          </rPr>
          <t>Samir Oliveira:</t>
        </r>
        <r>
          <rPr>
            <sz val="9"/>
            <color indexed="81"/>
            <rFont val="Segoe UI"/>
            <family val="2"/>
          </rPr>
          <t xml:space="preserve">
Para os testes de Formatção Condicional.
Cod.
PRO46
PRO19
PRO59</t>
        </r>
      </text>
    </comment>
    <comment ref="C12" authorId="0" shapeId="0" xr:uid="{262BCAC1-9677-43B4-9756-06FB40DF909D}">
      <text>
        <r>
          <rPr>
            <b/>
            <sz val="9"/>
            <color indexed="81"/>
            <rFont val="Segoe UI"/>
            <family val="2"/>
          </rPr>
          <t>Samir Oliveira:</t>
        </r>
        <r>
          <rPr>
            <sz val="9"/>
            <color indexed="81"/>
            <rFont val="Segoe UI"/>
            <family val="2"/>
          </rPr>
          <t xml:space="preserve">
=SES($C$11=0;"Zerou o Estoque";$C$11&gt;=10;"Estoque em Dia";1;"Rever o Estoque")
</t>
        </r>
        <r>
          <rPr>
            <b/>
            <sz val="9"/>
            <color indexed="81"/>
            <rFont val="Segoe UI"/>
            <family val="2"/>
          </rPr>
          <t>Com o Estoque Mínimo:</t>
        </r>
        <r>
          <rPr>
            <sz val="9"/>
            <color indexed="81"/>
            <rFont val="Segoe UI"/>
            <family val="2"/>
          </rPr>
          <t xml:space="preserve">
=SES($C$11=0;"Zerou o Estoque";$C$11&gt;PROCX(C9;'Cadastros Auxiliares'!G9:G11;'Cadastros Auxiliares'!H9:H11;"");"Estoque em Dia";1;"Rever o Estoque")</t>
        </r>
      </text>
    </comment>
    <comment ref="C13" authorId="0" shapeId="0" xr:uid="{F1BCBEAB-40F1-4E9F-A8B8-11B0158E86C9}">
      <text>
        <r>
          <rPr>
            <b/>
            <sz val="9"/>
            <color indexed="81"/>
            <rFont val="Segoe UI"/>
            <family val="2"/>
          </rPr>
          <t>Samir Oliveira:</t>
        </r>
        <r>
          <rPr>
            <sz val="9"/>
            <color indexed="81"/>
            <rFont val="Segoe UI"/>
            <family val="2"/>
          </rPr>
          <t xml:space="preserve">
=SE(C11&gt;=10;"Estoque OK";SE(C11=0;"Estoque Zerado";"Estoque Baixo"))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<sst xmlns="http://schemas.openxmlformats.org/spreadsheetml/2006/main" count="501" uniqueCount="174">
  <si>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</si>
  <si>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</si>
  <si>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</si>
  <si>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</si>
  <si>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</si>
  <si>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</si>
  <si>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</si>
  <si>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</si>
  <si>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</si>
  <si>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</si>
  <si>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</si>
  <si>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</si>
  <si>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</si>
  <si>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</si>
  <si>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</si>
  <si>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</si>
  <si>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</si>
  <si>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</si>
  <si>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</si>
  <si>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</si>
  <si>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</si>
  <si>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</si>
  <si>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</si>
  <si>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</si>
  <si>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</si>
  <si>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</si>
  <si>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</si>
  <si>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</si>
  <si>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</si>
  <si>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</si>
  <si>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</si>
  <si>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</si>
  <si>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</si>
  <si>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</si>
  <si>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</si>
  <si>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</si>
  <si>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</si>
  <si>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</si>
  <si>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</si>
  <si>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</si>
  <si>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</si>
  <si>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</si>
  <si>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</si>
  <si>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</si>
  <si>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</si>
  <si>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</si>
  <si>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</si>
  <si>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</si>
  <si>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</si>
  <si>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</si>
  <si>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</si>
  <si>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</si>
  <si>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</si>
  <si>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</si>
  <si>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</si>
  <si>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</si>
  <si>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</si>
  <si>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</si>
  <si>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</si>
  <si>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</si>
  <si>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</si>
  <si>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</si>
  <si>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</si>
  <si>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</si>
  <si>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</si>
  <si>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</si>
  <si>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</si>
  <si>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</si>
  <si>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</si>
  <si>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</si>
  <si>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</si>
  <si>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</si>
  <si>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</si>
  <si>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</si>
  <si>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</si>
  <si>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</si>
  <si>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</si>
  <si>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</si>
  <si>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</si>
  <si>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</si>
  <si>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</si>
  <si>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</si>
  <si>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</si>
  <si>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</si>
  <si>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</si>
  <si>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</si>
  <si>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</si>
  <si>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</si>
  <si>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</si>
  <si>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</si>
  <si>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</si>
  <si>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</si>
  <si>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</si>
  <si>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</si>
  <si>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</si>
  <si>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</si>
  <si>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</si>
  <si>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</si>
  <si>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</si>
  <si>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</si>
  <si>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</si>
  <si>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</si>
  <si>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</si>
  <si>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</si>
  <si>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</si>
  <si>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</si>
  <si>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</si>
  <si>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</si>
  <si>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</si>
  <si>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</si>
  <si>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</si>
  <si>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</si>
  <si>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</si>
  <si>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</si>
  <si>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</si>
  <si>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</si>
  <si>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</si>
  <si>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</si>
  <si>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</si>
  <si>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</si>
  <si>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</si>
  <si>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</si>
  <si>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</si>
  <si>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</si>
  <si>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</si>
  <si>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</si>
  <si>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</si>
  <si>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</si>
  <si>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</si>
  <si>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</si>
  <si>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</si>
  <si>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</si>
  <si>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</si>
  <si>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</si>
  <si>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</si>
  <si>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</si>
  <si>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</si>
  <si>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</si>
  <si>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</si>
  <si>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</si>
  <si>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</si>
  <si>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</si>
  <si>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</si>
  <si>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</si>
  <si>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</si>
  <si>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</si>
  <si>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</si>
  <si>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</si>
  <si>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</si>
  <si>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</si>
  <si>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</si>
  <si>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</si>
  <si>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</si>
  <si>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</si>
  <si>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</si>
  <si>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</si>
  <si>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</si>
  <si>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</si>
  <si>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</si>
  <si>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</si>
  <si>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</si>
  <si>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</si>
  <si>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</si>
  <si>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</si>
  <si>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</si>
  <si>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</si>
  <si>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>Estoque Mínimo</t>
  </si>
  <si>
    <t xml:space="preserve">1º Situação: </t>
  </si>
  <si>
    <t xml:space="preserve">2º Situação: </t>
  </si>
  <si>
    <t xml:space="preserve"> </t>
  </si>
  <si>
    <t>Coluna</t>
  </si>
  <si>
    <t>Linha</t>
  </si>
  <si>
    <t>Des. Vendedor</t>
  </si>
  <si>
    <t>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</si>
</sst>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8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27" xfId="0" applyFont="1" applyFill="1" applyBorder="1" applyAlignment="1">
      <alignment horizontal="center" vertic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23" fillId="3" borderId="0" xfId="0" applyFont="1" applyFill="1" applyAlignment="1">
      <alignment horizontal="center" vertical="center"/>
    </xf>
    <xf numFmtId="0" fontId="17" fillId="2" borderId="28" xfId="3" applyFont="1" applyFill="1" applyBorder="1" applyAlignment="1">
      <alignment horizontal="right" vertical="center"/>
    </xf>
    <xf numFmtId="0" fontId="17" fillId="2" borderId="11" xfId="3" applyFont="1" applyFill="1" applyBorder="1" applyAlignment="1">
      <alignment horizontal="right" vertical="center"/>
    </xf>
    <xf numFmtId="0" fontId="17" fillId="2" borderId="29" xfId="3" applyFont="1" applyFill="1" applyBorder="1" applyAlignment="1">
      <alignment horizontal="right" vertical="center"/>
    </xf>
    <xf numFmtId="0" fontId="17" fillId="2" borderId="13" xfId="3" applyFont="1" applyFill="1" applyBorder="1" applyAlignment="1">
      <alignment horizontal="right" vertical="center"/>
    </xf>
    <xf numFmtId="0" fontId="0" fillId="0" borderId="0" xfId="0" quotePrefix="1"/>
    <xf numFmtId="0" fontId="16" fillId="0" borderId="31" xfId="7" applyNumberFormat="1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0" fontId="17" fillId="2" borderId="0" xfId="3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5" applyFont="1" applyAlignment="1">
      <alignment horizontal="center" vertical="center"/>
    </xf>
    <xf numFmtId="0" fontId="17" fillId="2" borderId="32" xfId="3" applyFont="1" applyFill="1" applyBorder="1" applyAlignment="1">
      <alignment horizontal="right" vertical="center"/>
    </xf>
    <xf numFmtId="14" fontId="24" fillId="7" borderId="25" xfId="0" applyNumberFormat="1" applyFont="1" applyFill="1" applyBorder="1" applyAlignment="1">
      <alignment horizontal="center" vertical="center"/>
    </xf>
    <xf numFmtId="0" fontId="24" fillId="7" borderId="30" xfId="0" applyFont="1" applyFill="1" applyBorder="1" applyAlignment="1">
      <alignment horizontal="center" vertical="center"/>
    </xf>
    <xf numFmtId="0" fontId="24" fillId="7" borderId="25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0" fontId="15" fillId="2" borderId="22" xfId="3" applyFont="1" applyFill="1" applyBorder="1" applyAlignment="1">
      <alignment horizontal="center" vertical="center"/>
    </xf>
    <xf numFmtId="1" fontId="19" fillId="7" borderId="7" xfId="0" applyNumberFormat="1" applyFont="1" applyFill="1" applyBorder="1" applyAlignment="1">
      <alignment horizontal="center" vertical="center"/>
    </xf>
    <xf numFmtId="1" fontId="19" fillId="7" borderId="23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1" fontId="16" fillId="0" borderId="1" xfId="0" applyNumberFormat="1" applyFont="1" applyBorder="1" applyAlignment="1">
      <alignment horizontal="left" vertical="center"/>
    </xf>
    <xf numFmtId="0" fontId="0" fillId="8" borderId="0" xfId="0" applyFill="1" applyAlignment="1">
      <alignment vertical="center"/>
    </xf>
    <xf numFmtId="0" fontId="20" fillId="8" borderId="0" xfId="0" applyFont="1" applyFill="1" applyAlignment="1">
      <alignment vertical="center"/>
    </xf>
    <xf numFmtId="0" fontId="0" fillId="8" borderId="1" xfId="0" applyFill="1" applyBorder="1"/>
    <xf numFmtId="9" fontId="0" fillId="8" borderId="1" xfId="5" applyFont="1" applyFill="1" applyBorder="1"/>
    <xf numFmtId="1" fontId="19" fillId="7" borderId="33" xfId="0" applyNumberFormat="1" applyFont="1" applyFill="1" applyBorder="1" applyAlignment="1">
      <alignment horizontal="right" vertical="center"/>
    </xf>
    <xf numFmtId="9" fontId="16" fillId="0" borderId="34" xfId="5" applyFont="1" applyBorder="1" applyAlignment="1">
      <alignment horizontal="center" vertical="center"/>
    </xf>
    <xf numFmtId="0" fontId="15" fillId="2" borderId="35" xfId="3" applyFont="1" applyFill="1" applyBorder="1" applyAlignment="1">
      <alignment horizontal="center" vertical="center"/>
    </xf>
    <xf numFmtId="0" fontId="15" fillId="2" borderId="36" xfId="3" applyFont="1" applyFill="1" applyBorder="1" applyAlignment="1">
      <alignment horizontal="center" vertical="center"/>
    </xf>
    <xf numFmtId="0" fontId="15" fillId="2" borderId="37" xfId="3" applyFont="1" applyFill="1" applyBorder="1" applyAlignment="1">
      <alignment horizontal="center" vertical="center"/>
    </xf>
    <xf numFmtId="1" fontId="19" fillId="7" borderId="38" xfId="0" applyNumberFormat="1" applyFont="1" applyFill="1" applyBorder="1" applyAlignment="1">
      <alignment horizontal="right" vertical="center"/>
    </xf>
    <xf numFmtId="1" fontId="16" fillId="0" borderId="39" xfId="0" applyNumberFormat="1" applyFont="1" applyBorder="1" applyAlignment="1">
      <alignment horizontal="left" vertical="center"/>
    </xf>
    <xf numFmtId="9" fontId="16" fillId="0" borderId="40" xfId="5" applyFont="1" applyBorder="1" applyAlignment="1">
      <alignment horizontal="center" vertical="center"/>
    </xf>
    <xf numFmtId="0" fontId="14" fillId="2" borderId="41" xfId="3" applyFont="1" applyFill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</cellXfs>
  <cellStyles count="8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  <cellStyle name="Vírgula" xfId="7" builtinId="3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8" tint="-0.24994659260841701"/>
      </font>
      <fill>
        <patternFill patternType="none">
          <bgColor auto="1"/>
        </patternFill>
      </fill>
    </dxf>
    <dxf>
      <font>
        <color theme="7" tint="-0.24994659260841701"/>
      </font>
      <fill>
        <patternFill patternType="none">
          <bgColor auto="1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4.9989318521683403E-2"/>
        <name val="Montserrat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tserrat"/>
        <scheme val="none"/>
      </font>
      <numFmt numFmtId="1" formatCode="0"/>
      <fill>
        <patternFill patternType="solid">
          <fgColor indexed="64"/>
          <bgColor rgb="FFCCCCCC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numFmt numFmtId="165" formatCode="_-[$R$-416]\ * #,##0.00_-;\-[$R$-416]\ * #,##0.00_-;_-[$R$-416]\ * &quot;-&quot;??_-;_-@_-"/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476250</xdr:colOff>
      <xdr:row>0</xdr:row>
      <xdr:rowOff>473710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1312544</xdr:colOff>
      <xdr:row>0</xdr:row>
      <xdr:rowOff>96204</xdr:rowOff>
    </xdr:from>
    <xdr:to>
      <xdr:col>7</xdr:col>
      <xdr:colOff>478154</xdr:colOff>
      <xdr:row>0</xdr:row>
      <xdr:rowOff>402909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96204</xdr:rowOff>
    </xdr:from>
    <xdr:to>
      <xdr:col>6</xdr:col>
      <xdr:colOff>626745</xdr:colOff>
      <xdr:row>0</xdr:row>
      <xdr:rowOff>402909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593408</xdr:colOff>
      <xdr:row>0</xdr:row>
      <xdr:rowOff>96204</xdr:rowOff>
    </xdr:from>
    <xdr:to>
      <xdr:col>5</xdr:col>
      <xdr:colOff>437198</xdr:colOff>
      <xdr:row>0</xdr:row>
      <xdr:rowOff>402909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476250</xdr:colOff>
      <xdr:row>0</xdr:row>
      <xdr:rowOff>96204</xdr:rowOff>
    </xdr:from>
    <xdr:to>
      <xdr:col>4</xdr:col>
      <xdr:colOff>516255</xdr:colOff>
      <xdr:row>0</xdr:row>
      <xdr:rowOff>402909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477519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5</xdr:col>
      <xdr:colOff>1068704</xdr:colOff>
      <xdr:row>0</xdr:row>
      <xdr:rowOff>95250</xdr:rowOff>
    </xdr:from>
    <xdr:to>
      <xdr:col>5</xdr:col>
      <xdr:colOff>1733549</xdr:colOff>
      <xdr:row>0</xdr:row>
      <xdr:rowOff>396240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40954" y="95250"/>
          <a:ext cx="664845" cy="300990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1543050</xdr:colOff>
      <xdr:row>0</xdr:row>
      <xdr:rowOff>91440</xdr:rowOff>
    </xdr:from>
    <xdr:to>
      <xdr:col>5</xdr:col>
      <xdr:colOff>628650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439103</xdr:colOff>
      <xdr:row>0</xdr:row>
      <xdr:rowOff>91440</xdr:rowOff>
    </xdr:from>
    <xdr:to>
      <xdr:col>4</xdr:col>
      <xdr:colOff>1429703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1163955</xdr:colOff>
      <xdr:row>0</xdr:row>
      <xdr:rowOff>91440</xdr:rowOff>
    </xdr:from>
    <xdr:to>
      <xdr:col>4</xdr:col>
      <xdr:colOff>361950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473709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136343</xdr:colOff>
      <xdr:row>0</xdr:row>
      <xdr:rowOff>95250</xdr:rowOff>
    </xdr:from>
    <xdr:to>
      <xdr:col>9</xdr:col>
      <xdr:colOff>855888</xdr:colOff>
      <xdr:row>0</xdr:row>
      <xdr:rowOff>396240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606334</xdr:colOff>
      <xdr:row>0</xdr:row>
      <xdr:rowOff>95250</xdr:rowOff>
    </xdr:from>
    <xdr:to>
      <xdr:col>8</xdr:col>
      <xdr:colOff>324939</xdr:colOff>
      <xdr:row>0</xdr:row>
      <xdr:rowOff>396240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248875</xdr:colOff>
      <xdr:row>0</xdr:row>
      <xdr:rowOff>95250</xdr:rowOff>
    </xdr:from>
    <xdr:to>
      <xdr:col>7</xdr:col>
      <xdr:colOff>531087</xdr:colOff>
      <xdr:row>0</xdr:row>
      <xdr:rowOff>396240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703217</xdr:colOff>
      <xdr:row>0</xdr:row>
      <xdr:rowOff>95250</xdr:rowOff>
    </xdr:from>
    <xdr:to>
      <xdr:col>6</xdr:col>
      <xdr:colOff>171722</xdr:colOff>
      <xdr:row>0</xdr:row>
      <xdr:rowOff>396240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361950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473709</xdr:colOff>
      <xdr:row>0</xdr:row>
      <xdr:rowOff>473709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7" dataDxfId="2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7:G66">
    <sortCondition ref="B7:B66"/>
  </sortState>
  <tableColumns count="6">
    <tableColumn id="1" xr3:uid="{2F8ED5FF-48A1-488E-9DF1-FE060F71A415}" name="Código" dataDxfId="33"/>
    <tableColumn id="2" xr3:uid="{E100D4E2-C3A0-43FF-A1D9-90A4BC2A9918}" name="Produtos" dataDxfId="32"/>
    <tableColumn id="3" xr3:uid="{2EF7FEE0-6B6F-4534-86A0-46B6555B7BEF}" name="Tamanho" dataDxfId="31"/>
    <tableColumn id="4" xr3:uid="{4435A4B8-E7F0-4D66-A4F8-6A9FEAA36D5A}" name="Categoria" dataDxfId="30"/>
    <tableColumn id="6" xr3:uid="{15F9CACC-A558-4A20-80CF-C2ADA2603221}" name="Estoque" dataDxfId="29"/>
    <tableColumn id="5" xr3:uid="{CA8AD0DE-58EC-4839-85FB-1DD75DA28087}" name="Preço Unitário" dataDxfId="2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DDECB-74EA-4CAF-BF6A-3D08FA2248A6}" name="TB_Vendedor" displayName="TB_Vendedor" ref="C5:F10" totalsRowShown="0" headerRowDxfId="9" headerRowBorderDxfId="15" tableBorderDxfId="16" totalsRowBorderDxfId="14" headerRowCellStyle="Cabeçalho Meteora">
  <autoFilter ref="C5:F10" xr:uid="{92BDDECB-74EA-4CAF-BF6A-3D08FA2248A6}">
    <filterColumn colId="0" hiddenButton="1"/>
    <filterColumn colId="1" hiddenButton="1"/>
    <filterColumn colId="2" hiddenButton="1"/>
    <filterColumn colId="3" hiddenButton="1"/>
  </autoFilter>
  <tableColumns count="4">
    <tableColumn id="1" xr3:uid="{2CB7BA6B-D54F-4652-8B77-FEDE913880BD}" name="Código" dataDxfId="13"/>
    <tableColumn id="2" xr3:uid="{A442FF19-090D-4CCD-9930-C21CAE8F946B}" name="Vendedor" dataDxfId="12"/>
    <tableColumn id="3" xr3:uid="{81785A68-7D2A-4206-8EA0-9347E0B44E46}" name="Cidade" dataDxfId="11"/>
    <tableColumn id="4" xr3:uid="{33E72356-7286-493F-82BE-8C402A9CBC92}" name="Desc. Máximo" dataDxfId="10" dataCellStyle="Porcentage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K86" totalsRowShown="0" headerRowDxfId="35" dataDxfId="34" headerRowCellStyle="Cabeçalho Meteora">
  <autoFilter ref="A4:K86" xr:uid="{AD739091-30BD-4C30-BDDA-7504C0C4B6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7" xr3:uid="{5E8DE7C3-CDB6-4314-A5CC-C44D3C21973F}" name="Nº" dataDxfId="25">
      <calculatedColumnFormula>MONTH(TB_Vendas[[#This Row],[Data]])</calculatedColumnFormula>
    </tableColumn>
    <tableColumn id="10" xr3:uid="{BD1ABB49-B48B-4C50-A034-45488FDC03A8}" name="Mês" dataDxfId="24">
      <calculatedColumnFormula>PROPER(TEXT(DATE(,TB_Vendas[[#This Row],[Nº]],1),"Mmm"))</calculatedColumnFormula>
    </tableColumn>
    <tableColumn id="1" xr3:uid="{43632F1F-6978-4CE7-BB13-7CCE587D6821}" name="Data" dataDxfId="23"/>
    <tableColumn id="12" xr3:uid="{205A55AB-454E-4288-AE23-042C3C399E7A}" name="Código" dataDxfId="22"/>
    <tableColumn id="5" xr3:uid="{7DC2ADED-AF8A-4BC8-A38E-FEF676FE49C9}" name="Qtd" dataDxfId="21"/>
    <tableColumn id="9" xr3:uid="{05B7315B-2774-41BC-AFEC-4A19E452D6C7}" name="Preço Unitário" dataDxfId="20">
      <calculatedColumnFormula>_xlfn.XLOOKUP(TB_Vendas[[#This Row],[Código]],TB_Produtos[Código],TB_Produtos[Preço Unitário])</calculatedColumnFormula>
    </tableColumn>
    <tableColumn id="2" xr3:uid="{4BEBDE19-FA81-4412-AC83-E0AE6998A9B4}" name="Des." dataDxfId="17" dataCellStyle="Porcentagem">
      <calculatedColumnFormula array="1">INDEX('Cadastros Auxiliares'!$B$8:$E$13,_xlfn.XMATCH(TB_Vendas[[#This Row],[Qtd]],'Cadastros Auxiliares'!$B$8:$B$13,-1),_xlfn.XMATCH(_xlfn.XLOOKUP(TB_Vendas[[#This Row],[Código]],TB_Produtos[Código],TB_Produtos[Categoria]),'Cadastros Auxiliares'!$B$8:$E$8,0))</calculatedColumnFormula>
    </tableColumn>
    <tableColumn id="3" xr3:uid="{966BFC56-48CD-4FA1-A82F-E522962BDAC3}" name="Des. Vendedor" dataDxfId="8" dataCellStyle="Porcentagem">
      <calculatedColumnFormula>_xlfn.XLOOKUP(TB_Vendas[[#This Row],[Vendedor]],TB_Vendedor[Código],TB_Vendedor[Desc. Máximo])</calculatedColumnFormula>
    </tableColumn>
    <tableColumn id="4" xr3:uid="{7AD5328B-FE80-47BD-BEBB-E139935F60DA}" name="Desconto" dataDxfId="0" dataCellStyle="Porcentagem">
      <calculatedColumnFormula>IF(TB_Vendas[[#This Row],[Des.]]&lt;=TB_Vendas[[#This Row],[Des. Vendedor]],TB_Vendas[[#This Row],[Des.]],TB_Vendas[[#This Row],[Des. Vendedor]])</calculatedColumnFormula>
    </tableColumn>
    <tableColumn id="6" xr3:uid="{9459B662-6A4F-4486-82B1-12F67B8F842E}" name="Total" dataDxfId="19">
      <calculatedColumnFormula>TB_Vendas[[#This Row],[Preço Unitário]]*TB_Vendas[[#This Row],[Qtd]]</calculatedColumnFormula>
    </tableColumn>
    <tableColumn id="8" xr3:uid="{192FEBCA-1287-48A6-9BE6-69528F71C305}" name="Vendedor" dataDxfId="1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/>
  <cols>
    <col min="1" max="5" width="8.88671875" style="32" customWidth="1"/>
    <col min="6" max="12" width="8.88671875" customWidth="1"/>
    <col min="13" max="16384" width="8.88671875" hidden="1"/>
  </cols>
  <sheetData>
    <row r="1" spans="1:12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2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2">
      <c r="F7" s="32"/>
      <c r="G7" s="32"/>
      <c r="H7" s="32"/>
      <c r="I7" s="32"/>
      <c r="J7" s="32"/>
      <c r="K7" s="32"/>
      <c r="L7" s="32"/>
    </row>
    <row r="8" spans="1:12">
      <c r="F8" s="32"/>
      <c r="G8" s="32"/>
      <c r="H8" s="32"/>
      <c r="I8" s="32"/>
      <c r="J8" s="32"/>
      <c r="K8" s="32"/>
      <c r="L8" s="32"/>
    </row>
    <row r="9" spans="1:12">
      <c r="F9" s="32"/>
      <c r="G9" s="32"/>
      <c r="H9" s="32"/>
      <c r="I9" s="32"/>
      <c r="J9" s="32"/>
      <c r="K9" s="32"/>
      <c r="L9" s="32"/>
    </row>
    <row r="10" spans="1:12">
      <c r="F10" s="32"/>
      <c r="G10" s="32"/>
      <c r="H10" s="32"/>
      <c r="I10" s="32"/>
      <c r="J10" s="32"/>
      <c r="K10" s="32"/>
      <c r="L10" s="32"/>
    </row>
    <row r="11" spans="1:12">
      <c r="F11" s="32"/>
      <c r="G11" s="32"/>
      <c r="H11" s="32"/>
      <c r="I11" s="32"/>
      <c r="J11" s="32"/>
      <c r="K11" s="32"/>
      <c r="L11" s="32"/>
    </row>
    <row r="12" spans="1:12">
      <c r="F12" s="32"/>
      <c r="G12" s="32"/>
      <c r="H12" s="32"/>
      <c r="I12" s="32"/>
      <c r="J12" s="32"/>
      <c r="K12" s="32"/>
      <c r="L12" s="32"/>
    </row>
    <row r="13" spans="1:12">
      <c r="F13" s="32"/>
      <c r="G13" s="32"/>
      <c r="H13" s="32"/>
      <c r="I13" s="32"/>
      <c r="J13" s="32"/>
      <c r="K13" s="32"/>
      <c r="L13" s="32"/>
    </row>
    <row r="14" spans="1:12">
      <c r="F14" s="32"/>
      <c r="G14" s="32"/>
      <c r="H14" s="32"/>
      <c r="I14" s="32"/>
      <c r="J14" s="32"/>
      <c r="K14" s="32"/>
      <c r="L14" s="32"/>
    </row>
    <row r="15" spans="1:12">
      <c r="F15" s="32"/>
      <c r="G15" s="32"/>
      <c r="H15" s="32"/>
      <c r="I15" s="32"/>
      <c r="J15" s="32"/>
      <c r="K15" s="32"/>
      <c r="L15" s="32"/>
    </row>
    <row r="16" spans="1:12">
      <c r="F16" s="32"/>
      <c r="G16" s="32"/>
      <c r="H16" s="32"/>
      <c r="I16" s="32"/>
      <c r="J16" s="32"/>
      <c r="K16" s="32"/>
      <c r="L16" s="32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7"/>
  <sheetViews>
    <sheetView showGridLines="0" topLeftCell="A7" zoomScale="140" zoomScaleNormal="140" workbookViewId="0">
      <selection activeCell="A68" sqref="A68:XFD1048576"/>
    </sheetView>
  </sheetViews>
  <sheetFormatPr defaultColWidth="0" defaultRowHeight="14.4" zeroHeight="1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style="1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32" customFormat="1" ht="40.200000000000003" customHeight="1">
      <c r="A1" s="35"/>
      <c r="B1" s="39" t="s">
        <v>134</v>
      </c>
      <c r="C1" s="39"/>
      <c r="D1" s="39"/>
      <c r="E1" s="54"/>
      <c r="F1" s="39"/>
      <c r="G1" s="39"/>
      <c r="H1" s="37"/>
      <c r="I1" s="37"/>
    </row>
    <row r="2" spans="1:9" s="33" customFormat="1" ht="4.5" customHeight="1">
      <c r="A2" s="36"/>
      <c r="B2" s="36"/>
      <c r="C2" s="36"/>
      <c r="D2" s="36"/>
      <c r="E2" s="36"/>
      <c r="F2" s="36"/>
    </row>
    <row r="3" spans="1:9" ht="4.5" customHeight="1">
      <c r="A3" s="34"/>
      <c r="B3" s="34"/>
      <c r="C3" s="34"/>
      <c r="D3" s="34"/>
      <c r="E3" s="34"/>
      <c r="F3" s="34"/>
    </row>
    <row r="4" spans="1:9" ht="18" customHeight="1">
      <c r="A4" s="38"/>
      <c r="B4" s="38"/>
      <c r="D4" s="34"/>
      <c r="E4" s="34"/>
      <c r="F4" s="34"/>
    </row>
    <row r="5" spans="1:9" ht="4.95" customHeight="1">
      <c r="A5" s="34"/>
      <c r="B5" s="34"/>
      <c r="C5" s="34"/>
      <c r="D5" s="34"/>
      <c r="E5" s="34"/>
      <c r="F5" s="34"/>
    </row>
    <row r="6" spans="1:9" s="1" customFormat="1" ht="18">
      <c r="B6" s="97" t="s">
        <v>30</v>
      </c>
      <c r="C6" s="97" t="s">
        <v>0</v>
      </c>
      <c r="D6" s="97" t="s">
        <v>1</v>
      </c>
      <c r="E6" s="97" t="s">
        <v>10</v>
      </c>
      <c r="F6" s="97" t="s">
        <v>77</v>
      </c>
      <c r="G6" s="97" t="s">
        <v>11</v>
      </c>
      <c r="H6" s="31"/>
    </row>
    <row r="7" spans="1:9">
      <c r="B7" s="98" t="s">
        <v>32</v>
      </c>
      <c r="C7" s="45" t="s">
        <v>5</v>
      </c>
      <c r="D7" s="98" t="s">
        <v>2</v>
      </c>
      <c r="E7" s="98" t="s">
        <v>12</v>
      </c>
      <c r="F7" s="98">
        <v>48</v>
      </c>
      <c r="G7" s="99">
        <v>65.900000000000006</v>
      </c>
    </row>
    <row r="8" spans="1:9">
      <c r="B8" s="98" t="s">
        <v>33</v>
      </c>
      <c r="C8" s="45" t="s">
        <v>5</v>
      </c>
      <c r="D8" s="98" t="s">
        <v>3</v>
      </c>
      <c r="E8" s="98" t="s">
        <v>12</v>
      </c>
      <c r="F8" s="98">
        <v>17</v>
      </c>
      <c r="G8" s="99">
        <v>69.900000000000006</v>
      </c>
    </row>
    <row r="9" spans="1:9">
      <c r="B9" s="98" t="s">
        <v>34</v>
      </c>
      <c r="C9" s="45" t="s">
        <v>5</v>
      </c>
      <c r="D9" s="98" t="s">
        <v>4</v>
      </c>
      <c r="E9" s="98" t="s">
        <v>12</v>
      </c>
      <c r="F9" s="98">
        <v>37</v>
      </c>
      <c r="G9" s="99">
        <v>70.900000000000006</v>
      </c>
    </row>
    <row r="10" spans="1:9">
      <c r="B10" s="98" t="s">
        <v>35</v>
      </c>
      <c r="C10" s="45" t="s">
        <v>29</v>
      </c>
      <c r="D10" s="98" t="s">
        <v>8</v>
      </c>
      <c r="E10" s="98" t="s">
        <v>13</v>
      </c>
      <c r="F10" s="98">
        <v>6</v>
      </c>
      <c r="G10" s="99">
        <v>145</v>
      </c>
    </row>
    <row r="11" spans="1:9">
      <c r="B11" s="98" t="s">
        <v>36</v>
      </c>
      <c r="C11" s="45" t="s">
        <v>28</v>
      </c>
      <c r="D11" s="98" t="s">
        <v>8</v>
      </c>
      <c r="E11" s="98" t="s">
        <v>13</v>
      </c>
      <c r="F11" s="98">
        <v>21</v>
      </c>
      <c r="G11" s="99">
        <v>259.89999999999998</v>
      </c>
    </row>
    <row r="12" spans="1:9">
      <c r="B12" s="98" t="s">
        <v>37</v>
      </c>
      <c r="C12" s="45" t="s">
        <v>6</v>
      </c>
      <c r="D12" s="98" t="s">
        <v>8</v>
      </c>
      <c r="E12" s="98" t="s">
        <v>13</v>
      </c>
      <c r="F12" s="98">
        <v>23</v>
      </c>
      <c r="G12" s="99">
        <v>39.9</v>
      </c>
    </row>
    <row r="13" spans="1:9">
      <c r="B13" s="98" t="s">
        <v>38</v>
      </c>
      <c r="C13" s="45" t="s">
        <v>23</v>
      </c>
      <c r="D13" s="98" t="s">
        <v>2</v>
      </c>
      <c r="E13" s="98" t="s">
        <v>12</v>
      </c>
      <c r="F13" s="98">
        <v>24</v>
      </c>
      <c r="G13" s="99">
        <v>85.9</v>
      </c>
    </row>
    <row r="14" spans="1:9">
      <c r="B14" s="98" t="s">
        <v>39</v>
      </c>
      <c r="C14" s="45" t="s">
        <v>23</v>
      </c>
      <c r="D14" s="98" t="s">
        <v>3</v>
      </c>
      <c r="E14" s="98" t="s">
        <v>12</v>
      </c>
      <c r="F14" s="98">
        <v>35</v>
      </c>
      <c r="G14" s="99">
        <v>89.9</v>
      </c>
    </row>
    <row r="15" spans="1:9">
      <c r="B15" s="98" t="s">
        <v>40</v>
      </c>
      <c r="C15" s="45" t="s">
        <v>23</v>
      </c>
      <c r="D15" s="98" t="s">
        <v>4</v>
      </c>
      <c r="E15" s="98" t="s">
        <v>12</v>
      </c>
      <c r="F15" s="98">
        <v>47</v>
      </c>
      <c r="G15" s="99">
        <v>92.9</v>
      </c>
    </row>
    <row r="16" spans="1:9">
      <c r="B16" s="98" t="s">
        <v>41</v>
      </c>
      <c r="C16" s="45" t="s">
        <v>26</v>
      </c>
      <c r="D16" s="98" t="s">
        <v>2</v>
      </c>
      <c r="E16" s="98" t="s">
        <v>12</v>
      </c>
      <c r="F16" s="98">
        <v>42</v>
      </c>
      <c r="G16" s="99">
        <v>44.9</v>
      </c>
    </row>
    <row r="17" spans="2:7">
      <c r="B17" s="98" t="s">
        <v>42</v>
      </c>
      <c r="C17" s="45" t="s">
        <v>26</v>
      </c>
      <c r="D17" s="98" t="s">
        <v>3</v>
      </c>
      <c r="E17" s="98" t="s">
        <v>12</v>
      </c>
      <c r="F17" s="98">
        <v>32</v>
      </c>
      <c r="G17" s="99">
        <v>46.9</v>
      </c>
    </row>
    <row r="18" spans="2:7">
      <c r="B18" s="98" t="s">
        <v>43</v>
      </c>
      <c r="C18" s="45" t="s">
        <v>26</v>
      </c>
      <c r="D18" s="98" t="s">
        <v>4</v>
      </c>
      <c r="E18" s="98" t="s">
        <v>12</v>
      </c>
      <c r="F18" s="98">
        <v>45</v>
      </c>
      <c r="G18" s="99">
        <v>48.9</v>
      </c>
    </row>
    <row r="19" spans="2:7">
      <c r="B19" s="98" t="s">
        <v>44</v>
      </c>
      <c r="C19" s="45" t="s">
        <v>18</v>
      </c>
      <c r="D19" s="98" t="s">
        <v>2</v>
      </c>
      <c r="E19" s="98" t="s">
        <v>12</v>
      </c>
      <c r="F19" s="98">
        <v>19</v>
      </c>
      <c r="G19" s="99">
        <v>39.9</v>
      </c>
    </row>
    <row r="20" spans="2:7">
      <c r="B20" s="98" t="s">
        <v>45</v>
      </c>
      <c r="C20" s="45" t="s">
        <v>18</v>
      </c>
      <c r="D20" s="98" t="s">
        <v>3</v>
      </c>
      <c r="E20" s="98" t="s">
        <v>12</v>
      </c>
      <c r="F20" s="98">
        <v>37</v>
      </c>
      <c r="G20" s="99">
        <v>39.9</v>
      </c>
    </row>
    <row r="21" spans="2:7">
      <c r="B21" s="98" t="s">
        <v>46</v>
      </c>
      <c r="C21" s="45" t="s">
        <v>18</v>
      </c>
      <c r="D21" s="98" t="s">
        <v>4</v>
      </c>
      <c r="E21" s="98" t="s">
        <v>12</v>
      </c>
      <c r="F21" s="98">
        <v>16</v>
      </c>
      <c r="G21" s="99">
        <v>42.5</v>
      </c>
    </row>
    <row r="22" spans="2:7">
      <c r="B22" s="98" t="s">
        <v>47</v>
      </c>
      <c r="C22" s="45" t="s">
        <v>9</v>
      </c>
      <c r="D22" s="98" t="s">
        <v>2</v>
      </c>
      <c r="E22" s="98" t="s">
        <v>12</v>
      </c>
      <c r="F22" s="98">
        <v>43</v>
      </c>
      <c r="G22" s="99">
        <v>25.9</v>
      </c>
    </row>
    <row r="23" spans="2:7">
      <c r="B23" s="98" t="s">
        <v>48</v>
      </c>
      <c r="C23" s="45" t="s">
        <v>17</v>
      </c>
      <c r="D23" s="98" t="s">
        <v>3</v>
      </c>
      <c r="E23" s="98" t="s">
        <v>12</v>
      </c>
      <c r="F23" s="98">
        <v>46</v>
      </c>
      <c r="G23" s="99">
        <v>29.9</v>
      </c>
    </row>
    <row r="24" spans="2:7">
      <c r="B24" s="98" t="s">
        <v>49</v>
      </c>
      <c r="C24" s="45" t="s">
        <v>17</v>
      </c>
      <c r="D24" s="98" t="s">
        <v>4</v>
      </c>
      <c r="E24" s="98" t="s">
        <v>12</v>
      </c>
      <c r="F24" s="98">
        <v>40</v>
      </c>
      <c r="G24" s="99">
        <v>32.9</v>
      </c>
    </row>
    <row r="25" spans="2:7">
      <c r="B25" s="98" t="s">
        <v>50</v>
      </c>
      <c r="C25" s="45" t="s">
        <v>7</v>
      </c>
      <c r="D25" s="98" t="s">
        <v>8</v>
      </c>
      <c r="E25" s="98" t="s">
        <v>13</v>
      </c>
      <c r="F25" s="98">
        <v>5</v>
      </c>
      <c r="G25" s="99">
        <v>49.9</v>
      </c>
    </row>
    <row r="26" spans="2:7">
      <c r="B26" s="98" t="s">
        <v>51</v>
      </c>
      <c r="C26" s="45" t="s">
        <v>22</v>
      </c>
      <c r="D26" s="98" t="s">
        <v>2</v>
      </c>
      <c r="E26" s="98" t="s">
        <v>12</v>
      </c>
      <c r="F26" s="98">
        <v>34</v>
      </c>
      <c r="G26" s="99">
        <v>299.89999999999998</v>
      </c>
    </row>
    <row r="27" spans="2:7">
      <c r="B27" s="98" t="s">
        <v>52</v>
      </c>
      <c r="C27" s="45" t="s">
        <v>22</v>
      </c>
      <c r="D27" s="98" t="s">
        <v>3</v>
      </c>
      <c r="E27" s="98" t="s">
        <v>12</v>
      </c>
      <c r="F27" s="98">
        <v>34</v>
      </c>
      <c r="G27" s="99">
        <v>302.89999999999998</v>
      </c>
    </row>
    <row r="28" spans="2:7">
      <c r="B28" s="98" t="s">
        <v>53</v>
      </c>
      <c r="C28" s="45" t="s">
        <v>22</v>
      </c>
      <c r="D28" s="98" t="s">
        <v>4</v>
      </c>
      <c r="E28" s="98" t="s">
        <v>12</v>
      </c>
      <c r="F28" s="98">
        <v>35</v>
      </c>
      <c r="G28" s="99">
        <v>300</v>
      </c>
    </row>
    <row r="29" spans="2:7">
      <c r="B29" s="98" t="s">
        <v>54</v>
      </c>
      <c r="C29" s="45" t="s">
        <v>21</v>
      </c>
      <c r="D29" s="98" t="s">
        <v>2</v>
      </c>
      <c r="E29" s="98" t="s">
        <v>12</v>
      </c>
      <c r="F29" s="98">
        <v>49</v>
      </c>
      <c r="G29" s="99">
        <v>249.9</v>
      </c>
    </row>
    <row r="30" spans="2:7">
      <c r="B30" s="98" t="s">
        <v>55</v>
      </c>
      <c r="C30" s="45" t="s">
        <v>21</v>
      </c>
      <c r="D30" s="98" t="s">
        <v>3</v>
      </c>
      <c r="E30" s="98" t="s">
        <v>12</v>
      </c>
      <c r="F30" s="98">
        <v>16</v>
      </c>
      <c r="G30" s="99">
        <v>259.89999999999998</v>
      </c>
    </row>
    <row r="31" spans="2:7">
      <c r="B31" s="98" t="s">
        <v>56</v>
      </c>
      <c r="C31" s="45" t="s">
        <v>21</v>
      </c>
      <c r="D31" s="98" t="s">
        <v>4</v>
      </c>
      <c r="E31" s="98" t="s">
        <v>12</v>
      </c>
      <c r="F31" s="98">
        <v>41</v>
      </c>
      <c r="G31" s="99">
        <v>299.89999999999998</v>
      </c>
    </row>
    <row r="32" spans="2:7">
      <c r="B32" s="98" t="s">
        <v>57</v>
      </c>
      <c r="C32" s="45" t="s">
        <v>20</v>
      </c>
      <c r="D32" s="98" t="s">
        <v>8</v>
      </c>
      <c r="E32" s="98" t="s">
        <v>13</v>
      </c>
      <c r="F32" s="98">
        <v>32</v>
      </c>
      <c r="G32" s="99">
        <v>349.9</v>
      </c>
    </row>
    <row r="33" spans="2:7">
      <c r="B33" s="98" t="s">
        <v>58</v>
      </c>
      <c r="C33" s="45" t="s">
        <v>19</v>
      </c>
      <c r="D33" s="98" t="s">
        <v>8</v>
      </c>
      <c r="E33" s="98" t="s">
        <v>13</v>
      </c>
      <c r="F33" s="98">
        <v>45</v>
      </c>
      <c r="G33" s="99">
        <v>120</v>
      </c>
    </row>
    <row r="34" spans="2:7">
      <c r="B34" s="98" t="s">
        <v>59</v>
      </c>
      <c r="C34" s="45" t="s">
        <v>27</v>
      </c>
      <c r="D34" s="98">
        <v>36</v>
      </c>
      <c r="E34" s="98" t="s">
        <v>14</v>
      </c>
      <c r="F34" s="98">
        <v>37</v>
      </c>
      <c r="G34" s="99">
        <v>249.9</v>
      </c>
    </row>
    <row r="35" spans="2:7">
      <c r="B35" s="98" t="s">
        <v>60</v>
      </c>
      <c r="C35" s="45" t="s">
        <v>27</v>
      </c>
      <c r="D35" s="98">
        <v>37</v>
      </c>
      <c r="E35" s="98" t="s">
        <v>14</v>
      </c>
      <c r="F35" s="98">
        <v>41</v>
      </c>
      <c r="G35" s="99">
        <v>255</v>
      </c>
    </row>
    <row r="36" spans="2:7">
      <c r="B36" s="98" t="s">
        <v>61</v>
      </c>
      <c r="C36" s="45" t="s">
        <v>27</v>
      </c>
      <c r="D36" s="98">
        <v>38</v>
      </c>
      <c r="E36" s="98" t="s">
        <v>14</v>
      </c>
      <c r="F36" s="98">
        <v>30</v>
      </c>
      <c r="G36" s="99">
        <v>259.89999999999998</v>
      </c>
    </row>
    <row r="37" spans="2:7">
      <c r="B37" s="98" t="s">
        <v>62</v>
      </c>
      <c r="C37" s="45" t="s">
        <v>124</v>
      </c>
      <c r="D37" s="98">
        <v>36</v>
      </c>
      <c r="E37" s="98" t="s">
        <v>14</v>
      </c>
      <c r="F37" s="98">
        <v>27</v>
      </c>
      <c r="G37" s="99">
        <v>245</v>
      </c>
    </row>
    <row r="38" spans="2:7">
      <c r="B38" s="98" t="s">
        <v>63</v>
      </c>
      <c r="C38" s="45" t="s">
        <v>124</v>
      </c>
      <c r="D38" s="98">
        <v>37</v>
      </c>
      <c r="E38" s="98" t="s">
        <v>14</v>
      </c>
      <c r="F38" s="98">
        <v>41</v>
      </c>
      <c r="G38" s="99">
        <v>250</v>
      </c>
    </row>
    <row r="39" spans="2:7">
      <c r="B39" s="98" t="s">
        <v>64</v>
      </c>
      <c r="C39" s="45" t="s">
        <v>124</v>
      </c>
      <c r="D39" s="98">
        <v>38</v>
      </c>
      <c r="E39" s="98" t="s">
        <v>14</v>
      </c>
      <c r="F39" s="98">
        <v>43</v>
      </c>
      <c r="G39" s="99">
        <v>259.89999999999998</v>
      </c>
    </row>
    <row r="40" spans="2:7">
      <c r="B40" s="98" t="s">
        <v>65</v>
      </c>
      <c r="C40" s="45" t="s">
        <v>25</v>
      </c>
      <c r="D40" s="98" t="s">
        <v>2</v>
      </c>
      <c r="E40" s="98" t="s">
        <v>12</v>
      </c>
      <c r="F40" s="98">
        <v>43</v>
      </c>
      <c r="G40" s="99">
        <v>89.9</v>
      </c>
    </row>
    <row r="41" spans="2:7">
      <c r="B41" s="98" t="s">
        <v>66</v>
      </c>
      <c r="C41" s="45" t="s">
        <v>25</v>
      </c>
      <c r="D41" s="98" t="s">
        <v>3</v>
      </c>
      <c r="E41" s="98" t="s">
        <v>12</v>
      </c>
      <c r="F41" s="98">
        <v>18</v>
      </c>
      <c r="G41" s="99">
        <v>91.4</v>
      </c>
    </row>
    <row r="42" spans="2:7">
      <c r="B42" s="98" t="s">
        <v>67</v>
      </c>
      <c r="C42" s="45" t="s">
        <v>25</v>
      </c>
      <c r="D42" s="98" t="s">
        <v>4</v>
      </c>
      <c r="E42" s="98" t="s">
        <v>12</v>
      </c>
      <c r="F42" s="98">
        <v>45</v>
      </c>
      <c r="G42" s="99">
        <v>93.5</v>
      </c>
    </row>
    <row r="43" spans="2:7">
      <c r="B43" s="98" t="s">
        <v>68</v>
      </c>
      <c r="C43" s="45" t="s">
        <v>24</v>
      </c>
      <c r="D43" s="98" t="s">
        <v>2</v>
      </c>
      <c r="E43" s="98" t="s">
        <v>12</v>
      </c>
      <c r="F43" s="98">
        <v>34</v>
      </c>
      <c r="G43" s="99">
        <v>140</v>
      </c>
    </row>
    <row r="44" spans="2:7">
      <c r="B44" s="98" t="s">
        <v>69</v>
      </c>
      <c r="C44" s="45" t="s">
        <v>24</v>
      </c>
      <c r="D44" s="98" t="s">
        <v>3</v>
      </c>
      <c r="E44" s="98" t="s">
        <v>12</v>
      </c>
      <c r="F44" s="98">
        <v>47</v>
      </c>
      <c r="G44" s="99">
        <v>142.9</v>
      </c>
    </row>
    <row r="45" spans="2:7">
      <c r="B45" s="98" t="s">
        <v>70</v>
      </c>
      <c r="C45" s="45" t="s">
        <v>24</v>
      </c>
      <c r="D45" s="98" t="s">
        <v>4</v>
      </c>
      <c r="E45" s="98" t="s">
        <v>12</v>
      </c>
      <c r="F45" s="98">
        <v>50</v>
      </c>
      <c r="G45" s="99">
        <v>146</v>
      </c>
    </row>
    <row r="46" spans="2:7">
      <c r="B46" s="98" t="s">
        <v>96</v>
      </c>
      <c r="C46" s="45" t="s">
        <v>120</v>
      </c>
      <c r="D46" s="98" t="s">
        <v>2</v>
      </c>
      <c r="E46" s="98" t="s">
        <v>12</v>
      </c>
      <c r="F46" s="98">
        <v>16</v>
      </c>
      <c r="G46" s="100">
        <v>70</v>
      </c>
    </row>
    <row r="47" spans="2:7">
      <c r="B47" s="98" t="s">
        <v>97</v>
      </c>
      <c r="C47" s="45" t="s">
        <v>120</v>
      </c>
      <c r="D47" s="98" t="s">
        <v>3</v>
      </c>
      <c r="E47" s="98" t="s">
        <v>12</v>
      </c>
      <c r="F47" s="98">
        <v>21</v>
      </c>
      <c r="G47" s="100">
        <v>54.9</v>
      </c>
    </row>
    <row r="48" spans="2:7">
      <c r="B48" s="98" t="s">
        <v>98</v>
      </c>
      <c r="C48" s="45" t="s">
        <v>120</v>
      </c>
      <c r="D48" s="98" t="s">
        <v>4</v>
      </c>
      <c r="E48" s="98" t="s">
        <v>12</v>
      </c>
      <c r="F48" s="98">
        <v>43</v>
      </c>
      <c r="G48" s="100">
        <v>54.9</v>
      </c>
    </row>
    <row r="49" spans="2:7">
      <c r="B49" s="98" t="s">
        <v>99</v>
      </c>
      <c r="C49" s="45" t="s">
        <v>100</v>
      </c>
      <c r="D49" s="98" t="s">
        <v>2</v>
      </c>
      <c r="E49" s="98" t="s">
        <v>12</v>
      </c>
      <c r="F49" s="98">
        <v>10</v>
      </c>
      <c r="G49" s="100">
        <v>72.5</v>
      </c>
    </row>
    <row r="50" spans="2:7">
      <c r="B50" s="98" t="s">
        <v>101</v>
      </c>
      <c r="C50" s="45" t="s">
        <v>100</v>
      </c>
      <c r="D50" s="98" t="s">
        <v>3</v>
      </c>
      <c r="E50" s="98" t="s">
        <v>12</v>
      </c>
      <c r="F50" s="98">
        <v>41</v>
      </c>
      <c r="G50" s="100">
        <v>72.5</v>
      </c>
    </row>
    <row r="51" spans="2:7">
      <c r="B51" s="98" t="s">
        <v>102</v>
      </c>
      <c r="C51" s="45" t="s">
        <v>100</v>
      </c>
      <c r="D51" s="98" t="s">
        <v>4</v>
      </c>
      <c r="E51" s="98" t="s">
        <v>12</v>
      </c>
      <c r="F51" s="98">
        <v>49</v>
      </c>
      <c r="G51" s="100">
        <v>72.5</v>
      </c>
    </row>
    <row r="52" spans="2:7">
      <c r="B52" s="98" t="s">
        <v>103</v>
      </c>
      <c r="C52" s="45" t="s">
        <v>104</v>
      </c>
      <c r="D52" s="98" t="s">
        <v>2</v>
      </c>
      <c r="E52" s="98" t="s">
        <v>12</v>
      </c>
      <c r="F52" s="98">
        <v>15</v>
      </c>
      <c r="G52" s="100">
        <v>289.89999999999998</v>
      </c>
    </row>
    <row r="53" spans="2:7">
      <c r="B53" s="98" t="s">
        <v>105</v>
      </c>
      <c r="C53" s="45" t="s">
        <v>104</v>
      </c>
      <c r="D53" s="98" t="s">
        <v>3</v>
      </c>
      <c r="E53" s="98" t="s">
        <v>12</v>
      </c>
      <c r="F53" s="98">
        <v>34</v>
      </c>
      <c r="G53" s="100">
        <v>289.89999999999998</v>
      </c>
    </row>
    <row r="54" spans="2:7">
      <c r="B54" s="98" t="s">
        <v>106</v>
      </c>
      <c r="C54" s="45" t="s">
        <v>104</v>
      </c>
      <c r="D54" s="98" t="s">
        <v>4</v>
      </c>
      <c r="E54" s="98" t="s">
        <v>12</v>
      </c>
      <c r="F54" s="98">
        <v>21</v>
      </c>
      <c r="G54" s="100">
        <v>289.89999999999998</v>
      </c>
    </row>
    <row r="55" spans="2:7">
      <c r="B55" s="98" t="s">
        <v>107</v>
      </c>
      <c r="C55" s="45" t="s">
        <v>108</v>
      </c>
      <c r="D55" s="98" t="s">
        <v>2</v>
      </c>
      <c r="E55" s="98" t="s">
        <v>12</v>
      </c>
      <c r="F55" s="98">
        <v>40</v>
      </c>
      <c r="G55" s="100">
        <v>32.9</v>
      </c>
    </row>
    <row r="56" spans="2:7">
      <c r="B56" s="98" t="s">
        <v>109</v>
      </c>
      <c r="C56" s="45" t="s">
        <v>108</v>
      </c>
      <c r="D56" s="98" t="s">
        <v>3</v>
      </c>
      <c r="E56" s="98" t="s">
        <v>12</v>
      </c>
      <c r="F56" s="98">
        <v>42</v>
      </c>
      <c r="G56" s="100">
        <v>32.9</v>
      </c>
    </row>
    <row r="57" spans="2:7">
      <c r="B57" s="98" t="s">
        <v>110</v>
      </c>
      <c r="C57" s="45" t="s">
        <v>108</v>
      </c>
      <c r="D57" s="98" t="s">
        <v>4</v>
      </c>
      <c r="E57" s="98" t="s">
        <v>12</v>
      </c>
      <c r="F57" s="98">
        <v>48</v>
      </c>
      <c r="G57" s="100">
        <v>32.9</v>
      </c>
    </row>
    <row r="58" spans="2:7">
      <c r="B58" s="98" t="s">
        <v>111</v>
      </c>
      <c r="C58" s="45" t="s">
        <v>112</v>
      </c>
      <c r="D58" s="98" t="s">
        <v>2</v>
      </c>
      <c r="E58" s="98" t="s">
        <v>12</v>
      </c>
      <c r="F58" s="98">
        <v>35</v>
      </c>
      <c r="G58" s="100">
        <v>49.9</v>
      </c>
    </row>
    <row r="59" spans="2:7">
      <c r="B59" s="98" t="s">
        <v>113</v>
      </c>
      <c r="C59" s="45" t="s">
        <v>112</v>
      </c>
      <c r="D59" s="98" t="s">
        <v>3</v>
      </c>
      <c r="E59" s="98" t="s">
        <v>12</v>
      </c>
      <c r="F59" s="98">
        <v>40</v>
      </c>
      <c r="G59" s="100">
        <v>49.9</v>
      </c>
    </row>
    <row r="60" spans="2:7">
      <c r="B60" s="98" t="s">
        <v>114</v>
      </c>
      <c r="C60" s="45" t="s">
        <v>112</v>
      </c>
      <c r="D60" s="98" t="s">
        <v>4</v>
      </c>
      <c r="E60" s="98" t="s">
        <v>12</v>
      </c>
      <c r="F60" s="98">
        <v>18</v>
      </c>
      <c r="G60" s="100">
        <v>49.9</v>
      </c>
    </row>
    <row r="61" spans="2:7">
      <c r="B61" s="98" t="s">
        <v>115</v>
      </c>
      <c r="C61" s="45" t="s">
        <v>117</v>
      </c>
      <c r="D61" s="98">
        <v>35</v>
      </c>
      <c r="E61" s="98" t="s">
        <v>14</v>
      </c>
      <c r="F61" s="98">
        <v>48</v>
      </c>
      <c r="G61" s="100">
        <v>89.9</v>
      </c>
    </row>
    <row r="62" spans="2:7">
      <c r="B62" s="98" t="s">
        <v>116</v>
      </c>
      <c r="C62" s="45" t="s">
        <v>117</v>
      </c>
      <c r="D62" s="98">
        <v>36</v>
      </c>
      <c r="E62" s="98" t="s">
        <v>14</v>
      </c>
      <c r="F62" s="98">
        <v>38</v>
      </c>
      <c r="G62" s="99">
        <v>89.9</v>
      </c>
    </row>
    <row r="63" spans="2:7">
      <c r="B63" s="98" t="s">
        <v>118</v>
      </c>
      <c r="C63" s="45" t="s">
        <v>117</v>
      </c>
      <c r="D63" s="98">
        <v>37</v>
      </c>
      <c r="E63" s="98" t="s">
        <v>14</v>
      </c>
      <c r="F63" s="98">
        <v>45</v>
      </c>
      <c r="G63" s="99">
        <v>89.9</v>
      </c>
    </row>
    <row r="64" spans="2:7">
      <c r="B64" s="98" t="s">
        <v>119</v>
      </c>
      <c r="C64" s="45" t="s">
        <v>121</v>
      </c>
      <c r="D64" s="98" t="s">
        <v>2</v>
      </c>
      <c r="E64" s="98" t="s">
        <v>12</v>
      </c>
      <c r="F64" s="98">
        <v>40</v>
      </c>
      <c r="G64" s="99">
        <v>180</v>
      </c>
    </row>
    <row r="65" spans="2:7">
      <c r="B65" s="98" t="s">
        <v>122</v>
      </c>
      <c r="C65" s="45" t="s">
        <v>121</v>
      </c>
      <c r="D65" s="98" t="s">
        <v>3</v>
      </c>
      <c r="E65" s="98" t="s">
        <v>12</v>
      </c>
      <c r="F65" s="98">
        <v>0</v>
      </c>
      <c r="G65" s="99">
        <v>180</v>
      </c>
    </row>
    <row r="66" spans="2:7">
      <c r="B66" s="98" t="s">
        <v>123</v>
      </c>
      <c r="C66" s="45" t="s">
        <v>121</v>
      </c>
      <c r="D66" s="98" t="s">
        <v>4</v>
      </c>
      <c r="E66" s="98" t="s">
        <v>12</v>
      </c>
      <c r="F66" s="98">
        <v>35</v>
      </c>
      <c r="G66" s="99">
        <v>180</v>
      </c>
    </row>
    <row r="67" spans="2:7"/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G11"/>
  <sheetViews>
    <sheetView workbookViewId="0">
      <selection activeCell="D10" sqref="D10"/>
    </sheetView>
  </sheetViews>
  <sheetFormatPr defaultColWidth="0" defaultRowHeight="14.4" zeroHeight="1"/>
  <cols>
    <col min="1" max="1" width="10.44140625" customWidth="1"/>
    <col min="2" max="2" width="12.5546875" customWidth="1"/>
    <col min="3" max="3" width="18.33203125" customWidth="1"/>
    <col min="4" max="4" width="26.88671875" customWidth="1"/>
    <col min="5" max="5" width="27.6640625" customWidth="1"/>
    <col min="6" max="6" width="26.88671875" customWidth="1"/>
    <col min="7" max="7" width="3.33203125" style="115" customWidth="1"/>
    <col min="8" max="16384" width="8.88671875" hidden="1"/>
  </cols>
  <sheetData>
    <row r="1" spans="1:6" s="32" customFormat="1" ht="40.200000000000003" customHeight="1">
      <c r="A1" s="35"/>
      <c r="B1" s="62" t="s">
        <v>134</v>
      </c>
      <c r="C1" s="62"/>
      <c r="D1" s="62"/>
      <c r="E1" s="37"/>
    </row>
    <row r="2" spans="1:6" s="33" customFormat="1" ht="4.5" customHeight="1">
      <c r="A2" s="36"/>
      <c r="B2" s="36"/>
    </row>
    <row r="3" spans="1:6" s="115" customFormat="1" ht="4.5" customHeight="1">
      <c r="A3" s="114"/>
      <c r="B3" s="114"/>
    </row>
    <row r="4" spans="1:6" s="115" customFormat="1"/>
    <row r="5" spans="1:6" ht="22.5" customHeight="1">
      <c r="A5" s="115"/>
      <c r="B5" s="115"/>
      <c r="C5" s="124" t="s">
        <v>30</v>
      </c>
      <c r="D5" s="125" t="s">
        <v>74</v>
      </c>
      <c r="E5" s="125" t="s">
        <v>146</v>
      </c>
      <c r="F5" s="126" t="s">
        <v>147</v>
      </c>
    </row>
    <row r="6" spans="1:6" ht="22.5" customHeight="1">
      <c r="A6" s="115"/>
      <c r="B6" s="115"/>
      <c r="C6" s="122" t="s">
        <v>126</v>
      </c>
      <c r="D6" s="117" t="s">
        <v>73</v>
      </c>
      <c r="E6" s="117" t="s">
        <v>148</v>
      </c>
      <c r="F6" s="123">
        <v>0.2</v>
      </c>
    </row>
    <row r="7" spans="1:6" ht="22.5" customHeight="1">
      <c r="A7" s="115"/>
      <c r="B7" s="115"/>
      <c r="C7" s="122" t="s">
        <v>127</v>
      </c>
      <c r="D7" s="117" t="s">
        <v>75</v>
      </c>
      <c r="E7" s="117" t="s">
        <v>149</v>
      </c>
      <c r="F7" s="123">
        <v>0.25</v>
      </c>
    </row>
    <row r="8" spans="1:6" ht="22.5" customHeight="1">
      <c r="A8" s="115"/>
      <c r="B8" s="115"/>
      <c r="C8" s="122" t="s">
        <v>128</v>
      </c>
      <c r="D8" s="117" t="s">
        <v>72</v>
      </c>
      <c r="E8" s="117" t="s">
        <v>150</v>
      </c>
      <c r="F8" s="123">
        <v>0.1</v>
      </c>
    </row>
    <row r="9" spans="1:6" ht="22.5" customHeight="1">
      <c r="A9" s="115"/>
      <c r="B9" s="115"/>
      <c r="C9" s="122" t="s">
        <v>129</v>
      </c>
      <c r="D9" s="117" t="s">
        <v>131</v>
      </c>
      <c r="E9" s="117" t="s">
        <v>151</v>
      </c>
      <c r="F9" s="123">
        <v>0.2</v>
      </c>
    </row>
    <row r="10" spans="1:6" ht="18">
      <c r="A10" s="115"/>
      <c r="B10" s="115"/>
      <c r="C10" s="127" t="s">
        <v>130</v>
      </c>
      <c r="D10" s="128" t="s">
        <v>132</v>
      </c>
      <c r="E10" s="128" t="s">
        <v>152</v>
      </c>
      <c r="F10" s="129">
        <v>0.15</v>
      </c>
    </row>
    <row r="11" spans="1:6" s="115" customFormat="1"/>
  </sheetData>
  <mergeCells count="1">
    <mergeCell ref="B1:D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7"/>
  <sheetViews>
    <sheetView tabSelected="1" topLeftCell="B3" zoomScale="140" zoomScaleNormal="140" workbookViewId="0">
      <selection activeCell="I6" sqref="I6"/>
    </sheetView>
  </sheetViews>
  <sheetFormatPr defaultColWidth="0" defaultRowHeight="14.4" zeroHeight="1"/>
  <cols>
    <col min="1" max="1" width="0.33203125" style="1" hidden="1" customWidth="1"/>
    <col min="2" max="2" width="9.77734375" style="1" customWidth="1"/>
    <col min="3" max="3" width="14.44140625" style="1" customWidth="1"/>
    <col min="4" max="4" width="13.77734375" style="1" customWidth="1"/>
    <col min="5" max="5" width="10.109375" bestFit="1" customWidth="1"/>
    <col min="6" max="6" width="22.88671875" bestFit="1" customWidth="1"/>
    <col min="7" max="7" width="10.5546875" customWidth="1"/>
    <col min="8" max="8" width="19.109375" customWidth="1"/>
    <col min="9" max="9" width="12.5546875" bestFit="1" customWidth="1"/>
    <col min="10" max="10" width="20.33203125" customWidth="1"/>
    <col min="11" max="11" width="17" bestFit="1" customWidth="1"/>
    <col min="12" max="12" width="1.21875" style="115" customWidth="1"/>
    <col min="13" max="14" width="0" style="115" hidden="1"/>
    <col min="15" max="16384" width="8.88671875" hidden="1"/>
  </cols>
  <sheetData>
    <row r="1" spans="1:11" s="32" customFormat="1" ht="40.200000000000003" customHeight="1">
      <c r="A1" s="35" t="s">
        <v>169</v>
      </c>
      <c r="C1" s="39" t="s">
        <v>135</v>
      </c>
      <c r="D1" s="37"/>
      <c r="E1" s="37"/>
      <c r="F1" s="37"/>
      <c r="G1" s="37"/>
      <c r="H1" s="37"/>
      <c r="I1" s="37"/>
      <c r="J1" s="37"/>
      <c r="K1" s="37"/>
    </row>
    <row r="2" spans="1:11" s="33" customFormat="1" ht="4.5" customHeight="1">
      <c r="A2" s="36"/>
      <c r="B2" s="36"/>
      <c r="C2" s="36"/>
      <c r="D2" s="36"/>
      <c r="E2" s="36"/>
    </row>
    <row r="3" spans="1:11" s="115" customFormat="1" ht="4.5" customHeight="1">
      <c r="A3" s="114"/>
      <c r="B3" s="114"/>
      <c r="C3" s="114"/>
      <c r="D3" s="114"/>
      <c r="E3" s="114"/>
    </row>
    <row r="4" spans="1:11" ht="18">
      <c r="A4" s="10" t="s">
        <v>125</v>
      </c>
      <c r="B4" s="101" t="s">
        <v>31</v>
      </c>
      <c r="C4" s="130" t="s">
        <v>76</v>
      </c>
      <c r="D4" s="130" t="s">
        <v>30</v>
      </c>
      <c r="E4" s="130" t="s">
        <v>15</v>
      </c>
      <c r="F4" s="130" t="s">
        <v>11</v>
      </c>
      <c r="G4" s="130" t="s">
        <v>173</v>
      </c>
      <c r="H4" s="130" t="s">
        <v>172</v>
      </c>
      <c r="I4" s="130" t="s">
        <v>133</v>
      </c>
      <c r="J4" s="131" t="s">
        <v>16</v>
      </c>
      <c r="K4" s="101" t="s">
        <v>74</v>
      </c>
    </row>
    <row r="5" spans="1:11">
      <c r="A5" s="9">
        <f>MONTH(TB_Vendas[[#This Row],[Data]])</f>
        <v>1</v>
      </c>
      <c r="B5" s="102" t="str">
        <f>PROPER(TEXT(DATE(,TB_Vendas[[#This Row],[Nº]],1),"Mmm"))</f>
        <v>Jan</v>
      </c>
      <c r="C5" s="103">
        <v>44931</v>
      </c>
      <c r="D5" s="102" t="s">
        <v>37</v>
      </c>
      <c r="E5" s="98">
        <v>1</v>
      </c>
      <c r="F5" s="104">
        <f>_xlfn.XLOOKUP(TB_Vendas[[#This Row],[Código]],TB_Produtos[Código],TB_Produtos[Preço Unitário])</f>
        <v>39.9</v>
      </c>
      <c r="G5" s="105" cm="1">
        <f t="array" ref="G5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</v>
      </c>
      <c r="H5" s="105">
        <f>_xlfn.XLOOKUP(TB_Vendas[[#This Row],[Vendedor]],TB_Vendedor[Código],TB_Vendedor[Desc. Máximo])</f>
        <v>0.25</v>
      </c>
      <c r="I5" s="105">
        <f>IF(TB_Vendas[[#This Row],[Des.]]&lt;=TB_Vendas[[#This Row],[Des. Vendedor]],TB_Vendas[[#This Row],[Des.]],TB_Vendas[[#This Row],[Des. Vendedor]])</f>
        <v>0</v>
      </c>
      <c r="J5" s="99">
        <f>TB_Vendas[[#This Row],[Preço Unitário]]*TB_Vendas[[#This Row],[Qtd]]</f>
        <v>39.9</v>
      </c>
      <c r="K5" s="98" t="s">
        <v>127</v>
      </c>
    </row>
    <row r="6" spans="1:11">
      <c r="A6" s="9">
        <f>MONTH(TB_Vendas[[#This Row],[Data]])</f>
        <v>1</v>
      </c>
      <c r="B6" s="102" t="str">
        <f>PROPER(TEXT(DATE(,TB_Vendas[[#This Row],[Nº]],1),"Mmm"))</f>
        <v>Jan</v>
      </c>
      <c r="C6" s="103">
        <v>44932</v>
      </c>
      <c r="D6" s="102" t="s">
        <v>36</v>
      </c>
      <c r="E6" s="98">
        <v>1</v>
      </c>
      <c r="F6" s="104">
        <f>_xlfn.XLOOKUP(TB_Vendas[[#This Row],[Código]],TB_Produtos[Código],TB_Produtos[Preço Unitário])</f>
        <v>259.89999999999998</v>
      </c>
      <c r="G6" s="105" cm="1">
        <f t="array" ref="G6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</v>
      </c>
      <c r="H6" s="105">
        <f>_xlfn.XLOOKUP(TB_Vendas[[#This Row],[Vendedor]],TB_Vendedor[Código],TB_Vendedor[Desc. Máximo])</f>
        <v>0.25</v>
      </c>
      <c r="I6" s="105">
        <f>IF(TB_Vendas[[#This Row],[Des.]]&lt;=TB_Vendas[[#This Row],[Des. Vendedor]],TB_Vendas[[#This Row],[Des.]],TB_Vendas[[#This Row],[Des. Vendedor]])</f>
        <v>0</v>
      </c>
      <c r="J6" s="99">
        <f>TB_Vendas[[#This Row],[Preço Unitário]]*TB_Vendas[[#This Row],[Qtd]]</f>
        <v>259.89999999999998</v>
      </c>
      <c r="K6" s="98" t="s">
        <v>127</v>
      </c>
    </row>
    <row r="7" spans="1:11">
      <c r="A7" s="9">
        <f>MONTH(TB_Vendas[[#This Row],[Data]])</f>
        <v>1</v>
      </c>
      <c r="B7" s="102" t="str">
        <f>PROPER(TEXT(DATE(,TB_Vendas[[#This Row],[Nº]],1),"Mmm"))</f>
        <v>Jan</v>
      </c>
      <c r="C7" s="103">
        <v>44933</v>
      </c>
      <c r="D7" s="102" t="s">
        <v>110</v>
      </c>
      <c r="E7" s="98">
        <v>2</v>
      </c>
      <c r="F7" s="104">
        <f>_xlfn.XLOOKUP(TB_Vendas[[#This Row],[Código]],TB_Produtos[Código],TB_Produtos[Preço Unitário])</f>
        <v>32.9</v>
      </c>
      <c r="G7" s="105" cm="1">
        <f t="array" ref="G7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7" s="105">
        <f>_xlfn.XLOOKUP(TB_Vendas[[#This Row],[Vendedor]],TB_Vendedor[Código],TB_Vendedor[Desc. Máximo])</f>
        <v>0.2</v>
      </c>
      <c r="I7" s="105">
        <f>IF(TB_Vendas[[#This Row],[Des.]]&lt;=TB_Vendas[[#This Row],[Des. Vendedor]],TB_Vendas[[#This Row],[Des.]],TB_Vendas[[#This Row],[Des. Vendedor]])</f>
        <v>0.15</v>
      </c>
      <c r="J7" s="99">
        <f>TB_Vendas[[#This Row],[Preço Unitário]]*TB_Vendas[[#This Row],[Qtd]]</f>
        <v>65.8</v>
      </c>
      <c r="K7" s="98" t="s">
        <v>126</v>
      </c>
    </row>
    <row r="8" spans="1:11">
      <c r="A8" s="9">
        <f>MONTH(TB_Vendas[[#This Row],[Data]])</f>
        <v>1</v>
      </c>
      <c r="B8" s="102" t="str">
        <f>PROPER(TEXT(DATE(,TB_Vendas[[#This Row],[Nº]],1),"Mmm"))</f>
        <v>Jan</v>
      </c>
      <c r="C8" s="103">
        <v>44938</v>
      </c>
      <c r="D8" s="102" t="s">
        <v>42</v>
      </c>
      <c r="E8" s="98">
        <v>1</v>
      </c>
      <c r="F8" s="104">
        <f>_xlfn.XLOOKUP(TB_Vendas[[#This Row],[Código]],TB_Produtos[Código],TB_Produtos[Preço Unitário])</f>
        <v>46.9</v>
      </c>
      <c r="G8" s="105" cm="1">
        <f t="array" ref="G8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8" s="105">
        <f>_xlfn.XLOOKUP(TB_Vendas[[#This Row],[Vendedor]],TB_Vendedor[Código],TB_Vendedor[Desc. Máximo])</f>
        <v>0.15</v>
      </c>
      <c r="I8" s="105">
        <f>IF(TB_Vendas[[#This Row],[Des.]]&lt;=TB_Vendas[[#This Row],[Des. Vendedor]],TB_Vendas[[#This Row],[Des.]],TB_Vendas[[#This Row],[Des. Vendedor]])</f>
        <v>0.1</v>
      </c>
      <c r="J8" s="99">
        <f>TB_Vendas[[#This Row],[Preço Unitário]]*TB_Vendas[[#This Row],[Qtd]]</f>
        <v>46.9</v>
      </c>
      <c r="K8" s="98" t="s">
        <v>130</v>
      </c>
    </row>
    <row r="9" spans="1:11">
      <c r="A9" s="9">
        <f>MONTH(TB_Vendas[[#This Row],[Data]])</f>
        <v>1</v>
      </c>
      <c r="B9" s="102" t="str">
        <f>PROPER(TEXT(DATE(,TB_Vendas[[#This Row],[Nº]],1),"Mmm"))</f>
        <v>Jan</v>
      </c>
      <c r="C9" s="103">
        <v>44939</v>
      </c>
      <c r="D9" s="102" t="s">
        <v>48</v>
      </c>
      <c r="E9" s="98">
        <v>1</v>
      </c>
      <c r="F9" s="104">
        <f>_xlfn.XLOOKUP(TB_Vendas[[#This Row],[Código]],TB_Produtos[Código],TB_Produtos[Preço Unitário])</f>
        <v>29.9</v>
      </c>
      <c r="G9" s="105" cm="1">
        <f t="array" ref="G9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9" s="105">
        <f>_xlfn.XLOOKUP(TB_Vendas[[#This Row],[Vendedor]],TB_Vendedor[Código],TB_Vendedor[Desc. Máximo])</f>
        <v>0.25</v>
      </c>
      <c r="I9" s="105">
        <f>IF(TB_Vendas[[#This Row],[Des.]]&lt;=TB_Vendas[[#This Row],[Des. Vendedor]],TB_Vendas[[#This Row],[Des.]],TB_Vendas[[#This Row],[Des. Vendedor]])</f>
        <v>0.1</v>
      </c>
      <c r="J9" s="99">
        <f>TB_Vendas[[#This Row],[Preço Unitário]]*TB_Vendas[[#This Row],[Qtd]]</f>
        <v>29.9</v>
      </c>
      <c r="K9" s="98" t="s">
        <v>127</v>
      </c>
    </row>
    <row r="10" spans="1:11">
      <c r="A10" s="9">
        <f>MONTH(TB_Vendas[[#This Row],[Data]])</f>
        <v>1</v>
      </c>
      <c r="B10" s="102" t="str">
        <f>PROPER(TEXT(DATE(,TB_Vendas[[#This Row],[Nº]],1),"Mmm"))</f>
        <v>Jan</v>
      </c>
      <c r="C10" s="103">
        <v>44943</v>
      </c>
      <c r="D10" s="102" t="s">
        <v>56</v>
      </c>
      <c r="E10" s="98">
        <v>1</v>
      </c>
      <c r="F10" s="104">
        <f>_xlfn.XLOOKUP(TB_Vendas[[#This Row],[Código]],TB_Produtos[Código],TB_Produtos[Preço Unitário])</f>
        <v>299.89999999999998</v>
      </c>
      <c r="G10" s="105" cm="1">
        <f t="array" ref="G10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10" s="105">
        <f>_xlfn.XLOOKUP(TB_Vendas[[#This Row],[Vendedor]],TB_Vendedor[Código],TB_Vendedor[Desc. Máximo])</f>
        <v>0.15</v>
      </c>
      <c r="I10" s="105">
        <f>IF(TB_Vendas[[#This Row],[Des.]]&lt;=TB_Vendas[[#This Row],[Des. Vendedor]],TB_Vendas[[#This Row],[Des.]],TB_Vendas[[#This Row],[Des. Vendedor]])</f>
        <v>0.1</v>
      </c>
      <c r="J10" s="99">
        <f>TB_Vendas[[#This Row],[Preço Unitário]]*TB_Vendas[[#This Row],[Qtd]]</f>
        <v>299.89999999999998</v>
      </c>
      <c r="K10" s="98" t="s">
        <v>130</v>
      </c>
    </row>
    <row r="11" spans="1:11">
      <c r="A11" s="9">
        <f>MONTH(TB_Vendas[[#This Row],[Data]])</f>
        <v>1</v>
      </c>
      <c r="B11" s="102" t="str">
        <f>PROPER(TEXT(DATE(,TB_Vendas[[#This Row],[Nº]],1),"Mmm"))</f>
        <v>Jan</v>
      </c>
      <c r="C11" s="103">
        <v>44949</v>
      </c>
      <c r="D11" s="102" t="s">
        <v>70</v>
      </c>
      <c r="E11" s="98">
        <v>1</v>
      </c>
      <c r="F11" s="104">
        <f>_xlfn.XLOOKUP(TB_Vendas[[#This Row],[Código]],TB_Produtos[Código],TB_Produtos[Preço Unitário])</f>
        <v>146</v>
      </c>
      <c r="G11" s="105" cm="1">
        <f t="array" ref="G11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11" s="105">
        <f>_xlfn.XLOOKUP(TB_Vendas[[#This Row],[Vendedor]],TB_Vendedor[Código],TB_Vendedor[Desc. Máximo])</f>
        <v>0.1</v>
      </c>
      <c r="I11" s="105">
        <f>IF(TB_Vendas[[#This Row],[Des.]]&lt;=TB_Vendas[[#This Row],[Des. Vendedor]],TB_Vendas[[#This Row],[Des.]],TB_Vendas[[#This Row],[Des. Vendedor]])</f>
        <v>0.1</v>
      </c>
      <c r="J11" s="99">
        <f>TB_Vendas[[#This Row],[Preço Unitário]]*TB_Vendas[[#This Row],[Qtd]]</f>
        <v>146</v>
      </c>
      <c r="K11" s="98" t="s">
        <v>128</v>
      </c>
    </row>
    <row r="12" spans="1:11">
      <c r="A12" s="9">
        <f>MONTH(TB_Vendas[[#This Row],[Data]])</f>
        <v>1</v>
      </c>
      <c r="B12" s="102" t="str">
        <f>PROPER(TEXT(DATE(,TB_Vendas[[#This Row],[Nº]],1),"Mmm"))</f>
        <v>Jan</v>
      </c>
      <c r="C12" s="103">
        <v>44952</v>
      </c>
      <c r="D12" s="102" t="s">
        <v>65</v>
      </c>
      <c r="E12" s="98">
        <v>2</v>
      </c>
      <c r="F12" s="104">
        <f>_xlfn.XLOOKUP(TB_Vendas[[#This Row],[Código]],TB_Produtos[Código],TB_Produtos[Preço Unitário])</f>
        <v>89.9</v>
      </c>
      <c r="G12" s="105" cm="1">
        <f t="array" ref="G12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12" s="105">
        <f>_xlfn.XLOOKUP(TB_Vendas[[#This Row],[Vendedor]],TB_Vendedor[Código],TB_Vendedor[Desc. Máximo])</f>
        <v>0.1</v>
      </c>
      <c r="I12" s="105">
        <f>IF(TB_Vendas[[#This Row],[Des.]]&lt;=TB_Vendas[[#This Row],[Des. Vendedor]],TB_Vendas[[#This Row],[Des.]],TB_Vendas[[#This Row],[Des. Vendedor]])</f>
        <v>0.1</v>
      </c>
      <c r="J12" s="99">
        <f>TB_Vendas[[#This Row],[Preço Unitário]]*TB_Vendas[[#This Row],[Qtd]]</f>
        <v>179.8</v>
      </c>
      <c r="K12" s="98" t="s">
        <v>128</v>
      </c>
    </row>
    <row r="13" spans="1:11">
      <c r="A13" s="9">
        <f>MONTH(TB_Vendas[[#This Row],[Data]])</f>
        <v>1</v>
      </c>
      <c r="B13" s="102" t="str">
        <f>PROPER(TEXT(DATE(,TB_Vendas[[#This Row],[Nº]],1),"Mmm"))</f>
        <v>Jan</v>
      </c>
      <c r="C13" s="103">
        <v>44954</v>
      </c>
      <c r="D13" s="102" t="s">
        <v>63</v>
      </c>
      <c r="E13" s="98">
        <v>2</v>
      </c>
      <c r="F13" s="104">
        <f>_xlfn.XLOOKUP(TB_Vendas[[#This Row],[Código]],TB_Produtos[Código],TB_Produtos[Preço Unitário])</f>
        <v>250</v>
      </c>
      <c r="G13" s="105" cm="1">
        <f t="array" ref="G13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13" s="105">
        <f>_xlfn.XLOOKUP(TB_Vendas[[#This Row],[Vendedor]],TB_Vendedor[Código],TB_Vendedor[Desc. Máximo])</f>
        <v>0.25</v>
      </c>
      <c r="I13" s="105">
        <f>IF(TB_Vendas[[#This Row],[Des.]]&lt;=TB_Vendas[[#This Row],[Des. Vendedor]],TB_Vendas[[#This Row],[Des.]],TB_Vendas[[#This Row],[Des. Vendedor]])</f>
        <v>0.1</v>
      </c>
      <c r="J13" s="99">
        <f>TB_Vendas[[#This Row],[Preço Unitário]]*TB_Vendas[[#This Row],[Qtd]]</f>
        <v>500</v>
      </c>
      <c r="K13" s="98" t="s">
        <v>127</v>
      </c>
    </row>
    <row r="14" spans="1:11">
      <c r="A14" s="9">
        <f>MONTH(TB_Vendas[[#This Row],[Data]])</f>
        <v>1</v>
      </c>
      <c r="B14" s="102" t="str">
        <f>PROPER(TEXT(DATE(,TB_Vendas[[#This Row],[Nº]],1),"Mmm"))</f>
        <v>Jan</v>
      </c>
      <c r="C14" s="103">
        <v>44955</v>
      </c>
      <c r="D14" s="102" t="s">
        <v>44</v>
      </c>
      <c r="E14" s="98">
        <v>1</v>
      </c>
      <c r="F14" s="104">
        <f>_xlfn.XLOOKUP(TB_Vendas[[#This Row],[Código]],TB_Produtos[Código],TB_Produtos[Preço Unitário])</f>
        <v>39.9</v>
      </c>
      <c r="G14" s="105" cm="1">
        <f t="array" ref="G14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14" s="105">
        <f>_xlfn.XLOOKUP(TB_Vendas[[#This Row],[Vendedor]],TB_Vendedor[Código],TB_Vendedor[Desc. Máximo])</f>
        <v>0.25</v>
      </c>
      <c r="I14" s="105">
        <f>IF(TB_Vendas[[#This Row],[Des.]]&lt;=TB_Vendas[[#This Row],[Des. Vendedor]],TB_Vendas[[#This Row],[Des.]],TB_Vendas[[#This Row],[Des. Vendedor]])</f>
        <v>0.1</v>
      </c>
      <c r="J14" s="99">
        <f>TB_Vendas[[#This Row],[Preço Unitário]]*TB_Vendas[[#This Row],[Qtd]]</f>
        <v>39.9</v>
      </c>
      <c r="K14" s="98" t="s">
        <v>127</v>
      </c>
    </row>
    <row r="15" spans="1:11">
      <c r="A15" s="9">
        <f>MONTH(TB_Vendas[[#This Row],[Data]])</f>
        <v>1</v>
      </c>
      <c r="B15" s="102" t="str">
        <f>PROPER(TEXT(DATE(,TB_Vendas[[#This Row],[Nº]],1),"Mmm"))</f>
        <v>Jan</v>
      </c>
      <c r="C15" s="103">
        <v>44956</v>
      </c>
      <c r="D15" s="102" t="s">
        <v>69</v>
      </c>
      <c r="E15" s="98">
        <v>1</v>
      </c>
      <c r="F15" s="104">
        <f>_xlfn.XLOOKUP(TB_Vendas[[#This Row],[Código]],TB_Produtos[Código],TB_Produtos[Preço Unitário])</f>
        <v>142.9</v>
      </c>
      <c r="G15" s="105" cm="1">
        <f t="array" ref="G15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15" s="105">
        <f>_xlfn.XLOOKUP(TB_Vendas[[#This Row],[Vendedor]],TB_Vendedor[Código],TB_Vendedor[Desc. Máximo])</f>
        <v>0.2</v>
      </c>
      <c r="I15" s="105">
        <f>IF(TB_Vendas[[#This Row],[Des.]]&lt;=TB_Vendas[[#This Row],[Des. Vendedor]],TB_Vendas[[#This Row],[Des.]],TB_Vendas[[#This Row],[Des. Vendedor]])</f>
        <v>0.1</v>
      </c>
      <c r="J15" s="99">
        <f>TB_Vendas[[#This Row],[Preço Unitário]]*TB_Vendas[[#This Row],[Qtd]]</f>
        <v>142.9</v>
      </c>
      <c r="K15" s="98" t="s">
        <v>129</v>
      </c>
    </row>
    <row r="16" spans="1:11">
      <c r="A16" s="9">
        <f>MONTH(TB_Vendas[[#This Row],[Data]])</f>
        <v>2</v>
      </c>
      <c r="B16" s="102" t="str">
        <f>PROPER(TEXT(DATE(,TB_Vendas[[#This Row],[Nº]],1),"Mmm"))</f>
        <v>Fev</v>
      </c>
      <c r="C16" s="103">
        <v>44960</v>
      </c>
      <c r="D16" s="102" t="s">
        <v>53</v>
      </c>
      <c r="E16" s="98">
        <v>1</v>
      </c>
      <c r="F16" s="104">
        <f>_xlfn.XLOOKUP(TB_Vendas[[#This Row],[Código]],TB_Produtos[Código],TB_Produtos[Preço Unitário])</f>
        <v>300</v>
      </c>
      <c r="G16" s="105" cm="1">
        <f t="array" ref="G16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16" s="105">
        <f>_xlfn.XLOOKUP(TB_Vendas[[#This Row],[Vendedor]],TB_Vendedor[Código],TB_Vendedor[Desc. Máximo])</f>
        <v>0.1</v>
      </c>
      <c r="I16" s="105">
        <f>IF(TB_Vendas[[#This Row],[Des.]]&lt;=TB_Vendas[[#This Row],[Des. Vendedor]],TB_Vendas[[#This Row],[Des.]],TB_Vendas[[#This Row],[Des. Vendedor]])</f>
        <v>0.1</v>
      </c>
      <c r="J16" s="99">
        <f>TB_Vendas[[#This Row],[Preço Unitário]]*TB_Vendas[[#This Row],[Qtd]]</f>
        <v>300</v>
      </c>
      <c r="K16" s="98" t="s">
        <v>128</v>
      </c>
    </row>
    <row r="17" spans="1:11">
      <c r="A17" s="9">
        <f>MONTH(TB_Vendas[[#This Row],[Data]])</f>
        <v>2</v>
      </c>
      <c r="B17" s="102" t="str">
        <f>PROPER(TEXT(DATE(,TB_Vendas[[#This Row],[Nº]],1),"Mmm"))</f>
        <v>Fev</v>
      </c>
      <c r="C17" s="103">
        <v>44962</v>
      </c>
      <c r="D17" s="102" t="s">
        <v>106</v>
      </c>
      <c r="E17" s="98">
        <v>2</v>
      </c>
      <c r="F17" s="104">
        <f>_xlfn.XLOOKUP(TB_Vendas[[#This Row],[Código]],TB_Produtos[Código],TB_Produtos[Preço Unitário])</f>
        <v>289.89999999999998</v>
      </c>
      <c r="G17" s="105" cm="1">
        <f t="array" ref="G17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17" s="105">
        <f>_xlfn.XLOOKUP(TB_Vendas[[#This Row],[Vendedor]],TB_Vendedor[Código],TB_Vendedor[Desc. Máximo])</f>
        <v>0.2</v>
      </c>
      <c r="I17" s="105">
        <f>IF(TB_Vendas[[#This Row],[Des.]]&lt;=TB_Vendas[[#This Row],[Des. Vendedor]],TB_Vendas[[#This Row],[Des.]],TB_Vendas[[#This Row],[Des. Vendedor]])</f>
        <v>0.15</v>
      </c>
      <c r="J17" s="99">
        <f>TB_Vendas[[#This Row],[Preço Unitário]]*TB_Vendas[[#This Row],[Qtd]]</f>
        <v>579.79999999999995</v>
      </c>
      <c r="K17" s="98" t="s">
        <v>129</v>
      </c>
    </row>
    <row r="18" spans="1:11">
      <c r="A18" s="9">
        <f>MONTH(TB_Vendas[[#This Row],[Data]])</f>
        <v>2</v>
      </c>
      <c r="B18" s="102" t="str">
        <f>PROPER(TEXT(DATE(,TB_Vendas[[#This Row],[Nº]],1),"Mmm"))</f>
        <v>Fev</v>
      </c>
      <c r="C18" s="103">
        <v>44975</v>
      </c>
      <c r="D18" s="102" t="s">
        <v>59</v>
      </c>
      <c r="E18" s="98">
        <v>1</v>
      </c>
      <c r="F18" s="104">
        <f>_xlfn.XLOOKUP(TB_Vendas[[#This Row],[Código]],TB_Produtos[Código],TB_Produtos[Preço Unitário])</f>
        <v>249.9</v>
      </c>
      <c r="G18" s="105" cm="1">
        <f t="array" ref="G18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</v>
      </c>
      <c r="H18" s="105">
        <f>_xlfn.XLOOKUP(TB_Vendas[[#This Row],[Vendedor]],TB_Vendedor[Código],TB_Vendedor[Desc. Máximo])</f>
        <v>0.2</v>
      </c>
      <c r="I18" s="105">
        <f>IF(TB_Vendas[[#This Row],[Des.]]&lt;=TB_Vendas[[#This Row],[Des. Vendedor]],TB_Vendas[[#This Row],[Des.]],TB_Vendas[[#This Row],[Des. Vendedor]])</f>
        <v>0</v>
      </c>
      <c r="J18" s="99">
        <f>TB_Vendas[[#This Row],[Preço Unitário]]*TB_Vendas[[#This Row],[Qtd]]</f>
        <v>249.9</v>
      </c>
      <c r="K18" s="98" t="s">
        <v>129</v>
      </c>
    </row>
    <row r="19" spans="1:11">
      <c r="A19" s="9">
        <f>MONTH(TB_Vendas[[#This Row],[Data]])</f>
        <v>2</v>
      </c>
      <c r="B19" s="102" t="str">
        <f>PROPER(TEXT(DATE(,TB_Vendas[[#This Row],[Nº]],1),"Mmm"))</f>
        <v>Fev</v>
      </c>
      <c r="C19" s="103">
        <v>44978</v>
      </c>
      <c r="D19" s="102" t="s">
        <v>44</v>
      </c>
      <c r="E19" s="98">
        <v>2</v>
      </c>
      <c r="F19" s="104">
        <f>_xlfn.XLOOKUP(TB_Vendas[[#This Row],[Código]],TB_Produtos[Código],TB_Produtos[Preço Unitário])</f>
        <v>39.9</v>
      </c>
      <c r="G19" s="105" cm="1">
        <f t="array" ref="G19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19" s="105">
        <f>_xlfn.XLOOKUP(TB_Vendas[[#This Row],[Vendedor]],TB_Vendedor[Código],TB_Vendedor[Desc. Máximo])</f>
        <v>0.2</v>
      </c>
      <c r="I19" s="105">
        <f>IF(TB_Vendas[[#This Row],[Des.]]&lt;=TB_Vendas[[#This Row],[Des. Vendedor]],TB_Vendas[[#This Row],[Des.]],TB_Vendas[[#This Row],[Des. Vendedor]])</f>
        <v>0.15</v>
      </c>
      <c r="J19" s="99">
        <f>TB_Vendas[[#This Row],[Preço Unitário]]*TB_Vendas[[#This Row],[Qtd]]</f>
        <v>79.8</v>
      </c>
      <c r="K19" s="98" t="s">
        <v>129</v>
      </c>
    </row>
    <row r="20" spans="1:11">
      <c r="A20" s="9">
        <f>MONTH(TB_Vendas[[#This Row],[Data]])</f>
        <v>2</v>
      </c>
      <c r="B20" s="102" t="str">
        <f>PROPER(TEXT(DATE(,TB_Vendas[[#This Row],[Nº]],1),"Mmm"))</f>
        <v>Fev</v>
      </c>
      <c r="C20" s="103">
        <v>44981</v>
      </c>
      <c r="D20" s="102" t="s">
        <v>103</v>
      </c>
      <c r="E20" s="98">
        <v>4</v>
      </c>
      <c r="F20" s="104">
        <f>_xlfn.XLOOKUP(TB_Vendas[[#This Row],[Código]],TB_Produtos[Código],TB_Produtos[Preço Unitário])</f>
        <v>289.89999999999998</v>
      </c>
      <c r="G20" s="105" cm="1">
        <f t="array" ref="G20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20" s="105">
        <f>_xlfn.XLOOKUP(TB_Vendas[[#This Row],[Vendedor]],TB_Vendedor[Código],TB_Vendedor[Desc. Máximo])</f>
        <v>0.2</v>
      </c>
      <c r="I20" s="105">
        <f>IF(TB_Vendas[[#This Row],[Des.]]&lt;=TB_Vendas[[#This Row],[Des. Vendedor]],TB_Vendas[[#This Row],[Des.]],TB_Vendas[[#This Row],[Des. Vendedor]])</f>
        <v>0.2</v>
      </c>
      <c r="J20" s="99">
        <f>TB_Vendas[[#This Row],[Preço Unitário]]*TB_Vendas[[#This Row],[Qtd]]</f>
        <v>1159.5999999999999</v>
      </c>
      <c r="K20" s="98" t="s">
        <v>129</v>
      </c>
    </row>
    <row r="21" spans="1:11">
      <c r="A21" s="9">
        <f>MONTH(TB_Vendas[[#This Row],[Data]])</f>
        <v>2</v>
      </c>
      <c r="B21" s="102" t="str">
        <f>PROPER(TEXT(DATE(,TB_Vendas[[#This Row],[Nº]],1),"Mmm"))</f>
        <v>Fev</v>
      </c>
      <c r="C21" s="103">
        <v>44982</v>
      </c>
      <c r="D21" s="102" t="s">
        <v>123</v>
      </c>
      <c r="E21" s="98">
        <v>3</v>
      </c>
      <c r="F21" s="104">
        <f>_xlfn.XLOOKUP(TB_Vendas[[#This Row],[Código]],TB_Produtos[Código],TB_Produtos[Preço Unitário])</f>
        <v>180</v>
      </c>
      <c r="G21" s="105" cm="1">
        <f t="array" ref="G21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21" s="105">
        <f>_xlfn.XLOOKUP(TB_Vendas[[#This Row],[Vendedor]],TB_Vendedor[Código],TB_Vendedor[Desc. Máximo])</f>
        <v>0.25</v>
      </c>
      <c r="I21" s="105">
        <f>IF(TB_Vendas[[#This Row],[Des.]]&lt;=TB_Vendas[[#This Row],[Des. Vendedor]],TB_Vendas[[#This Row],[Des.]],TB_Vendas[[#This Row],[Des. Vendedor]])</f>
        <v>0.2</v>
      </c>
      <c r="J21" s="99">
        <f>TB_Vendas[[#This Row],[Preço Unitário]]*TB_Vendas[[#This Row],[Qtd]]</f>
        <v>540</v>
      </c>
      <c r="K21" s="98" t="s">
        <v>127</v>
      </c>
    </row>
    <row r="22" spans="1:11">
      <c r="A22" s="9">
        <f>MONTH(TB_Vendas[[#This Row],[Data]])</f>
        <v>2</v>
      </c>
      <c r="B22" s="102" t="str">
        <f>PROPER(TEXT(DATE(,TB_Vendas[[#This Row],[Nº]],1),"Mmm"))</f>
        <v>Fev</v>
      </c>
      <c r="C22" s="103">
        <v>44983</v>
      </c>
      <c r="D22" s="102" t="s">
        <v>109</v>
      </c>
      <c r="E22" s="98">
        <v>2</v>
      </c>
      <c r="F22" s="104">
        <f>_xlfn.XLOOKUP(TB_Vendas[[#This Row],[Código]],TB_Produtos[Código],TB_Produtos[Preço Unitário])</f>
        <v>32.9</v>
      </c>
      <c r="G22" s="105" cm="1">
        <f t="array" ref="G22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22" s="105">
        <f>_xlfn.XLOOKUP(TB_Vendas[[#This Row],[Vendedor]],TB_Vendedor[Código],TB_Vendedor[Desc. Máximo])</f>
        <v>0.2</v>
      </c>
      <c r="I22" s="105">
        <f>IF(TB_Vendas[[#This Row],[Des.]]&lt;=TB_Vendas[[#This Row],[Des. Vendedor]],TB_Vendas[[#This Row],[Des.]],TB_Vendas[[#This Row],[Des. Vendedor]])</f>
        <v>0.15</v>
      </c>
      <c r="J22" s="99">
        <f>TB_Vendas[[#This Row],[Preço Unitário]]*TB_Vendas[[#This Row],[Qtd]]</f>
        <v>65.8</v>
      </c>
      <c r="K22" s="98" t="s">
        <v>126</v>
      </c>
    </row>
    <row r="23" spans="1:11">
      <c r="A23" s="9">
        <f>MONTH(TB_Vendas[[#This Row],[Data]])</f>
        <v>3</v>
      </c>
      <c r="B23" s="102" t="str">
        <f>PROPER(TEXT(DATE(,TB_Vendas[[#This Row],[Nº]],1),"Mmm"))</f>
        <v>Mar</v>
      </c>
      <c r="C23" s="103">
        <v>44986</v>
      </c>
      <c r="D23" s="102" t="s">
        <v>60</v>
      </c>
      <c r="E23" s="98">
        <v>3</v>
      </c>
      <c r="F23" s="104">
        <f>_xlfn.XLOOKUP(TB_Vendas[[#This Row],[Código]],TB_Produtos[Código],TB_Produtos[Preço Unitário])</f>
        <v>255</v>
      </c>
      <c r="G23" s="105" cm="1">
        <f t="array" ref="G23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23" s="105">
        <f>_xlfn.XLOOKUP(TB_Vendas[[#This Row],[Vendedor]],TB_Vendedor[Código],TB_Vendedor[Desc. Máximo])</f>
        <v>0.2</v>
      </c>
      <c r="I23" s="105">
        <f>IF(TB_Vendas[[#This Row],[Des.]]&lt;=TB_Vendas[[#This Row],[Des. Vendedor]],TB_Vendas[[#This Row],[Des.]],TB_Vendas[[#This Row],[Des. Vendedor]])</f>
        <v>0.15</v>
      </c>
      <c r="J23" s="99">
        <f>TB_Vendas[[#This Row],[Preço Unitário]]*TB_Vendas[[#This Row],[Qtd]]</f>
        <v>765</v>
      </c>
      <c r="K23" s="98" t="s">
        <v>129</v>
      </c>
    </row>
    <row r="24" spans="1:11">
      <c r="A24" s="9">
        <f>MONTH(TB_Vendas[[#This Row],[Data]])</f>
        <v>3</v>
      </c>
      <c r="B24" s="102" t="str">
        <f>PROPER(TEXT(DATE(,TB_Vendas[[#This Row],[Nº]],1),"Mmm"))</f>
        <v>Mar</v>
      </c>
      <c r="C24" s="103">
        <v>44986</v>
      </c>
      <c r="D24" s="102" t="s">
        <v>69</v>
      </c>
      <c r="E24" s="98">
        <v>1</v>
      </c>
      <c r="F24" s="104">
        <f>_xlfn.XLOOKUP(TB_Vendas[[#This Row],[Código]],TB_Produtos[Código],TB_Produtos[Preço Unitário])</f>
        <v>142.9</v>
      </c>
      <c r="G24" s="105" cm="1">
        <f t="array" ref="G24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24" s="105">
        <f>_xlfn.XLOOKUP(TB_Vendas[[#This Row],[Vendedor]],TB_Vendedor[Código],TB_Vendedor[Desc. Máximo])</f>
        <v>0.2</v>
      </c>
      <c r="I24" s="105">
        <f>IF(TB_Vendas[[#This Row],[Des.]]&lt;=TB_Vendas[[#This Row],[Des. Vendedor]],TB_Vendas[[#This Row],[Des.]],TB_Vendas[[#This Row],[Des. Vendedor]])</f>
        <v>0.1</v>
      </c>
      <c r="J24" s="99">
        <f>TB_Vendas[[#This Row],[Preço Unitário]]*TB_Vendas[[#This Row],[Qtd]]</f>
        <v>142.9</v>
      </c>
      <c r="K24" s="98" t="s">
        <v>126</v>
      </c>
    </row>
    <row r="25" spans="1:11">
      <c r="A25" s="9">
        <f>MONTH(TB_Vendas[[#This Row],[Data]])</f>
        <v>3</v>
      </c>
      <c r="B25" s="102" t="str">
        <f>PROPER(TEXT(DATE(,TB_Vendas[[#This Row],[Nº]],1),"Mmm"))</f>
        <v>Mar</v>
      </c>
      <c r="C25" s="103">
        <v>44987</v>
      </c>
      <c r="D25" s="102" t="s">
        <v>40</v>
      </c>
      <c r="E25" s="98">
        <v>4</v>
      </c>
      <c r="F25" s="104">
        <f>_xlfn.XLOOKUP(TB_Vendas[[#This Row],[Código]],TB_Produtos[Código],TB_Produtos[Preço Unitário])</f>
        <v>92.9</v>
      </c>
      <c r="G25" s="105" cm="1">
        <f t="array" ref="G25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25" s="105">
        <f>_xlfn.XLOOKUP(TB_Vendas[[#This Row],[Vendedor]],TB_Vendedor[Código],TB_Vendedor[Desc. Máximo])</f>
        <v>0.1</v>
      </c>
      <c r="I25" s="105">
        <f>IF(TB_Vendas[[#This Row],[Des.]]&lt;=TB_Vendas[[#This Row],[Des. Vendedor]],TB_Vendas[[#This Row],[Des.]],TB_Vendas[[#This Row],[Des. Vendedor]])</f>
        <v>0.1</v>
      </c>
      <c r="J25" s="99">
        <f>TB_Vendas[[#This Row],[Preço Unitário]]*TB_Vendas[[#This Row],[Qtd]]</f>
        <v>371.6</v>
      </c>
      <c r="K25" s="98" t="s">
        <v>128</v>
      </c>
    </row>
    <row r="26" spans="1:11">
      <c r="A26" s="9">
        <f>MONTH(TB_Vendas[[#This Row],[Data]])</f>
        <v>3</v>
      </c>
      <c r="B26" s="102" t="str">
        <f>PROPER(TEXT(DATE(,TB_Vendas[[#This Row],[Nº]],1),"Mmm"))</f>
        <v>Mar</v>
      </c>
      <c r="C26" s="103">
        <v>44988</v>
      </c>
      <c r="D26" s="102" t="s">
        <v>98</v>
      </c>
      <c r="E26" s="98">
        <v>2</v>
      </c>
      <c r="F26" s="104">
        <f>_xlfn.XLOOKUP(TB_Vendas[[#This Row],[Código]],TB_Produtos[Código],TB_Produtos[Preço Unitário])</f>
        <v>54.9</v>
      </c>
      <c r="G26" s="105" cm="1">
        <f t="array" ref="G26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26" s="105">
        <f>_xlfn.XLOOKUP(TB_Vendas[[#This Row],[Vendedor]],TB_Vendedor[Código],TB_Vendedor[Desc. Máximo])</f>
        <v>0.2</v>
      </c>
      <c r="I26" s="105">
        <f>IF(TB_Vendas[[#This Row],[Des.]]&lt;=TB_Vendas[[#This Row],[Des. Vendedor]],TB_Vendas[[#This Row],[Des.]],TB_Vendas[[#This Row],[Des. Vendedor]])</f>
        <v>0.15</v>
      </c>
      <c r="J26" s="99">
        <f>TB_Vendas[[#This Row],[Preço Unitário]]*TB_Vendas[[#This Row],[Qtd]]</f>
        <v>109.8</v>
      </c>
      <c r="K26" s="98" t="s">
        <v>126</v>
      </c>
    </row>
    <row r="27" spans="1:11">
      <c r="A27" s="9">
        <f>MONTH(TB_Vendas[[#This Row],[Data]])</f>
        <v>3</v>
      </c>
      <c r="B27" s="102" t="str">
        <f>PROPER(TEXT(DATE(,TB_Vendas[[#This Row],[Nº]],1),"Mmm"))</f>
        <v>Mar</v>
      </c>
      <c r="C27" s="103">
        <v>44989</v>
      </c>
      <c r="D27" s="102" t="s">
        <v>69</v>
      </c>
      <c r="E27" s="98">
        <v>3</v>
      </c>
      <c r="F27" s="104">
        <f>_xlfn.XLOOKUP(TB_Vendas[[#This Row],[Código]],TB_Produtos[Código],TB_Produtos[Preço Unitário])</f>
        <v>142.9</v>
      </c>
      <c r="G27" s="105" cm="1">
        <f t="array" ref="G27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27" s="105">
        <f>_xlfn.XLOOKUP(TB_Vendas[[#This Row],[Vendedor]],TB_Vendedor[Código],TB_Vendedor[Desc. Máximo])</f>
        <v>0.25</v>
      </c>
      <c r="I27" s="105">
        <f>IF(TB_Vendas[[#This Row],[Des.]]&lt;=TB_Vendas[[#This Row],[Des. Vendedor]],TB_Vendas[[#This Row],[Des.]],TB_Vendas[[#This Row],[Des. Vendedor]])</f>
        <v>0.2</v>
      </c>
      <c r="J27" s="99">
        <f>TB_Vendas[[#This Row],[Preço Unitário]]*TB_Vendas[[#This Row],[Qtd]]</f>
        <v>428.70000000000005</v>
      </c>
      <c r="K27" s="98" t="s">
        <v>127</v>
      </c>
    </row>
    <row r="28" spans="1:11">
      <c r="A28" s="9">
        <f>MONTH(TB_Vendas[[#This Row],[Data]])</f>
        <v>3</v>
      </c>
      <c r="B28" s="102" t="str">
        <f>PROPER(TEXT(DATE(,TB_Vendas[[#This Row],[Nº]],1),"Mmm"))</f>
        <v>Mar</v>
      </c>
      <c r="C28" s="103">
        <v>44994</v>
      </c>
      <c r="D28" s="102" t="s">
        <v>58</v>
      </c>
      <c r="E28" s="98">
        <v>2</v>
      </c>
      <c r="F28" s="104">
        <f>_xlfn.XLOOKUP(TB_Vendas[[#This Row],[Código]],TB_Produtos[Código],TB_Produtos[Preço Unitário])</f>
        <v>120</v>
      </c>
      <c r="G28" s="105" cm="1">
        <f t="array" ref="G28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0.05</v>
      </c>
      <c r="H28" s="105">
        <f>_xlfn.XLOOKUP(TB_Vendas[[#This Row],[Vendedor]],TB_Vendedor[Código],TB_Vendedor[Desc. Máximo])</f>
        <v>0.25</v>
      </c>
      <c r="I28" s="105">
        <f>IF(TB_Vendas[[#This Row],[Des.]]&lt;=TB_Vendas[[#This Row],[Des. Vendedor]],TB_Vendas[[#This Row],[Des.]],TB_Vendas[[#This Row],[Des. Vendedor]])</f>
        <v>0.05</v>
      </c>
      <c r="J28" s="99">
        <f>TB_Vendas[[#This Row],[Preço Unitário]]*TB_Vendas[[#This Row],[Qtd]]</f>
        <v>240</v>
      </c>
      <c r="K28" s="98" t="s">
        <v>127</v>
      </c>
    </row>
    <row r="29" spans="1:11">
      <c r="A29" s="9">
        <f>MONTH(TB_Vendas[[#This Row],[Data]])</f>
        <v>3</v>
      </c>
      <c r="B29" s="102" t="str">
        <f>PROPER(TEXT(DATE(,TB_Vendas[[#This Row],[Nº]],1),"Mmm"))</f>
        <v>Mar</v>
      </c>
      <c r="C29" s="103">
        <v>44999</v>
      </c>
      <c r="D29" s="102" t="s">
        <v>32</v>
      </c>
      <c r="E29" s="98">
        <v>1</v>
      </c>
      <c r="F29" s="104">
        <f>_xlfn.XLOOKUP(TB_Vendas[[#This Row],[Código]],TB_Produtos[Código],TB_Produtos[Preço Unitário])</f>
        <v>65.900000000000006</v>
      </c>
      <c r="G29" s="105" cm="1">
        <f t="array" ref="G29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29" s="105">
        <f>_xlfn.XLOOKUP(TB_Vendas[[#This Row],[Vendedor]],TB_Vendedor[Código],TB_Vendedor[Desc. Máximo])</f>
        <v>0.2</v>
      </c>
      <c r="I29" s="105">
        <f>IF(TB_Vendas[[#This Row],[Des.]]&lt;=TB_Vendas[[#This Row],[Des. Vendedor]],TB_Vendas[[#This Row],[Des.]],TB_Vendas[[#This Row],[Des. Vendedor]])</f>
        <v>0.1</v>
      </c>
      <c r="J29" s="99">
        <f>TB_Vendas[[#This Row],[Preço Unitário]]*TB_Vendas[[#This Row],[Qtd]]</f>
        <v>65.900000000000006</v>
      </c>
      <c r="K29" s="98" t="s">
        <v>129</v>
      </c>
    </row>
    <row r="30" spans="1:11">
      <c r="A30" s="9">
        <f>MONTH(TB_Vendas[[#This Row],[Data]])</f>
        <v>3</v>
      </c>
      <c r="B30" s="102" t="str">
        <f>PROPER(TEXT(DATE(,TB_Vendas[[#This Row],[Nº]],1),"Mmm"))</f>
        <v>Mar</v>
      </c>
      <c r="C30" s="103">
        <v>45004</v>
      </c>
      <c r="D30" s="102" t="s">
        <v>107</v>
      </c>
      <c r="E30" s="98">
        <v>5</v>
      </c>
      <c r="F30" s="104">
        <f>_xlfn.XLOOKUP(TB_Vendas[[#This Row],[Código]],TB_Produtos[Código],TB_Produtos[Preço Unitário])</f>
        <v>32.9</v>
      </c>
      <c r="G30" s="105" cm="1">
        <f t="array" ref="G30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30" s="105">
        <f>_xlfn.XLOOKUP(TB_Vendas[[#This Row],[Vendedor]],TB_Vendedor[Código],TB_Vendedor[Desc. Máximo])</f>
        <v>0.15</v>
      </c>
      <c r="I30" s="105">
        <f>IF(TB_Vendas[[#This Row],[Des.]]&lt;=TB_Vendas[[#This Row],[Des. Vendedor]],TB_Vendas[[#This Row],[Des.]],TB_Vendas[[#This Row],[Des. Vendedor]])</f>
        <v>0.15</v>
      </c>
      <c r="J30" s="99">
        <f>TB_Vendas[[#This Row],[Preço Unitário]]*TB_Vendas[[#This Row],[Qtd]]</f>
        <v>164.5</v>
      </c>
      <c r="K30" s="98" t="s">
        <v>130</v>
      </c>
    </row>
    <row r="31" spans="1:11">
      <c r="A31" s="9">
        <f>MONTH(TB_Vendas[[#This Row],[Data]])</f>
        <v>3</v>
      </c>
      <c r="B31" s="102" t="str">
        <f>PROPER(TEXT(DATE(,TB_Vendas[[#This Row],[Nº]],1),"Mmm"))</f>
        <v>Mar</v>
      </c>
      <c r="C31" s="103">
        <v>45006</v>
      </c>
      <c r="D31" s="102" t="s">
        <v>122</v>
      </c>
      <c r="E31" s="98">
        <v>2</v>
      </c>
      <c r="F31" s="104">
        <f>_xlfn.XLOOKUP(TB_Vendas[[#This Row],[Código]],TB_Produtos[Código],TB_Produtos[Preço Unitário])</f>
        <v>180</v>
      </c>
      <c r="G31" s="105" cm="1">
        <f t="array" ref="G31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31" s="105">
        <f>_xlfn.XLOOKUP(TB_Vendas[[#This Row],[Vendedor]],TB_Vendedor[Código],TB_Vendedor[Desc. Máximo])</f>
        <v>0.25</v>
      </c>
      <c r="I31" s="105">
        <f>IF(TB_Vendas[[#This Row],[Des.]]&lt;=TB_Vendas[[#This Row],[Des. Vendedor]],TB_Vendas[[#This Row],[Des.]],TB_Vendas[[#This Row],[Des. Vendedor]])</f>
        <v>0.15</v>
      </c>
      <c r="J31" s="99">
        <f>TB_Vendas[[#This Row],[Preço Unitário]]*TB_Vendas[[#This Row],[Qtd]]</f>
        <v>360</v>
      </c>
      <c r="K31" s="98" t="s">
        <v>127</v>
      </c>
    </row>
    <row r="32" spans="1:11">
      <c r="A32" s="9">
        <f>MONTH(TB_Vendas[[#This Row],[Data]])</f>
        <v>3</v>
      </c>
      <c r="B32" s="102" t="str">
        <f>PROPER(TEXT(DATE(,TB_Vendas[[#This Row],[Nº]],1),"Mmm"))</f>
        <v>Mar</v>
      </c>
      <c r="C32" s="103">
        <v>45010</v>
      </c>
      <c r="D32" s="102" t="s">
        <v>57</v>
      </c>
      <c r="E32" s="98">
        <v>3</v>
      </c>
      <c r="F32" s="104">
        <f>_xlfn.XLOOKUP(TB_Vendas[[#This Row],[Código]],TB_Produtos[Código],TB_Produtos[Preço Unitário])</f>
        <v>349.9</v>
      </c>
      <c r="G32" s="105" cm="1">
        <f t="array" ref="G32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32" s="105">
        <f>_xlfn.XLOOKUP(TB_Vendas[[#This Row],[Vendedor]],TB_Vendedor[Código],TB_Vendedor[Desc. Máximo])</f>
        <v>0.2</v>
      </c>
      <c r="I32" s="105">
        <f>IF(TB_Vendas[[#This Row],[Des.]]&lt;=TB_Vendas[[#This Row],[Des. Vendedor]],TB_Vendas[[#This Row],[Des.]],TB_Vendas[[#This Row],[Des. Vendedor]])</f>
        <v>0.15</v>
      </c>
      <c r="J32" s="99">
        <f>TB_Vendas[[#This Row],[Preço Unitário]]*TB_Vendas[[#This Row],[Qtd]]</f>
        <v>1049.6999999999998</v>
      </c>
      <c r="K32" s="98" t="s">
        <v>126</v>
      </c>
    </row>
    <row r="33" spans="1:11">
      <c r="A33" s="9">
        <f>MONTH(TB_Vendas[[#This Row],[Data]])</f>
        <v>4</v>
      </c>
      <c r="B33" s="102" t="str">
        <f>PROPER(TEXT(DATE(,TB_Vendas[[#This Row],[Nº]],1),"Mmm"))</f>
        <v>Abr</v>
      </c>
      <c r="C33" s="103">
        <v>45018</v>
      </c>
      <c r="D33" s="102" t="s">
        <v>101</v>
      </c>
      <c r="E33" s="98">
        <v>1</v>
      </c>
      <c r="F33" s="104">
        <f>_xlfn.XLOOKUP(TB_Vendas[[#This Row],[Código]],TB_Produtos[Código],TB_Produtos[Preço Unitário])</f>
        <v>72.5</v>
      </c>
      <c r="G33" s="105" cm="1">
        <f t="array" ref="G33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33" s="105">
        <f>_xlfn.XLOOKUP(TB_Vendas[[#This Row],[Vendedor]],TB_Vendedor[Código],TB_Vendedor[Desc. Máximo])</f>
        <v>0.1</v>
      </c>
      <c r="I33" s="105">
        <f>IF(TB_Vendas[[#This Row],[Des.]]&lt;=TB_Vendas[[#This Row],[Des. Vendedor]],TB_Vendas[[#This Row],[Des.]],TB_Vendas[[#This Row],[Des. Vendedor]])</f>
        <v>0.1</v>
      </c>
      <c r="J33" s="99">
        <f>TB_Vendas[[#This Row],[Preço Unitário]]*TB_Vendas[[#This Row],[Qtd]]</f>
        <v>72.5</v>
      </c>
      <c r="K33" s="98" t="s">
        <v>128</v>
      </c>
    </row>
    <row r="34" spans="1:11">
      <c r="A34" s="9">
        <f>MONTH(TB_Vendas[[#This Row],[Data]])</f>
        <v>4</v>
      </c>
      <c r="B34" s="102" t="str">
        <f>PROPER(TEXT(DATE(,TB_Vendas[[#This Row],[Nº]],1),"Mmm"))</f>
        <v>Abr</v>
      </c>
      <c r="C34" s="103">
        <v>45020</v>
      </c>
      <c r="D34" s="102" t="s">
        <v>55</v>
      </c>
      <c r="E34" s="98">
        <v>4</v>
      </c>
      <c r="F34" s="104">
        <f>_xlfn.XLOOKUP(TB_Vendas[[#This Row],[Código]],TB_Produtos[Código],TB_Produtos[Preço Unitário])</f>
        <v>259.89999999999998</v>
      </c>
      <c r="G34" s="105" cm="1">
        <f t="array" ref="G34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34" s="105">
        <f>_xlfn.XLOOKUP(TB_Vendas[[#This Row],[Vendedor]],TB_Vendedor[Código],TB_Vendedor[Desc. Máximo])</f>
        <v>0.2</v>
      </c>
      <c r="I34" s="105">
        <f>IF(TB_Vendas[[#This Row],[Des.]]&lt;=TB_Vendas[[#This Row],[Des. Vendedor]],TB_Vendas[[#This Row],[Des.]],TB_Vendas[[#This Row],[Des. Vendedor]])</f>
        <v>0.2</v>
      </c>
      <c r="J34" s="99">
        <f>TB_Vendas[[#This Row],[Preço Unitário]]*TB_Vendas[[#This Row],[Qtd]]</f>
        <v>1039.5999999999999</v>
      </c>
      <c r="K34" s="98" t="s">
        <v>126</v>
      </c>
    </row>
    <row r="35" spans="1:11">
      <c r="A35" s="9">
        <f>MONTH(TB_Vendas[[#This Row],[Data]])</f>
        <v>4</v>
      </c>
      <c r="B35" s="102" t="str">
        <f>PROPER(TEXT(DATE(,TB_Vendas[[#This Row],[Nº]],1),"Mmm"))</f>
        <v>Abr</v>
      </c>
      <c r="C35" s="103">
        <v>45024</v>
      </c>
      <c r="D35" s="102" t="s">
        <v>47</v>
      </c>
      <c r="E35" s="98">
        <v>3</v>
      </c>
      <c r="F35" s="104">
        <f>_xlfn.XLOOKUP(TB_Vendas[[#This Row],[Código]],TB_Produtos[Código],TB_Produtos[Preço Unitário])</f>
        <v>25.9</v>
      </c>
      <c r="G35" s="105" cm="1">
        <f t="array" ref="G35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35" s="105">
        <f>_xlfn.XLOOKUP(TB_Vendas[[#This Row],[Vendedor]],TB_Vendedor[Código],TB_Vendedor[Desc. Máximo])</f>
        <v>0.25</v>
      </c>
      <c r="I35" s="105">
        <f>IF(TB_Vendas[[#This Row],[Des.]]&lt;=TB_Vendas[[#This Row],[Des. Vendedor]],TB_Vendas[[#This Row],[Des.]],TB_Vendas[[#This Row],[Des. Vendedor]])</f>
        <v>0.2</v>
      </c>
      <c r="J35" s="99">
        <f>TB_Vendas[[#This Row],[Preço Unitário]]*TB_Vendas[[#This Row],[Qtd]]</f>
        <v>77.699999999999989</v>
      </c>
      <c r="K35" s="98" t="s">
        <v>127</v>
      </c>
    </row>
    <row r="36" spans="1:11">
      <c r="A36" s="9">
        <f>MONTH(TB_Vendas[[#This Row],[Data]])</f>
        <v>4</v>
      </c>
      <c r="B36" s="102" t="str">
        <f>PROPER(TEXT(DATE(,TB_Vendas[[#This Row],[Nº]],1),"Mmm"))</f>
        <v>Abr</v>
      </c>
      <c r="C36" s="103">
        <v>45027</v>
      </c>
      <c r="D36" s="102" t="s">
        <v>35</v>
      </c>
      <c r="E36" s="98">
        <v>2</v>
      </c>
      <c r="F36" s="104">
        <f>_xlfn.XLOOKUP(TB_Vendas[[#This Row],[Código]],TB_Produtos[Código],TB_Produtos[Preço Unitário])</f>
        <v>145</v>
      </c>
      <c r="G36" s="105" cm="1">
        <f t="array" ref="G36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0.05</v>
      </c>
      <c r="H36" s="105">
        <f>_xlfn.XLOOKUP(TB_Vendas[[#This Row],[Vendedor]],TB_Vendedor[Código],TB_Vendedor[Desc. Máximo])</f>
        <v>0.2</v>
      </c>
      <c r="I36" s="105">
        <f>IF(TB_Vendas[[#This Row],[Des.]]&lt;=TB_Vendas[[#This Row],[Des. Vendedor]],TB_Vendas[[#This Row],[Des.]],TB_Vendas[[#This Row],[Des. Vendedor]])</f>
        <v>0.05</v>
      </c>
      <c r="J36" s="99">
        <f>TB_Vendas[[#This Row],[Preço Unitário]]*TB_Vendas[[#This Row],[Qtd]]</f>
        <v>290</v>
      </c>
      <c r="K36" s="98" t="s">
        <v>126</v>
      </c>
    </row>
    <row r="37" spans="1:11">
      <c r="A37" s="9">
        <f>MONTH(TB_Vendas[[#This Row],[Data]])</f>
        <v>4</v>
      </c>
      <c r="B37" s="102" t="str">
        <f>PROPER(TEXT(DATE(,TB_Vendas[[#This Row],[Nº]],1),"Mmm"))</f>
        <v>Abr</v>
      </c>
      <c r="C37" s="103">
        <v>45028</v>
      </c>
      <c r="D37" s="102" t="s">
        <v>37</v>
      </c>
      <c r="E37" s="98">
        <v>1</v>
      </c>
      <c r="F37" s="104">
        <f>_xlfn.XLOOKUP(TB_Vendas[[#This Row],[Código]],TB_Produtos[Código],TB_Produtos[Preço Unitário])</f>
        <v>39.9</v>
      </c>
      <c r="G37" s="105" cm="1">
        <f t="array" ref="G37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</v>
      </c>
      <c r="H37" s="105">
        <f>_xlfn.XLOOKUP(TB_Vendas[[#This Row],[Vendedor]],TB_Vendedor[Código],TB_Vendedor[Desc. Máximo])</f>
        <v>0.25</v>
      </c>
      <c r="I37" s="105">
        <f>IF(TB_Vendas[[#This Row],[Des.]]&lt;=TB_Vendas[[#This Row],[Des. Vendedor]],TB_Vendas[[#This Row],[Des.]],TB_Vendas[[#This Row],[Des. Vendedor]])</f>
        <v>0</v>
      </c>
      <c r="J37" s="99">
        <f>TB_Vendas[[#This Row],[Preço Unitário]]*TB_Vendas[[#This Row],[Qtd]]</f>
        <v>39.9</v>
      </c>
      <c r="K37" s="98" t="s">
        <v>127</v>
      </c>
    </row>
    <row r="38" spans="1:11">
      <c r="A38" s="9">
        <f>MONTH(TB_Vendas[[#This Row],[Data]])</f>
        <v>4</v>
      </c>
      <c r="B38" s="102" t="str">
        <f>PROPER(TEXT(DATE(,TB_Vendas[[#This Row],[Nº]],1),"Mmm"))</f>
        <v>Abr</v>
      </c>
      <c r="C38" s="103">
        <v>45029</v>
      </c>
      <c r="D38" s="102" t="s">
        <v>57</v>
      </c>
      <c r="E38" s="98">
        <v>3</v>
      </c>
      <c r="F38" s="104">
        <f>_xlfn.XLOOKUP(TB_Vendas[[#This Row],[Código]],TB_Produtos[Código],TB_Produtos[Preço Unitário])</f>
        <v>349.9</v>
      </c>
      <c r="G38" s="105" cm="1">
        <f t="array" ref="G38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38" s="105">
        <f>_xlfn.XLOOKUP(TB_Vendas[[#This Row],[Vendedor]],TB_Vendedor[Código],TB_Vendedor[Desc. Máximo])</f>
        <v>0.2</v>
      </c>
      <c r="I38" s="105">
        <f>IF(TB_Vendas[[#This Row],[Des.]]&lt;=TB_Vendas[[#This Row],[Des. Vendedor]],TB_Vendas[[#This Row],[Des.]],TB_Vendas[[#This Row],[Des. Vendedor]])</f>
        <v>0.15</v>
      </c>
      <c r="J38" s="99">
        <f>TB_Vendas[[#This Row],[Preço Unitário]]*TB_Vendas[[#This Row],[Qtd]]</f>
        <v>1049.6999999999998</v>
      </c>
      <c r="K38" s="98" t="s">
        <v>129</v>
      </c>
    </row>
    <row r="39" spans="1:11">
      <c r="A39" s="9">
        <f>MONTH(TB_Vendas[[#This Row],[Data]])</f>
        <v>4</v>
      </c>
      <c r="B39" s="102" t="str">
        <f>PROPER(TEXT(DATE(,TB_Vendas[[#This Row],[Nº]],1),"Mmm"))</f>
        <v>Abr</v>
      </c>
      <c r="C39" s="103">
        <v>45031</v>
      </c>
      <c r="D39" s="102" t="s">
        <v>118</v>
      </c>
      <c r="E39" s="98">
        <v>4</v>
      </c>
      <c r="F39" s="104">
        <f>_xlfn.XLOOKUP(TB_Vendas[[#This Row],[Código]],TB_Produtos[Código],TB_Produtos[Preço Unitário])</f>
        <v>89.9</v>
      </c>
      <c r="G39" s="105" cm="1">
        <f t="array" ref="G39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39" s="105">
        <f>_xlfn.XLOOKUP(TB_Vendas[[#This Row],[Vendedor]],TB_Vendedor[Código],TB_Vendedor[Desc. Máximo])</f>
        <v>0.2</v>
      </c>
      <c r="I39" s="105">
        <f>IF(TB_Vendas[[#This Row],[Des.]]&lt;=TB_Vendas[[#This Row],[Des. Vendedor]],TB_Vendas[[#This Row],[Des.]],TB_Vendas[[#This Row],[Des. Vendedor]])</f>
        <v>0.15</v>
      </c>
      <c r="J39" s="99">
        <f>TB_Vendas[[#This Row],[Preço Unitário]]*TB_Vendas[[#This Row],[Qtd]]</f>
        <v>359.6</v>
      </c>
      <c r="K39" s="98" t="s">
        <v>126</v>
      </c>
    </row>
    <row r="40" spans="1:11">
      <c r="A40" s="9">
        <f>MONTH(TB_Vendas[[#This Row],[Data]])</f>
        <v>4</v>
      </c>
      <c r="B40" s="102" t="str">
        <f>PROPER(TEXT(DATE(,TB_Vendas[[#This Row],[Nº]],1),"Mmm"))</f>
        <v>Abr</v>
      </c>
      <c r="C40" s="103">
        <v>45038</v>
      </c>
      <c r="D40" s="102" t="s">
        <v>115</v>
      </c>
      <c r="E40" s="98">
        <v>2</v>
      </c>
      <c r="F40" s="104">
        <f>_xlfn.XLOOKUP(TB_Vendas[[#This Row],[Código]],TB_Produtos[Código],TB_Produtos[Preço Unitário])</f>
        <v>89.9</v>
      </c>
      <c r="G40" s="105" cm="1">
        <f t="array" ref="G40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40" s="105">
        <f>_xlfn.XLOOKUP(TB_Vendas[[#This Row],[Vendedor]],TB_Vendedor[Código],TB_Vendedor[Desc. Máximo])</f>
        <v>0.2</v>
      </c>
      <c r="I40" s="105">
        <f>IF(TB_Vendas[[#This Row],[Des.]]&lt;=TB_Vendas[[#This Row],[Des. Vendedor]],TB_Vendas[[#This Row],[Des.]],TB_Vendas[[#This Row],[Des. Vendedor]])</f>
        <v>0.1</v>
      </c>
      <c r="J40" s="99">
        <f>TB_Vendas[[#This Row],[Preço Unitário]]*TB_Vendas[[#This Row],[Qtd]]</f>
        <v>179.8</v>
      </c>
      <c r="K40" s="98" t="s">
        <v>129</v>
      </c>
    </row>
    <row r="41" spans="1:11">
      <c r="A41" s="9">
        <f>MONTH(TB_Vendas[[#This Row],[Data]])</f>
        <v>4</v>
      </c>
      <c r="B41" s="102" t="str">
        <f>PROPER(TEXT(DATE(,TB_Vendas[[#This Row],[Nº]],1),"Mmm"))</f>
        <v>Abr</v>
      </c>
      <c r="C41" s="103">
        <v>45039</v>
      </c>
      <c r="D41" s="102" t="s">
        <v>33</v>
      </c>
      <c r="E41" s="98">
        <v>3</v>
      </c>
      <c r="F41" s="104">
        <f>_xlfn.XLOOKUP(TB_Vendas[[#This Row],[Código]],TB_Produtos[Código],TB_Produtos[Preço Unitário])</f>
        <v>69.900000000000006</v>
      </c>
      <c r="G41" s="105" cm="1">
        <f t="array" ref="G41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41" s="105">
        <f>_xlfn.XLOOKUP(TB_Vendas[[#This Row],[Vendedor]],TB_Vendedor[Código],TB_Vendedor[Desc. Máximo])</f>
        <v>0.2</v>
      </c>
      <c r="I41" s="105">
        <f>IF(TB_Vendas[[#This Row],[Des.]]&lt;=TB_Vendas[[#This Row],[Des. Vendedor]],TB_Vendas[[#This Row],[Des.]],TB_Vendas[[#This Row],[Des. Vendedor]])</f>
        <v>0.2</v>
      </c>
      <c r="J41" s="99">
        <f>TB_Vendas[[#This Row],[Preço Unitário]]*TB_Vendas[[#This Row],[Qtd]]</f>
        <v>209.70000000000002</v>
      </c>
      <c r="K41" s="98" t="s">
        <v>126</v>
      </c>
    </row>
    <row r="42" spans="1:11">
      <c r="A42" s="9">
        <f>MONTH(TB_Vendas[[#This Row],[Data]])</f>
        <v>4</v>
      </c>
      <c r="B42" s="102" t="str">
        <f>PROPER(TEXT(DATE(,TB_Vendas[[#This Row],[Nº]],1),"Mmm"))</f>
        <v>Abr</v>
      </c>
      <c r="C42" s="103">
        <v>45042</v>
      </c>
      <c r="D42" s="102" t="s">
        <v>35</v>
      </c>
      <c r="E42" s="98">
        <v>1</v>
      </c>
      <c r="F42" s="104">
        <f>_xlfn.XLOOKUP(TB_Vendas[[#This Row],[Código]],TB_Produtos[Código],TB_Produtos[Preço Unitário])</f>
        <v>145</v>
      </c>
      <c r="G42" s="105" cm="1">
        <f t="array" ref="G42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</v>
      </c>
      <c r="H42" s="105">
        <f>_xlfn.XLOOKUP(TB_Vendas[[#This Row],[Vendedor]],TB_Vendedor[Código],TB_Vendedor[Desc. Máximo])</f>
        <v>0.15</v>
      </c>
      <c r="I42" s="105">
        <f>IF(TB_Vendas[[#This Row],[Des.]]&lt;=TB_Vendas[[#This Row],[Des. Vendedor]],TB_Vendas[[#This Row],[Des.]],TB_Vendas[[#This Row],[Des. Vendedor]])</f>
        <v>0</v>
      </c>
      <c r="J42" s="99">
        <f>TB_Vendas[[#This Row],[Preço Unitário]]*TB_Vendas[[#This Row],[Qtd]]</f>
        <v>145</v>
      </c>
      <c r="K42" s="98" t="s">
        <v>130</v>
      </c>
    </row>
    <row r="43" spans="1:11">
      <c r="A43" s="9">
        <f>MONTH(TB_Vendas[[#This Row],[Data]])</f>
        <v>4</v>
      </c>
      <c r="B43" s="102" t="str">
        <f>PROPER(TEXT(DATE(,TB_Vendas[[#This Row],[Nº]],1),"Mmm"))</f>
        <v>Abr</v>
      </c>
      <c r="C43" s="103">
        <v>45043</v>
      </c>
      <c r="D43" s="102" t="s">
        <v>42</v>
      </c>
      <c r="E43" s="98">
        <v>4</v>
      </c>
      <c r="F43" s="104">
        <f>_xlfn.XLOOKUP(TB_Vendas[[#This Row],[Código]],TB_Produtos[Código],TB_Produtos[Preço Unitário])</f>
        <v>46.9</v>
      </c>
      <c r="G43" s="105" cm="1">
        <f t="array" ref="G43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43" s="105">
        <f>_xlfn.XLOOKUP(TB_Vendas[[#This Row],[Vendedor]],TB_Vendedor[Código],TB_Vendedor[Desc. Máximo])</f>
        <v>0.2</v>
      </c>
      <c r="I43" s="105">
        <f>IF(TB_Vendas[[#This Row],[Des.]]&lt;=TB_Vendas[[#This Row],[Des. Vendedor]],TB_Vendas[[#This Row],[Des.]],TB_Vendas[[#This Row],[Des. Vendedor]])</f>
        <v>0.2</v>
      </c>
      <c r="J43" s="99">
        <f>TB_Vendas[[#This Row],[Preço Unitário]]*TB_Vendas[[#This Row],[Qtd]]</f>
        <v>187.6</v>
      </c>
      <c r="K43" s="98" t="s">
        <v>126</v>
      </c>
    </row>
    <row r="44" spans="1:11">
      <c r="A44" s="9">
        <f>MONTH(TB_Vendas[[#This Row],[Data]])</f>
        <v>5</v>
      </c>
      <c r="B44" s="102" t="str">
        <f>PROPER(TEXT(DATE(,TB_Vendas[[#This Row],[Nº]],1),"Mmm"))</f>
        <v>Mai</v>
      </c>
      <c r="C44" s="103">
        <v>45054</v>
      </c>
      <c r="D44" s="102" t="s">
        <v>99</v>
      </c>
      <c r="E44" s="98">
        <v>2</v>
      </c>
      <c r="F44" s="104">
        <f>_xlfn.XLOOKUP(TB_Vendas[[#This Row],[Código]],TB_Produtos[Código],TB_Produtos[Preço Unitário])</f>
        <v>72.5</v>
      </c>
      <c r="G44" s="105" cm="1">
        <f t="array" ref="G44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44" s="105">
        <f>_xlfn.XLOOKUP(TB_Vendas[[#This Row],[Vendedor]],TB_Vendedor[Código],TB_Vendedor[Desc. Máximo])</f>
        <v>0.15</v>
      </c>
      <c r="I44" s="105">
        <f>IF(TB_Vendas[[#This Row],[Des.]]&lt;=TB_Vendas[[#This Row],[Des. Vendedor]],TB_Vendas[[#This Row],[Des.]],TB_Vendas[[#This Row],[Des. Vendedor]])</f>
        <v>0.15</v>
      </c>
      <c r="J44" s="99">
        <f>TB_Vendas[[#This Row],[Preço Unitário]]*TB_Vendas[[#This Row],[Qtd]]</f>
        <v>145</v>
      </c>
      <c r="K44" s="98" t="s">
        <v>130</v>
      </c>
    </row>
    <row r="45" spans="1:11">
      <c r="A45" s="9">
        <f>MONTH(TB_Vendas[[#This Row],[Data]])</f>
        <v>5</v>
      </c>
      <c r="B45" s="102" t="str">
        <f>PROPER(TEXT(DATE(,TB_Vendas[[#This Row],[Nº]],1),"Mmm"))</f>
        <v>Mai</v>
      </c>
      <c r="C45" s="103">
        <v>45055</v>
      </c>
      <c r="D45" s="102" t="s">
        <v>68</v>
      </c>
      <c r="E45" s="98">
        <v>3</v>
      </c>
      <c r="F45" s="104">
        <f>_xlfn.XLOOKUP(TB_Vendas[[#This Row],[Código]],TB_Produtos[Código],TB_Produtos[Preço Unitário])</f>
        <v>140</v>
      </c>
      <c r="G45" s="105" cm="1">
        <f t="array" ref="G45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45" s="105">
        <f>_xlfn.XLOOKUP(TB_Vendas[[#This Row],[Vendedor]],TB_Vendedor[Código],TB_Vendedor[Desc. Máximo])</f>
        <v>0.2</v>
      </c>
      <c r="I45" s="105">
        <f>IF(TB_Vendas[[#This Row],[Des.]]&lt;=TB_Vendas[[#This Row],[Des. Vendedor]],TB_Vendas[[#This Row],[Des.]],TB_Vendas[[#This Row],[Des. Vendedor]])</f>
        <v>0.2</v>
      </c>
      <c r="J45" s="99">
        <f>TB_Vendas[[#This Row],[Preço Unitário]]*TB_Vendas[[#This Row],[Qtd]]</f>
        <v>420</v>
      </c>
      <c r="K45" s="98" t="s">
        <v>129</v>
      </c>
    </row>
    <row r="46" spans="1:11">
      <c r="A46" s="9">
        <f>MONTH(TB_Vendas[[#This Row],[Data]])</f>
        <v>5</v>
      </c>
      <c r="B46" s="102" t="str">
        <f>PROPER(TEXT(DATE(,TB_Vendas[[#This Row],[Nº]],1),"Mmm"))</f>
        <v>Mai</v>
      </c>
      <c r="C46" s="103">
        <v>45056</v>
      </c>
      <c r="D46" s="102" t="s">
        <v>66</v>
      </c>
      <c r="E46" s="98">
        <v>1</v>
      </c>
      <c r="F46" s="104">
        <f>_xlfn.XLOOKUP(TB_Vendas[[#This Row],[Código]],TB_Produtos[Código],TB_Produtos[Preço Unitário])</f>
        <v>91.4</v>
      </c>
      <c r="G46" s="105" cm="1">
        <f t="array" ref="G46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46" s="105">
        <f>_xlfn.XLOOKUP(TB_Vendas[[#This Row],[Vendedor]],TB_Vendedor[Código],TB_Vendedor[Desc. Máximo])</f>
        <v>0.25</v>
      </c>
      <c r="I46" s="105">
        <f>IF(TB_Vendas[[#This Row],[Des.]]&lt;=TB_Vendas[[#This Row],[Des. Vendedor]],TB_Vendas[[#This Row],[Des.]],TB_Vendas[[#This Row],[Des. Vendedor]])</f>
        <v>0.1</v>
      </c>
      <c r="J46" s="99">
        <f>TB_Vendas[[#This Row],[Preço Unitário]]*TB_Vendas[[#This Row],[Qtd]]</f>
        <v>91.4</v>
      </c>
      <c r="K46" s="98" t="s">
        <v>127</v>
      </c>
    </row>
    <row r="47" spans="1:11">
      <c r="A47" s="9">
        <f>MONTH(TB_Vendas[[#This Row],[Data]])</f>
        <v>5</v>
      </c>
      <c r="B47" s="102" t="str">
        <f>PROPER(TEXT(DATE(,TB_Vendas[[#This Row],[Nº]],1),"Mmm"))</f>
        <v>Mai</v>
      </c>
      <c r="C47" s="103">
        <v>45057</v>
      </c>
      <c r="D47" s="102" t="s">
        <v>57</v>
      </c>
      <c r="E47" s="98">
        <v>2</v>
      </c>
      <c r="F47" s="104">
        <f>_xlfn.XLOOKUP(TB_Vendas[[#This Row],[Código]],TB_Produtos[Código],TB_Produtos[Preço Unitário])</f>
        <v>349.9</v>
      </c>
      <c r="G47" s="105" cm="1">
        <f t="array" ref="G47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0.05</v>
      </c>
      <c r="H47" s="105">
        <f>_xlfn.XLOOKUP(TB_Vendas[[#This Row],[Vendedor]],TB_Vendedor[Código],TB_Vendedor[Desc. Máximo])</f>
        <v>0.2</v>
      </c>
      <c r="I47" s="105">
        <f>IF(TB_Vendas[[#This Row],[Des.]]&lt;=TB_Vendas[[#This Row],[Des. Vendedor]],TB_Vendas[[#This Row],[Des.]],TB_Vendas[[#This Row],[Des. Vendedor]])</f>
        <v>0.05</v>
      </c>
      <c r="J47" s="99">
        <f>TB_Vendas[[#This Row],[Preço Unitário]]*TB_Vendas[[#This Row],[Qtd]]</f>
        <v>699.8</v>
      </c>
      <c r="K47" s="98" t="s">
        <v>129</v>
      </c>
    </row>
    <row r="48" spans="1:11">
      <c r="A48" s="9">
        <f>MONTH(TB_Vendas[[#This Row],[Data]])</f>
        <v>5</v>
      </c>
      <c r="B48" s="102" t="str">
        <f>PROPER(TEXT(DATE(,TB_Vendas[[#This Row],[Nº]],1),"Mmm"))</f>
        <v>Mai</v>
      </c>
      <c r="C48" s="103">
        <v>45058</v>
      </c>
      <c r="D48" s="102" t="s">
        <v>32</v>
      </c>
      <c r="E48" s="98">
        <v>3</v>
      </c>
      <c r="F48" s="104">
        <f>_xlfn.XLOOKUP(TB_Vendas[[#This Row],[Código]],TB_Produtos[Código],TB_Produtos[Preço Unitário])</f>
        <v>65.900000000000006</v>
      </c>
      <c r="G48" s="105" cm="1">
        <f t="array" ref="G48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48" s="105">
        <f>_xlfn.XLOOKUP(TB_Vendas[[#This Row],[Vendedor]],TB_Vendedor[Código],TB_Vendedor[Desc. Máximo])</f>
        <v>0.25</v>
      </c>
      <c r="I48" s="105">
        <f>IF(TB_Vendas[[#This Row],[Des.]]&lt;=TB_Vendas[[#This Row],[Des. Vendedor]],TB_Vendas[[#This Row],[Des.]],TB_Vendas[[#This Row],[Des. Vendedor]])</f>
        <v>0.2</v>
      </c>
      <c r="J48" s="99">
        <f>TB_Vendas[[#This Row],[Preço Unitário]]*TB_Vendas[[#This Row],[Qtd]]</f>
        <v>197.70000000000002</v>
      </c>
      <c r="K48" s="98" t="s">
        <v>127</v>
      </c>
    </row>
    <row r="49" spans="1:11">
      <c r="A49" s="9">
        <f>MONTH(TB_Vendas[[#This Row],[Data]])</f>
        <v>5</v>
      </c>
      <c r="B49" s="102" t="str">
        <f>PROPER(TEXT(DATE(,TB_Vendas[[#This Row],[Nº]],1),"Mmm"))</f>
        <v>Mai</v>
      </c>
      <c r="C49" s="103">
        <v>45061</v>
      </c>
      <c r="D49" s="102" t="s">
        <v>66</v>
      </c>
      <c r="E49" s="98">
        <v>2</v>
      </c>
      <c r="F49" s="104">
        <f>_xlfn.XLOOKUP(TB_Vendas[[#This Row],[Código]],TB_Produtos[Código],TB_Produtos[Preço Unitário])</f>
        <v>91.4</v>
      </c>
      <c r="G49" s="105" cm="1">
        <f t="array" ref="G49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49" s="105">
        <f>_xlfn.XLOOKUP(TB_Vendas[[#This Row],[Vendedor]],TB_Vendedor[Código],TB_Vendedor[Desc. Máximo])</f>
        <v>0.2</v>
      </c>
      <c r="I49" s="105">
        <f>IF(TB_Vendas[[#This Row],[Des.]]&lt;=TB_Vendas[[#This Row],[Des. Vendedor]],TB_Vendas[[#This Row],[Des.]],TB_Vendas[[#This Row],[Des. Vendedor]])</f>
        <v>0.15</v>
      </c>
      <c r="J49" s="99">
        <f>TB_Vendas[[#This Row],[Preço Unitário]]*TB_Vendas[[#This Row],[Qtd]]</f>
        <v>182.8</v>
      </c>
      <c r="K49" s="98" t="s">
        <v>126</v>
      </c>
    </row>
    <row r="50" spans="1:11">
      <c r="A50" s="9">
        <f>MONTH(TB_Vendas[[#This Row],[Data]])</f>
        <v>5</v>
      </c>
      <c r="B50" s="102" t="str">
        <f>PROPER(TEXT(DATE(,TB_Vendas[[#This Row],[Nº]],1),"Mmm"))</f>
        <v>Mai</v>
      </c>
      <c r="C50" s="103">
        <v>45064</v>
      </c>
      <c r="D50" s="102" t="s">
        <v>36</v>
      </c>
      <c r="E50" s="98">
        <v>4</v>
      </c>
      <c r="F50" s="104">
        <f>_xlfn.XLOOKUP(TB_Vendas[[#This Row],[Código]],TB_Produtos[Código],TB_Produtos[Preço Unitário])</f>
        <v>259.89999999999998</v>
      </c>
      <c r="G50" s="105" cm="1">
        <f t="array" ref="G50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50" s="105">
        <f>_xlfn.XLOOKUP(TB_Vendas[[#This Row],[Vendedor]],TB_Vendedor[Código],TB_Vendedor[Desc. Máximo])</f>
        <v>0.25</v>
      </c>
      <c r="I50" s="105">
        <f>IF(TB_Vendas[[#This Row],[Des.]]&lt;=TB_Vendas[[#This Row],[Des. Vendedor]],TB_Vendas[[#This Row],[Des.]],TB_Vendas[[#This Row],[Des. Vendedor]])</f>
        <v>0.15</v>
      </c>
      <c r="J50" s="99">
        <f>TB_Vendas[[#This Row],[Preço Unitário]]*TB_Vendas[[#This Row],[Qtd]]</f>
        <v>1039.5999999999999</v>
      </c>
      <c r="K50" s="98" t="s">
        <v>127</v>
      </c>
    </row>
    <row r="51" spans="1:11">
      <c r="A51" s="9">
        <f>MONTH(TB_Vendas[[#This Row],[Data]])</f>
        <v>6</v>
      </c>
      <c r="B51" s="102" t="str">
        <f>PROPER(TEXT(DATE(,TB_Vendas[[#This Row],[Nº]],1),"Mmm"))</f>
        <v>Jun</v>
      </c>
      <c r="C51" s="103">
        <v>45084</v>
      </c>
      <c r="D51" s="102" t="s">
        <v>35</v>
      </c>
      <c r="E51" s="98">
        <v>3</v>
      </c>
      <c r="F51" s="104">
        <f>_xlfn.XLOOKUP(TB_Vendas[[#This Row],[Código]],TB_Produtos[Código],TB_Produtos[Preço Unitário])</f>
        <v>145</v>
      </c>
      <c r="G51" s="105" cm="1">
        <f t="array" ref="G51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51" s="105">
        <f>_xlfn.XLOOKUP(TB_Vendas[[#This Row],[Vendedor]],TB_Vendedor[Código],TB_Vendedor[Desc. Máximo])</f>
        <v>0.2</v>
      </c>
      <c r="I51" s="105">
        <f>IF(TB_Vendas[[#This Row],[Des.]]&lt;=TB_Vendas[[#This Row],[Des. Vendedor]],TB_Vendas[[#This Row],[Des.]],TB_Vendas[[#This Row],[Des. Vendedor]])</f>
        <v>0.15</v>
      </c>
      <c r="J51" s="99">
        <f>TB_Vendas[[#This Row],[Preço Unitário]]*TB_Vendas[[#This Row],[Qtd]]</f>
        <v>435</v>
      </c>
      <c r="K51" s="98" t="s">
        <v>126</v>
      </c>
    </row>
    <row r="52" spans="1:11">
      <c r="A52" s="9">
        <f>MONTH(TB_Vendas[[#This Row],[Data]])</f>
        <v>6</v>
      </c>
      <c r="B52" s="102" t="str">
        <f>PROPER(TEXT(DATE(,TB_Vendas[[#This Row],[Nº]],1),"Mmm"))</f>
        <v>Jun</v>
      </c>
      <c r="C52" s="103">
        <v>45084</v>
      </c>
      <c r="D52" s="102" t="s">
        <v>69</v>
      </c>
      <c r="E52" s="98">
        <v>2</v>
      </c>
      <c r="F52" s="104">
        <f>_xlfn.XLOOKUP(TB_Vendas[[#This Row],[Código]],TB_Produtos[Código],TB_Produtos[Preço Unitário])</f>
        <v>142.9</v>
      </c>
      <c r="G52" s="105" cm="1">
        <f t="array" ref="G52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52" s="105">
        <f>_xlfn.XLOOKUP(TB_Vendas[[#This Row],[Vendedor]],TB_Vendedor[Código],TB_Vendedor[Desc. Máximo])</f>
        <v>0.1</v>
      </c>
      <c r="I52" s="105">
        <f>IF(TB_Vendas[[#This Row],[Des.]]&lt;=TB_Vendas[[#This Row],[Des. Vendedor]],TB_Vendas[[#This Row],[Des.]],TB_Vendas[[#This Row],[Des. Vendedor]])</f>
        <v>0.1</v>
      </c>
      <c r="J52" s="99">
        <f>TB_Vendas[[#This Row],[Preço Unitário]]*TB_Vendas[[#This Row],[Qtd]]</f>
        <v>285.8</v>
      </c>
      <c r="K52" s="98" t="s">
        <v>128</v>
      </c>
    </row>
    <row r="53" spans="1:11">
      <c r="A53" s="9">
        <f>MONTH(TB_Vendas[[#This Row],[Data]])</f>
        <v>6</v>
      </c>
      <c r="B53" s="102" t="str">
        <f>PROPER(TEXT(DATE(,TB_Vendas[[#This Row],[Nº]],1),"Mmm"))</f>
        <v>Jun</v>
      </c>
      <c r="C53" s="103">
        <v>45086</v>
      </c>
      <c r="D53" s="102" t="s">
        <v>122</v>
      </c>
      <c r="E53" s="98">
        <v>2</v>
      </c>
      <c r="F53" s="104">
        <f>_xlfn.XLOOKUP(TB_Vendas[[#This Row],[Código]],TB_Produtos[Código],TB_Produtos[Preço Unitário])</f>
        <v>180</v>
      </c>
      <c r="G53" s="105" cm="1">
        <f t="array" ref="G53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53" s="105">
        <f>_xlfn.XLOOKUP(TB_Vendas[[#This Row],[Vendedor]],TB_Vendedor[Código],TB_Vendedor[Desc. Máximo])</f>
        <v>0.2</v>
      </c>
      <c r="I53" s="105">
        <f>IF(TB_Vendas[[#This Row],[Des.]]&lt;=TB_Vendas[[#This Row],[Des. Vendedor]],TB_Vendas[[#This Row],[Des.]],TB_Vendas[[#This Row],[Des. Vendedor]])</f>
        <v>0.15</v>
      </c>
      <c r="J53" s="99">
        <f>TB_Vendas[[#This Row],[Preço Unitário]]*TB_Vendas[[#This Row],[Qtd]]</f>
        <v>360</v>
      </c>
      <c r="K53" s="98" t="s">
        <v>126</v>
      </c>
    </row>
    <row r="54" spans="1:11">
      <c r="A54" s="9">
        <f>MONTH(TB_Vendas[[#This Row],[Data]])</f>
        <v>6</v>
      </c>
      <c r="B54" s="102" t="str">
        <f>PROPER(TEXT(DATE(,TB_Vendas[[#This Row],[Nº]],1),"Mmm"))</f>
        <v>Jun</v>
      </c>
      <c r="C54" s="103">
        <v>45086</v>
      </c>
      <c r="D54" s="102" t="s">
        <v>46</v>
      </c>
      <c r="E54" s="98">
        <v>2</v>
      </c>
      <c r="F54" s="104">
        <f>_xlfn.XLOOKUP(TB_Vendas[[#This Row],[Código]],TB_Produtos[Código],TB_Produtos[Preço Unitário])</f>
        <v>42.5</v>
      </c>
      <c r="G54" s="105" cm="1">
        <f t="array" ref="G54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54" s="105">
        <f>_xlfn.XLOOKUP(TB_Vendas[[#This Row],[Vendedor]],TB_Vendedor[Código],TB_Vendedor[Desc. Máximo])</f>
        <v>0.1</v>
      </c>
      <c r="I54" s="105">
        <f>IF(TB_Vendas[[#This Row],[Des.]]&lt;=TB_Vendas[[#This Row],[Des. Vendedor]],TB_Vendas[[#This Row],[Des.]],TB_Vendas[[#This Row],[Des. Vendedor]])</f>
        <v>0.1</v>
      </c>
      <c r="J54" s="99">
        <f>TB_Vendas[[#This Row],[Preço Unitário]]*TB_Vendas[[#This Row],[Qtd]]</f>
        <v>85</v>
      </c>
      <c r="K54" s="98" t="s">
        <v>128</v>
      </c>
    </row>
    <row r="55" spans="1:11">
      <c r="A55" s="9">
        <f>MONTH(TB_Vendas[[#This Row],[Data]])</f>
        <v>6</v>
      </c>
      <c r="B55" s="102" t="str">
        <f>PROPER(TEXT(DATE(,TB_Vendas[[#This Row],[Nº]],1),"Mmm"))</f>
        <v>Jun</v>
      </c>
      <c r="C55" s="103">
        <v>45088</v>
      </c>
      <c r="D55" s="102" t="s">
        <v>32</v>
      </c>
      <c r="E55" s="98">
        <v>1</v>
      </c>
      <c r="F55" s="104">
        <f>_xlfn.XLOOKUP(TB_Vendas[[#This Row],[Código]],TB_Produtos[Código],TB_Produtos[Preço Unitário])</f>
        <v>65.900000000000006</v>
      </c>
      <c r="G55" s="105" cm="1">
        <f t="array" ref="G55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55" s="105">
        <f>_xlfn.XLOOKUP(TB_Vendas[[#This Row],[Vendedor]],TB_Vendedor[Código],TB_Vendedor[Desc. Máximo])</f>
        <v>0.25</v>
      </c>
      <c r="I55" s="105">
        <f>IF(TB_Vendas[[#This Row],[Des.]]&lt;=TB_Vendas[[#This Row],[Des. Vendedor]],TB_Vendas[[#This Row],[Des.]],TB_Vendas[[#This Row],[Des. Vendedor]])</f>
        <v>0.1</v>
      </c>
      <c r="J55" s="99">
        <f>TB_Vendas[[#This Row],[Preço Unitário]]*TB_Vendas[[#This Row],[Qtd]]</f>
        <v>65.900000000000006</v>
      </c>
      <c r="K55" s="98" t="s">
        <v>127</v>
      </c>
    </row>
    <row r="56" spans="1:11">
      <c r="A56" s="9">
        <f>MONTH(TB_Vendas[[#This Row],[Data]])</f>
        <v>6</v>
      </c>
      <c r="B56" s="102" t="str">
        <f>PROPER(TEXT(DATE(,TB_Vendas[[#This Row],[Nº]],1),"Mmm"))</f>
        <v>Jun</v>
      </c>
      <c r="C56" s="103">
        <v>45090</v>
      </c>
      <c r="D56" s="102" t="s">
        <v>119</v>
      </c>
      <c r="E56" s="98">
        <v>1</v>
      </c>
      <c r="F56" s="104">
        <f>_xlfn.XLOOKUP(TB_Vendas[[#This Row],[Código]],TB_Produtos[Código],TB_Produtos[Preço Unitário])</f>
        <v>180</v>
      </c>
      <c r="G56" s="105" cm="1">
        <f t="array" ref="G56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56" s="105">
        <f>_xlfn.XLOOKUP(TB_Vendas[[#This Row],[Vendedor]],TB_Vendedor[Código],TB_Vendedor[Desc. Máximo])</f>
        <v>0.1</v>
      </c>
      <c r="I56" s="105">
        <f>IF(TB_Vendas[[#This Row],[Des.]]&lt;=TB_Vendas[[#This Row],[Des. Vendedor]],TB_Vendas[[#This Row],[Des.]],TB_Vendas[[#This Row],[Des. Vendedor]])</f>
        <v>0.1</v>
      </c>
      <c r="J56" s="99">
        <f>TB_Vendas[[#This Row],[Preço Unitário]]*TB_Vendas[[#This Row],[Qtd]]</f>
        <v>180</v>
      </c>
      <c r="K56" s="98" t="s">
        <v>128</v>
      </c>
    </row>
    <row r="57" spans="1:11">
      <c r="A57" s="9">
        <f>MONTH(TB_Vendas[[#This Row],[Data]])</f>
        <v>6</v>
      </c>
      <c r="B57" s="102" t="str">
        <f>PROPER(TEXT(DATE(,TB_Vendas[[#This Row],[Nº]],1),"Mmm"))</f>
        <v>Jun</v>
      </c>
      <c r="C57" s="103">
        <v>45093</v>
      </c>
      <c r="D57" s="102" t="s">
        <v>109</v>
      </c>
      <c r="E57" s="98">
        <v>3</v>
      </c>
      <c r="F57" s="104">
        <f>_xlfn.XLOOKUP(TB_Vendas[[#This Row],[Código]],TB_Produtos[Código],TB_Produtos[Preço Unitário])</f>
        <v>32.9</v>
      </c>
      <c r="G57" s="105" cm="1">
        <f t="array" ref="G57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57" s="105">
        <f>_xlfn.XLOOKUP(TB_Vendas[[#This Row],[Vendedor]],TB_Vendedor[Código],TB_Vendedor[Desc. Máximo])</f>
        <v>0.25</v>
      </c>
      <c r="I57" s="105">
        <f>IF(TB_Vendas[[#This Row],[Des.]]&lt;=TB_Vendas[[#This Row],[Des. Vendedor]],TB_Vendas[[#This Row],[Des.]],TB_Vendas[[#This Row],[Des. Vendedor]])</f>
        <v>0.2</v>
      </c>
      <c r="J57" s="99">
        <f>TB_Vendas[[#This Row],[Preço Unitário]]*TB_Vendas[[#This Row],[Qtd]]</f>
        <v>98.699999999999989</v>
      </c>
      <c r="K57" s="98" t="s">
        <v>127</v>
      </c>
    </row>
    <row r="58" spans="1:11">
      <c r="A58" s="9">
        <f>MONTH(TB_Vendas[[#This Row],[Data]])</f>
        <v>6</v>
      </c>
      <c r="B58" s="102" t="str">
        <f>PROPER(TEXT(DATE(,TB_Vendas[[#This Row],[Nº]],1),"Mmm"))</f>
        <v>Jun</v>
      </c>
      <c r="C58" s="103">
        <v>45093</v>
      </c>
      <c r="D58" s="102" t="s">
        <v>40</v>
      </c>
      <c r="E58" s="98">
        <v>4</v>
      </c>
      <c r="F58" s="104">
        <f>_xlfn.XLOOKUP(TB_Vendas[[#This Row],[Código]],TB_Produtos[Código],TB_Produtos[Preço Unitário])</f>
        <v>92.9</v>
      </c>
      <c r="G58" s="105" cm="1">
        <f t="array" ref="G58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58" s="105">
        <f>_xlfn.XLOOKUP(TB_Vendas[[#This Row],[Vendedor]],TB_Vendedor[Código],TB_Vendedor[Desc. Máximo])</f>
        <v>0.2</v>
      </c>
      <c r="I58" s="105">
        <f>IF(TB_Vendas[[#This Row],[Des.]]&lt;=TB_Vendas[[#This Row],[Des. Vendedor]],TB_Vendas[[#This Row],[Des.]],TB_Vendas[[#This Row],[Des. Vendedor]])</f>
        <v>0.2</v>
      </c>
      <c r="J58" s="99">
        <f>TB_Vendas[[#This Row],[Preço Unitário]]*TB_Vendas[[#This Row],[Qtd]]</f>
        <v>371.6</v>
      </c>
      <c r="K58" s="98" t="s">
        <v>126</v>
      </c>
    </row>
    <row r="59" spans="1:11">
      <c r="A59" s="9">
        <f>MONTH(TB_Vendas[[#This Row],[Data]])</f>
        <v>6</v>
      </c>
      <c r="B59" s="102" t="str">
        <f>PROPER(TEXT(DATE(,TB_Vendas[[#This Row],[Nº]],1),"Mmm"))</f>
        <v>Jun</v>
      </c>
      <c r="C59" s="103">
        <v>45094</v>
      </c>
      <c r="D59" s="102" t="s">
        <v>64</v>
      </c>
      <c r="E59" s="98">
        <v>2</v>
      </c>
      <c r="F59" s="104">
        <f>_xlfn.XLOOKUP(TB_Vendas[[#This Row],[Código]],TB_Produtos[Código],TB_Produtos[Preço Unitário])</f>
        <v>259.89999999999998</v>
      </c>
      <c r="G59" s="105" cm="1">
        <f t="array" ref="G59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59" s="105">
        <f>_xlfn.XLOOKUP(TB_Vendas[[#This Row],[Vendedor]],TB_Vendedor[Código],TB_Vendedor[Desc. Máximo])</f>
        <v>0.1</v>
      </c>
      <c r="I59" s="105">
        <f>IF(TB_Vendas[[#This Row],[Des.]]&lt;=TB_Vendas[[#This Row],[Des. Vendedor]],TB_Vendas[[#This Row],[Des.]],TB_Vendas[[#This Row],[Des. Vendedor]])</f>
        <v>0.1</v>
      </c>
      <c r="J59" s="99">
        <f>TB_Vendas[[#This Row],[Preço Unitário]]*TB_Vendas[[#This Row],[Qtd]]</f>
        <v>519.79999999999995</v>
      </c>
      <c r="K59" s="98" t="s">
        <v>128</v>
      </c>
    </row>
    <row r="60" spans="1:11">
      <c r="A60" s="9">
        <f>MONTH(TB_Vendas[[#This Row],[Data]])</f>
        <v>6</v>
      </c>
      <c r="B60" s="102" t="str">
        <f>PROPER(TEXT(DATE(,TB_Vendas[[#This Row],[Nº]],1),"Mmm"))</f>
        <v>Jun</v>
      </c>
      <c r="C60" s="103">
        <v>45097</v>
      </c>
      <c r="D60" s="102" t="s">
        <v>55</v>
      </c>
      <c r="E60" s="98">
        <v>1</v>
      </c>
      <c r="F60" s="104">
        <f>_xlfn.XLOOKUP(TB_Vendas[[#This Row],[Código]],TB_Produtos[Código],TB_Produtos[Preço Unitário])</f>
        <v>259.89999999999998</v>
      </c>
      <c r="G60" s="105" cm="1">
        <f t="array" ref="G60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60" s="105">
        <f>_xlfn.XLOOKUP(TB_Vendas[[#This Row],[Vendedor]],TB_Vendedor[Código],TB_Vendedor[Desc. Máximo])</f>
        <v>0.15</v>
      </c>
      <c r="I60" s="105">
        <f>IF(TB_Vendas[[#This Row],[Des.]]&lt;=TB_Vendas[[#This Row],[Des. Vendedor]],TB_Vendas[[#This Row],[Des.]],TB_Vendas[[#This Row],[Des. Vendedor]])</f>
        <v>0.1</v>
      </c>
      <c r="J60" s="99">
        <f>TB_Vendas[[#This Row],[Preço Unitário]]*TB_Vendas[[#This Row],[Qtd]]</f>
        <v>259.89999999999998</v>
      </c>
      <c r="K60" s="98" t="s">
        <v>130</v>
      </c>
    </row>
    <row r="61" spans="1:11">
      <c r="A61" s="9">
        <f>MONTH(TB_Vendas[[#This Row],[Data]])</f>
        <v>6</v>
      </c>
      <c r="B61" s="102" t="str">
        <f>PROPER(TEXT(DATE(,TB_Vendas[[#This Row],[Nº]],1),"Mmm"))</f>
        <v>Jun</v>
      </c>
      <c r="C61" s="103">
        <v>45105</v>
      </c>
      <c r="D61" s="102" t="s">
        <v>46</v>
      </c>
      <c r="E61" s="98">
        <v>5</v>
      </c>
      <c r="F61" s="104">
        <f>_xlfn.XLOOKUP(TB_Vendas[[#This Row],[Código]],TB_Produtos[Código],TB_Produtos[Preço Unitário])</f>
        <v>42.5</v>
      </c>
      <c r="G61" s="105" cm="1">
        <f t="array" ref="G61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61" s="105">
        <f>_xlfn.XLOOKUP(TB_Vendas[[#This Row],[Vendedor]],TB_Vendedor[Código],TB_Vendedor[Desc. Máximo])</f>
        <v>0.15</v>
      </c>
      <c r="I61" s="105">
        <f>IF(TB_Vendas[[#This Row],[Des.]]&lt;=TB_Vendas[[#This Row],[Des. Vendedor]],TB_Vendas[[#This Row],[Des.]],TB_Vendas[[#This Row],[Des. Vendedor]])</f>
        <v>0.15</v>
      </c>
      <c r="J61" s="99">
        <f>TB_Vendas[[#This Row],[Preço Unitário]]*TB_Vendas[[#This Row],[Qtd]]</f>
        <v>212.5</v>
      </c>
      <c r="K61" s="98" t="s">
        <v>130</v>
      </c>
    </row>
    <row r="62" spans="1:11">
      <c r="A62" s="9">
        <f>MONTH(TB_Vendas[[#This Row],[Data]])</f>
        <v>6</v>
      </c>
      <c r="B62" s="102" t="str">
        <f>PROPER(TEXT(DATE(,TB_Vendas[[#This Row],[Nº]],1),"Mmm"))</f>
        <v>Jun</v>
      </c>
      <c r="C62" s="103">
        <v>45105</v>
      </c>
      <c r="D62" s="102" t="s">
        <v>109</v>
      </c>
      <c r="E62" s="98">
        <v>2</v>
      </c>
      <c r="F62" s="104">
        <f>_xlfn.XLOOKUP(TB_Vendas[[#This Row],[Código]],TB_Produtos[Código],TB_Produtos[Preço Unitário])</f>
        <v>32.9</v>
      </c>
      <c r="G62" s="105" cm="1">
        <f t="array" ref="G62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62" s="105">
        <f>_xlfn.XLOOKUP(TB_Vendas[[#This Row],[Vendedor]],TB_Vendedor[Código],TB_Vendedor[Desc. Máximo])</f>
        <v>0.15</v>
      </c>
      <c r="I62" s="105">
        <f>IF(TB_Vendas[[#This Row],[Des.]]&lt;=TB_Vendas[[#This Row],[Des. Vendedor]],TB_Vendas[[#This Row],[Des.]],TB_Vendas[[#This Row],[Des. Vendedor]])</f>
        <v>0.15</v>
      </c>
      <c r="J62" s="99">
        <f>TB_Vendas[[#This Row],[Preço Unitário]]*TB_Vendas[[#This Row],[Qtd]]</f>
        <v>65.8</v>
      </c>
      <c r="K62" s="98" t="s">
        <v>130</v>
      </c>
    </row>
    <row r="63" spans="1:11">
      <c r="A63" s="9">
        <f>MONTH(TB_Vendas[[#This Row],[Data]])</f>
        <v>6</v>
      </c>
      <c r="B63" s="102" t="str">
        <f>PROPER(TEXT(DATE(,TB_Vendas[[#This Row],[Nº]],1),"Mmm"))</f>
        <v>Jun</v>
      </c>
      <c r="C63" s="103">
        <v>45106</v>
      </c>
      <c r="D63" s="102" t="s">
        <v>40</v>
      </c>
      <c r="E63" s="98">
        <v>3</v>
      </c>
      <c r="F63" s="104">
        <f>_xlfn.XLOOKUP(TB_Vendas[[#This Row],[Código]],TB_Produtos[Código],TB_Produtos[Preço Unitário])</f>
        <v>92.9</v>
      </c>
      <c r="G63" s="105" cm="1">
        <f t="array" ref="G63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63" s="105">
        <f>_xlfn.XLOOKUP(TB_Vendas[[#This Row],[Vendedor]],TB_Vendedor[Código],TB_Vendedor[Desc. Máximo])</f>
        <v>0.2</v>
      </c>
      <c r="I63" s="105">
        <f>IF(TB_Vendas[[#This Row],[Des.]]&lt;=TB_Vendas[[#This Row],[Des. Vendedor]],TB_Vendas[[#This Row],[Des.]],TB_Vendas[[#This Row],[Des. Vendedor]])</f>
        <v>0.2</v>
      </c>
      <c r="J63" s="99">
        <f>TB_Vendas[[#This Row],[Preço Unitário]]*TB_Vendas[[#This Row],[Qtd]]</f>
        <v>278.70000000000005</v>
      </c>
      <c r="K63" s="98" t="s">
        <v>126</v>
      </c>
    </row>
    <row r="64" spans="1:11">
      <c r="A64" s="1">
        <f>MONTH(TB_Vendas[[#This Row],[Data]])</f>
        <v>6</v>
      </c>
      <c r="B64" s="102" t="str">
        <f>PROPER(TEXT(DATE(,TB_Vendas[[#This Row],[Nº]],1),"Mmm"))</f>
        <v>Jun</v>
      </c>
      <c r="C64" s="103">
        <v>45107</v>
      </c>
      <c r="D64" s="102" t="s">
        <v>47</v>
      </c>
      <c r="E64" s="98">
        <v>10</v>
      </c>
      <c r="F64" s="104">
        <f>_xlfn.XLOOKUP(TB_Vendas[[#This Row],[Código]],TB_Produtos[Código],TB_Produtos[Preço Unitário])</f>
        <v>25.9</v>
      </c>
      <c r="G64" s="105" cm="1">
        <f t="array" ref="G64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0.3</v>
      </c>
      <c r="H64" s="105">
        <f>_xlfn.XLOOKUP(TB_Vendas[[#This Row],[Vendedor]],TB_Vendedor[Código],TB_Vendedor[Desc. Máximo])</f>
        <v>0.2</v>
      </c>
      <c r="I64" s="105">
        <f>IF(TB_Vendas[[#This Row],[Des.]]&lt;=TB_Vendas[[#This Row],[Des. Vendedor]],TB_Vendas[[#This Row],[Des.]],TB_Vendas[[#This Row],[Des. Vendedor]])</f>
        <v>0.2</v>
      </c>
      <c r="J64" s="99">
        <f>TB_Vendas[[#This Row],[Preço Unitário]]*TB_Vendas[[#This Row],[Qtd]]</f>
        <v>259</v>
      </c>
      <c r="K64" s="98" t="s">
        <v>126</v>
      </c>
    </row>
    <row r="65" spans="1:11">
      <c r="A65" s="1">
        <f>MONTH(TB_Vendas[[#This Row],[Data]])</f>
        <v>7</v>
      </c>
      <c r="B65" s="102" t="str">
        <f>PROPER(TEXT(DATE(,TB_Vendas[[#This Row],[Nº]],1),"Mmm"))</f>
        <v>Jul</v>
      </c>
      <c r="C65" s="103">
        <v>45112</v>
      </c>
      <c r="D65" s="102" t="s">
        <v>101</v>
      </c>
      <c r="E65" s="98">
        <v>1</v>
      </c>
      <c r="F65" s="104">
        <f>_xlfn.XLOOKUP(TB_Vendas[[#This Row],[Código]],TB_Produtos[Código],TB_Produtos[Preço Unitário])</f>
        <v>72.5</v>
      </c>
      <c r="G65" s="105" cm="1">
        <f t="array" ref="G65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65" s="105">
        <f>_xlfn.XLOOKUP(TB_Vendas[[#This Row],[Vendedor]],TB_Vendedor[Código],TB_Vendedor[Desc. Máximo])</f>
        <v>0.25</v>
      </c>
      <c r="I65" s="105">
        <f>IF(TB_Vendas[[#This Row],[Des.]]&lt;=TB_Vendas[[#This Row],[Des. Vendedor]],TB_Vendas[[#This Row],[Des.]],TB_Vendas[[#This Row],[Des. Vendedor]])</f>
        <v>0.1</v>
      </c>
      <c r="J65" s="99">
        <f>TB_Vendas[[#This Row],[Preço Unitário]]*TB_Vendas[[#This Row],[Qtd]]</f>
        <v>72.5</v>
      </c>
      <c r="K65" s="98" t="s">
        <v>127</v>
      </c>
    </row>
    <row r="66" spans="1:11">
      <c r="A66" s="1">
        <f>MONTH(TB_Vendas[[#This Row],[Data]])</f>
        <v>7</v>
      </c>
      <c r="B66" s="102" t="str">
        <f>PROPER(TEXT(DATE(,TB_Vendas[[#This Row],[Nº]],1),"Mmm"))</f>
        <v>Jul</v>
      </c>
      <c r="C66" s="103">
        <v>45113</v>
      </c>
      <c r="D66" s="102" t="s">
        <v>52</v>
      </c>
      <c r="E66" s="98">
        <v>4</v>
      </c>
      <c r="F66" s="104">
        <f>_xlfn.XLOOKUP(TB_Vendas[[#This Row],[Código]],TB_Produtos[Código],TB_Produtos[Preço Unitário])</f>
        <v>302.89999999999998</v>
      </c>
      <c r="G66" s="105" cm="1">
        <f t="array" ref="G66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66" s="105">
        <f>_xlfn.XLOOKUP(TB_Vendas[[#This Row],[Vendedor]],TB_Vendedor[Código],TB_Vendedor[Desc. Máximo])</f>
        <v>0.15</v>
      </c>
      <c r="I66" s="105">
        <f>IF(TB_Vendas[[#This Row],[Des.]]&lt;=TB_Vendas[[#This Row],[Des. Vendedor]],TB_Vendas[[#This Row],[Des.]],TB_Vendas[[#This Row],[Des. Vendedor]])</f>
        <v>0.15</v>
      </c>
      <c r="J66" s="99">
        <f>TB_Vendas[[#This Row],[Preço Unitário]]*TB_Vendas[[#This Row],[Qtd]]</f>
        <v>1211.5999999999999</v>
      </c>
      <c r="K66" s="98" t="s">
        <v>130</v>
      </c>
    </row>
    <row r="67" spans="1:11">
      <c r="A67" s="1">
        <f>MONTH(TB_Vendas[[#This Row],[Data]])</f>
        <v>7</v>
      </c>
      <c r="B67" s="102" t="str">
        <f>PROPER(TEXT(DATE(,TB_Vendas[[#This Row],[Nº]],1),"Mmm"))</f>
        <v>Jul</v>
      </c>
      <c r="C67" s="103">
        <v>45114</v>
      </c>
      <c r="D67" s="102" t="s">
        <v>106</v>
      </c>
      <c r="E67" s="98">
        <v>8</v>
      </c>
      <c r="F67" s="104">
        <f>_xlfn.XLOOKUP(TB_Vendas[[#This Row],[Código]],TB_Produtos[Código],TB_Produtos[Preço Unitário])</f>
        <v>289.89999999999998</v>
      </c>
      <c r="G67" s="105" cm="1">
        <f t="array" ref="G67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67" s="105">
        <f>_xlfn.XLOOKUP(TB_Vendas[[#This Row],[Vendedor]],TB_Vendedor[Código],TB_Vendedor[Desc. Máximo])</f>
        <v>0.2</v>
      </c>
      <c r="I67" s="105">
        <f>IF(TB_Vendas[[#This Row],[Des.]]&lt;=TB_Vendas[[#This Row],[Des. Vendedor]],TB_Vendas[[#This Row],[Des.]],TB_Vendas[[#This Row],[Des. Vendedor]])</f>
        <v>0.2</v>
      </c>
      <c r="J67" s="99">
        <f>TB_Vendas[[#This Row],[Preço Unitário]]*TB_Vendas[[#This Row],[Qtd]]</f>
        <v>2319.1999999999998</v>
      </c>
      <c r="K67" s="98" t="s">
        <v>126</v>
      </c>
    </row>
    <row r="68" spans="1:11">
      <c r="A68" s="1">
        <f>MONTH(TB_Vendas[[#This Row],[Data]])</f>
        <v>7</v>
      </c>
      <c r="B68" s="102" t="str">
        <f>PROPER(TEXT(DATE(,TB_Vendas[[#This Row],[Nº]],1),"Mmm"))</f>
        <v>Jul</v>
      </c>
      <c r="C68" s="103">
        <v>45119</v>
      </c>
      <c r="D68" s="102" t="s">
        <v>97</v>
      </c>
      <c r="E68" s="98">
        <v>2</v>
      </c>
      <c r="F68" s="104">
        <f>_xlfn.XLOOKUP(TB_Vendas[[#This Row],[Código]],TB_Produtos[Código],TB_Produtos[Preço Unitário])</f>
        <v>54.9</v>
      </c>
      <c r="G68" s="105" cm="1">
        <f t="array" ref="G68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68" s="105">
        <f>_xlfn.XLOOKUP(TB_Vendas[[#This Row],[Vendedor]],TB_Vendedor[Código],TB_Vendedor[Desc. Máximo])</f>
        <v>0.2</v>
      </c>
      <c r="I68" s="105">
        <f>IF(TB_Vendas[[#This Row],[Des.]]&lt;=TB_Vendas[[#This Row],[Des. Vendedor]],TB_Vendas[[#This Row],[Des.]],TB_Vendas[[#This Row],[Des. Vendedor]])</f>
        <v>0.15</v>
      </c>
      <c r="J68" s="99">
        <f>TB_Vendas[[#This Row],[Preço Unitário]]*TB_Vendas[[#This Row],[Qtd]]</f>
        <v>109.8</v>
      </c>
      <c r="K68" s="98" t="s">
        <v>126</v>
      </c>
    </row>
    <row r="69" spans="1:11">
      <c r="A69" s="1">
        <f>MONTH(TB_Vendas[[#This Row],[Data]])</f>
        <v>7</v>
      </c>
      <c r="B69" s="102" t="str">
        <f>PROPER(TEXT(DATE(,TB_Vendas[[#This Row],[Nº]],1),"Mmm"))</f>
        <v>Jul</v>
      </c>
      <c r="C69" s="103">
        <v>45120</v>
      </c>
      <c r="D69" s="102" t="s">
        <v>45</v>
      </c>
      <c r="E69" s="98">
        <v>2</v>
      </c>
      <c r="F69" s="104">
        <f>_xlfn.XLOOKUP(TB_Vendas[[#This Row],[Código]],TB_Produtos[Código],TB_Produtos[Preço Unitário])</f>
        <v>39.9</v>
      </c>
      <c r="G69" s="105" cm="1">
        <f t="array" ref="G69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69" s="105">
        <f>_xlfn.XLOOKUP(TB_Vendas[[#This Row],[Vendedor]],TB_Vendedor[Código],TB_Vendedor[Desc. Máximo])</f>
        <v>0.15</v>
      </c>
      <c r="I69" s="105">
        <f>IF(TB_Vendas[[#This Row],[Des.]]&lt;=TB_Vendas[[#This Row],[Des. Vendedor]],TB_Vendas[[#This Row],[Des.]],TB_Vendas[[#This Row],[Des. Vendedor]])</f>
        <v>0.15</v>
      </c>
      <c r="J69" s="99">
        <f>TB_Vendas[[#This Row],[Preço Unitário]]*TB_Vendas[[#This Row],[Qtd]]</f>
        <v>79.8</v>
      </c>
      <c r="K69" s="98" t="s">
        <v>130</v>
      </c>
    </row>
    <row r="70" spans="1:11">
      <c r="A70" s="1">
        <f>MONTH(TB_Vendas[[#This Row],[Data]])</f>
        <v>7</v>
      </c>
      <c r="B70" s="102" t="str">
        <f>PROPER(TEXT(DATE(,TB_Vendas[[#This Row],[Nº]],1),"Mmm"))</f>
        <v>Jul</v>
      </c>
      <c r="C70" s="103">
        <v>45124</v>
      </c>
      <c r="D70" s="102" t="s">
        <v>98</v>
      </c>
      <c r="E70" s="98">
        <v>7</v>
      </c>
      <c r="F70" s="104">
        <f>_xlfn.XLOOKUP(TB_Vendas[[#This Row],[Código]],TB_Produtos[Código],TB_Produtos[Preço Unitário])</f>
        <v>54.9</v>
      </c>
      <c r="G70" s="105" cm="1">
        <f t="array" ref="G70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70" s="105">
        <f>_xlfn.XLOOKUP(TB_Vendas[[#This Row],[Vendedor]],TB_Vendedor[Código],TB_Vendedor[Desc. Máximo])</f>
        <v>0.2</v>
      </c>
      <c r="I70" s="105">
        <f>IF(TB_Vendas[[#This Row],[Des.]]&lt;=TB_Vendas[[#This Row],[Des. Vendedor]],TB_Vendas[[#This Row],[Des.]],TB_Vendas[[#This Row],[Des. Vendedor]])</f>
        <v>0.2</v>
      </c>
      <c r="J70" s="99">
        <f>TB_Vendas[[#This Row],[Preço Unitário]]*TB_Vendas[[#This Row],[Qtd]]</f>
        <v>384.3</v>
      </c>
      <c r="K70" s="98" t="s">
        <v>129</v>
      </c>
    </row>
    <row r="71" spans="1:11">
      <c r="A71" s="1">
        <f>MONTH(TB_Vendas[[#This Row],[Data]])</f>
        <v>7</v>
      </c>
      <c r="B71" s="102" t="str">
        <f>PROPER(TEXT(DATE(,TB_Vendas[[#This Row],[Nº]],1),"Mmm"))</f>
        <v>Jul</v>
      </c>
      <c r="C71" s="103">
        <v>45130</v>
      </c>
      <c r="D71" s="102" t="s">
        <v>51</v>
      </c>
      <c r="E71" s="98">
        <v>4</v>
      </c>
      <c r="F71" s="104">
        <f>_xlfn.XLOOKUP(TB_Vendas[[#This Row],[Código]],TB_Produtos[Código],TB_Produtos[Preço Unitário])</f>
        <v>299.89999999999998</v>
      </c>
      <c r="G71" s="105" cm="1">
        <f t="array" ref="G71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71" s="105">
        <f>_xlfn.XLOOKUP(TB_Vendas[[#This Row],[Vendedor]],TB_Vendedor[Código],TB_Vendedor[Desc. Máximo])</f>
        <v>0.15</v>
      </c>
      <c r="I71" s="105">
        <f>IF(TB_Vendas[[#This Row],[Des.]]&lt;=TB_Vendas[[#This Row],[Des. Vendedor]],TB_Vendas[[#This Row],[Des.]],TB_Vendas[[#This Row],[Des. Vendedor]])</f>
        <v>0.15</v>
      </c>
      <c r="J71" s="99">
        <f>TB_Vendas[[#This Row],[Preço Unitário]]*TB_Vendas[[#This Row],[Qtd]]</f>
        <v>1199.5999999999999</v>
      </c>
      <c r="K71" s="98" t="s">
        <v>130</v>
      </c>
    </row>
    <row r="72" spans="1:11">
      <c r="A72" s="1">
        <f>MONTH(TB_Vendas[[#This Row],[Data]])</f>
        <v>7</v>
      </c>
      <c r="B72" s="102" t="str">
        <f>PROPER(TEXT(DATE(,TB_Vendas[[#This Row],[Nº]],1),"Mmm"))</f>
        <v>Jul</v>
      </c>
      <c r="C72" s="103">
        <v>45133</v>
      </c>
      <c r="D72" s="102" t="s">
        <v>55</v>
      </c>
      <c r="E72" s="98">
        <v>3</v>
      </c>
      <c r="F72" s="104">
        <f>_xlfn.XLOOKUP(TB_Vendas[[#This Row],[Código]],TB_Produtos[Código],TB_Produtos[Preço Unitário])</f>
        <v>259.89999999999998</v>
      </c>
      <c r="G72" s="105" cm="1">
        <f t="array" ref="G72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72" s="105">
        <f>_xlfn.XLOOKUP(TB_Vendas[[#This Row],[Vendedor]],TB_Vendedor[Código],TB_Vendedor[Desc. Máximo])</f>
        <v>0.2</v>
      </c>
      <c r="I72" s="105">
        <f>IF(TB_Vendas[[#This Row],[Des.]]&lt;=TB_Vendas[[#This Row],[Des. Vendedor]],TB_Vendas[[#This Row],[Des.]],TB_Vendas[[#This Row],[Des. Vendedor]])</f>
        <v>0.2</v>
      </c>
      <c r="J72" s="99">
        <f>TB_Vendas[[#This Row],[Preço Unitário]]*TB_Vendas[[#This Row],[Qtd]]</f>
        <v>779.69999999999993</v>
      </c>
      <c r="K72" s="98" t="s">
        <v>129</v>
      </c>
    </row>
    <row r="73" spans="1:11">
      <c r="A73" s="1">
        <f>MONTH(TB_Vendas[[#This Row],[Data]])</f>
        <v>7</v>
      </c>
      <c r="B73" s="102" t="str">
        <f>PROPER(TEXT(DATE(,TB_Vendas[[#This Row],[Nº]],1),"Mmm"))</f>
        <v>Jul</v>
      </c>
      <c r="C73" s="103">
        <v>45135</v>
      </c>
      <c r="D73" s="102" t="s">
        <v>101</v>
      </c>
      <c r="E73" s="98">
        <v>9</v>
      </c>
      <c r="F73" s="104">
        <f>_xlfn.XLOOKUP(TB_Vendas[[#This Row],[Código]],TB_Produtos[Código],TB_Produtos[Preço Unitário])</f>
        <v>72.5</v>
      </c>
      <c r="G73" s="105" cm="1">
        <f t="array" ref="G73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73" s="105">
        <f>_xlfn.XLOOKUP(TB_Vendas[[#This Row],[Vendedor]],TB_Vendedor[Código],TB_Vendedor[Desc. Máximo])</f>
        <v>0.1</v>
      </c>
      <c r="I73" s="105">
        <f>IF(TB_Vendas[[#This Row],[Des.]]&lt;=TB_Vendas[[#This Row],[Des. Vendedor]],TB_Vendas[[#This Row],[Des.]],TB_Vendas[[#This Row],[Des. Vendedor]])</f>
        <v>0.1</v>
      </c>
      <c r="J73" s="99">
        <f>TB_Vendas[[#This Row],[Preço Unitário]]*TB_Vendas[[#This Row],[Qtd]]</f>
        <v>652.5</v>
      </c>
      <c r="K73" s="98" t="s">
        <v>128</v>
      </c>
    </row>
    <row r="74" spans="1:11">
      <c r="A74" s="1">
        <f>MONTH(TB_Vendas[[#This Row],[Data]])</f>
        <v>7</v>
      </c>
      <c r="B74" s="102" t="str">
        <f>PROPER(TEXT(DATE(,TB_Vendas[[#This Row],[Nº]],1),"Mmm"))</f>
        <v>Jul</v>
      </c>
      <c r="C74" s="103">
        <v>45136</v>
      </c>
      <c r="D74" s="102" t="s">
        <v>53</v>
      </c>
      <c r="E74" s="98">
        <v>4</v>
      </c>
      <c r="F74" s="104">
        <f>_xlfn.XLOOKUP(TB_Vendas[[#This Row],[Código]],TB_Produtos[Código],TB_Produtos[Preço Unitário])</f>
        <v>300</v>
      </c>
      <c r="G74" s="105" cm="1">
        <f t="array" ref="G74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</v>
      </c>
      <c r="H74" s="105">
        <f>_xlfn.XLOOKUP(TB_Vendas[[#This Row],[Vendedor]],TB_Vendedor[Código],TB_Vendedor[Desc. Máximo])</f>
        <v>0.15</v>
      </c>
      <c r="I74" s="105">
        <f>IF(TB_Vendas[[#This Row],[Des.]]&lt;=TB_Vendas[[#This Row],[Des. Vendedor]],TB_Vendas[[#This Row],[Des.]],TB_Vendas[[#This Row],[Des. Vendedor]])</f>
        <v>0.15</v>
      </c>
      <c r="J74" s="99">
        <f>TB_Vendas[[#This Row],[Preço Unitário]]*TB_Vendas[[#This Row],[Qtd]]</f>
        <v>1200</v>
      </c>
      <c r="K74" s="98" t="s">
        <v>130</v>
      </c>
    </row>
    <row r="75" spans="1:11">
      <c r="A75" s="1">
        <f>MONTH(TB_Vendas[[#This Row],[Data]])</f>
        <v>7</v>
      </c>
      <c r="B75" s="102" t="str">
        <f>PROPER(TEXT(DATE(,TB_Vendas[[#This Row],[Nº]],1),"Mmm"))</f>
        <v>Jul</v>
      </c>
      <c r="C75" s="103">
        <v>45137</v>
      </c>
      <c r="D75" s="102" t="s">
        <v>32</v>
      </c>
      <c r="E75" s="98">
        <v>9</v>
      </c>
      <c r="F75" s="104">
        <f>_xlfn.XLOOKUP(TB_Vendas[[#This Row],[Código]],TB_Produtos[Código],TB_Produtos[Preço Unitário])</f>
        <v>65.900000000000006</v>
      </c>
      <c r="G75" s="105" cm="1">
        <f t="array" ref="G75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75" s="105">
        <f>_xlfn.XLOOKUP(TB_Vendas[[#This Row],[Vendedor]],TB_Vendedor[Código],TB_Vendedor[Desc. Máximo])</f>
        <v>0.15</v>
      </c>
      <c r="I75" s="105">
        <f>IF(TB_Vendas[[#This Row],[Des.]]&lt;=TB_Vendas[[#This Row],[Des. Vendedor]],TB_Vendas[[#This Row],[Des.]],TB_Vendas[[#This Row],[Des. Vendedor]])</f>
        <v>0.15</v>
      </c>
      <c r="J75" s="99">
        <f>TB_Vendas[[#This Row],[Preço Unitário]]*TB_Vendas[[#This Row],[Qtd]]</f>
        <v>593.1</v>
      </c>
      <c r="K75" s="98" t="s">
        <v>130</v>
      </c>
    </row>
    <row r="76" spans="1:11">
      <c r="A76" s="1">
        <f>MONTH(TB_Vendas[[#This Row],[Data]])</f>
        <v>8</v>
      </c>
      <c r="B76" s="102" t="str">
        <f>PROPER(TEXT(DATE(,TB_Vendas[[#This Row],[Nº]],1),"Mmm"))</f>
        <v>Ago</v>
      </c>
      <c r="C76" s="103">
        <v>45143</v>
      </c>
      <c r="D76" s="102" t="s">
        <v>40</v>
      </c>
      <c r="E76" s="98">
        <v>10</v>
      </c>
      <c r="F76" s="104">
        <f>_xlfn.XLOOKUP(TB_Vendas[[#This Row],[Código]],TB_Produtos[Código],TB_Produtos[Preço Unitário])</f>
        <v>92.9</v>
      </c>
      <c r="G76" s="105" cm="1">
        <f t="array" ref="G76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0.3</v>
      </c>
      <c r="H76" s="105">
        <f>_xlfn.XLOOKUP(TB_Vendas[[#This Row],[Vendedor]],TB_Vendedor[Código],TB_Vendedor[Desc. Máximo])</f>
        <v>0.15</v>
      </c>
      <c r="I76" s="105">
        <f>IF(TB_Vendas[[#This Row],[Des.]]&lt;=TB_Vendas[[#This Row],[Des. Vendedor]],TB_Vendas[[#This Row],[Des.]],TB_Vendas[[#This Row],[Des. Vendedor]])</f>
        <v>0.15</v>
      </c>
      <c r="J76" s="99">
        <f>TB_Vendas[[#This Row],[Preço Unitário]]*TB_Vendas[[#This Row],[Qtd]]</f>
        <v>929</v>
      </c>
      <c r="K76" s="98" t="s">
        <v>130</v>
      </c>
    </row>
    <row r="77" spans="1:11">
      <c r="A77" s="1">
        <f>MONTH(TB_Vendas[[#This Row],[Data]])</f>
        <v>8</v>
      </c>
      <c r="B77" s="102" t="str">
        <f>PROPER(TEXT(DATE(,TB_Vendas[[#This Row],[Nº]],1),"Mmm"))</f>
        <v>Ago</v>
      </c>
      <c r="C77" s="103">
        <v>45144</v>
      </c>
      <c r="D77" s="102" t="s">
        <v>118</v>
      </c>
      <c r="E77" s="98">
        <v>1</v>
      </c>
      <c r="F77" s="104">
        <f>_xlfn.XLOOKUP(TB_Vendas[[#This Row],[Código]],TB_Produtos[Código],TB_Produtos[Preço Unitário])</f>
        <v>89.9</v>
      </c>
      <c r="G77" s="105" cm="1">
        <f t="array" ref="G77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</v>
      </c>
      <c r="H77" s="105">
        <f>_xlfn.XLOOKUP(TB_Vendas[[#This Row],[Vendedor]],TB_Vendedor[Código],TB_Vendedor[Desc. Máximo])</f>
        <v>0.1</v>
      </c>
      <c r="I77" s="105">
        <f>IF(TB_Vendas[[#This Row],[Des.]]&lt;=TB_Vendas[[#This Row],[Des. Vendedor]],TB_Vendas[[#This Row],[Des.]],TB_Vendas[[#This Row],[Des. Vendedor]])</f>
        <v>0</v>
      </c>
      <c r="J77" s="99">
        <f>TB_Vendas[[#This Row],[Preço Unitário]]*TB_Vendas[[#This Row],[Qtd]]</f>
        <v>89.9</v>
      </c>
      <c r="K77" s="98" t="s">
        <v>128</v>
      </c>
    </row>
    <row r="78" spans="1:11">
      <c r="A78" s="1">
        <f>MONTH(TB_Vendas[[#This Row],[Data]])</f>
        <v>8</v>
      </c>
      <c r="B78" s="102" t="str">
        <f>PROPER(TEXT(DATE(,TB_Vendas[[#This Row],[Nº]],1),"Mmm"))</f>
        <v>Ago</v>
      </c>
      <c r="C78" s="103">
        <v>45145</v>
      </c>
      <c r="D78" s="102" t="s">
        <v>111</v>
      </c>
      <c r="E78" s="98">
        <v>2</v>
      </c>
      <c r="F78" s="104">
        <f>_xlfn.XLOOKUP(TB_Vendas[[#This Row],[Código]],TB_Produtos[Código],TB_Produtos[Preço Unitário])</f>
        <v>49.9</v>
      </c>
      <c r="G78" s="105" cm="1">
        <f t="array" ref="G78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78" s="105">
        <f>_xlfn.XLOOKUP(TB_Vendas[[#This Row],[Vendedor]],TB_Vendedor[Código],TB_Vendedor[Desc. Máximo])</f>
        <v>0.1</v>
      </c>
      <c r="I78" s="105">
        <f>IF(TB_Vendas[[#This Row],[Des.]]&lt;=TB_Vendas[[#This Row],[Des. Vendedor]],TB_Vendas[[#This Row],[Des.]],TB_Vendas[[#This Row],[Des. Vendedor]])</f>
        <v>0.1</v>
      </c>
      <c r="J78" s="99">
        <f>TB_Vendas[[#This Row],[Preço Unitário]]*TB_Vendas[[#This Row],[Qtd]]</f>
        <v>99.8</v>
      </c>
      <c r="K78" s="98" t="s">
        <v>128</v>
      </c>
    </row>
    <row r="79" spans="1:11">
      <c r="A79" s="1">
        <f>MONTH(TB_Vendas[[#This Row],[Data]])</f>
        <v>8</v>
      </c>
      <c r="B79" s="102" t="str">
        <f>PROPER(TEXT(DATE(,TB_Vendas[[#This Row],[Nº]],1),"Mmm"))</f>
        <v>Ago</v>
      </c>
      <c r="C79" s="103">
        <v>45146</v>
      </c>
      <c r="D79" s="102" t="s">
        <v>96</v>
      </c>
      <c r="E79" s="98">
        <v>8</v>
      </c>
      <c r="F79" s="104">
        <f>_xlfn.XLOOKUP(TB_Vendas[[#This Row],[Código]],TB_Produtos[Código],TB_Produtos[Preço Unitário])</f>
        <v>70</v>
      </c>
      <c r="G79" s="105" cm="1">
        <f t="array" ref="G79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79" s="105">
        <f>_xlfn.XLOOKUP(TB_Vendas[[#This Row],[Vendedor]],TB_Vendedor[Código],TB_Vendedor[Desc. Máximo])</f>
        <v>0.25</v>
      </c>
      <c r="I79" s="105">
        <f>IF(TB_Vendas[[#This Row],[Des.]]&lt;=TB_Vendas[[#This Row],[Des. Vendedor]],TB_Vendas[[#This Row],[Des.]],TB_Vendas[[#This Row],[Des. Vendedor]])</f>
        <v>0.25</v>
      </c>
      <c r="J79" s="99">
        <f>TB_Vendas[[#This Row],[Preço Unitário]]*TB_Vendas[[#This Row],[Qtd]]</f>
        <v>560</v>
      </c>
      <c r="K79" s="98" t="s">
        <v>127</v>
      </c>
    </row>
    <row r="80" spans="1:11">
      <c r="A80" s="1">
        <f>MONTH(TB_Vendas[[#This Row],[Data]])</f>
        <v>8</v>
      </c>
      <c r="B80" s="102" t="str">
        <f>PROPER(TEXT(DATE(,TB_Vendas[[#This Row],[Nº]],1),"Mmm"))</f>
        <v>Ago</v>
      </c>
      <c r="C80" s="103">
        <v>45147</v>
      </c>
      <c r="D80" s="102" t="s">
        <v>42</v>
      </c>
      <c r="E80" s="98">
        <v>5</v>
      </c>
      <c r="F80" s="104">
        <f>_xlfn.XLOOKUP(TB_Vendas[[#This Row],[Código]],TB_Produtos[Código],TB_Produtos[Preço Unitário])</f>
        <v>46.9</v>
      </c>
      <c r="G80" s="105" cm="1">
        <f t="array" ref="G80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80" s="105">
        <f>_xlfn.XLOOKUP(TB_Vendas[[#This Row],[Vendedor]],TB_Vendedor[Código],TB_Vendedor[Desc. Máximo])</f>
        <v>0.1</v>
      </c>
      <c r="I80" s="105">
        <f>IF(TB_Vendas[[#This Row],[Des.]]&lt;=TB_Vendas[[#This Row],[Des. Vendedor]],TB_Vendas[[#This Row],[Des.]],TB_Vendas[[#This Row],[Des. Vendedor]])</f>
        <v>0.1</v>
      </c>
      <c r="J80" s="99">
        <f>TB_Vendas[[#This Row],[Preço Unitário]]*TB_Vendas[[#This Row],[Qtd]]</f>
        <v>234.5</v>
      </c>
      <c r="K80" s="98" t="s">
        <v>128</v>
      </c>
    </row>
    <row r="81" spans="1:11">
      <c r="A81" s="1">
        <f>MONTH(TB_Vendas[[#This Row],[Data]])</f>
        <v>8</v>
      </c>
      <c r="B81" s="102" t="str">
        <f>PROPER(TEXT(DATE(,TB_Vendas[[#This Row],[Nº]],1),"Mmm"))</f>
        <v>Ago</v>
      </c>
      <c r="C81" s="103">
        <v>45148</v>
      </c>
      <c r="D81" s="102" t="s">
        <v>105</v>
      </c>
      <c r="E81" s="98">
        <v>10</v>
      </c>
      <c r="F81" s="104">
        <f>_xlfn.XLOOKUP(TB_Vendas[[#This Row],[Código]],TB_Produtos[Código],TB_Produtos[Preço Unitário])</f>
        <v>289.89999999999998</v>
      </c>
      <c r="G81" s="105" cm="1">
        <f t="array" ref="G81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0.3</v>
      </c>
      <c r="H81" s="105">
        <f>_xlfn.XLOOKUP(TB_Vendas[[#This Row],[Vendedor]],TB_Vendedor[Código],TB_Vendedor[Desc. Máximo])</f>
        <v>0.25</v>
      </c>
      <c r="I81" s="105">
        <f>IF(TB_Vendas[[#This Row],[Des.]]&lt;=TB_Vendas[[#This Row],[Des. Vendedor]],TB_Vendas[[#This Row],[Des.]],TB_Vendas[[#This Row],[Des. Vendedor]])</f>
        <v>0.25</v>
      </c>
      <c r="J81" s="99">
        <f>TB_Vendas[[#This Row],[Preço Unitário]]*TB_Vendas[[#This Row],[Qtd]]</f>
        <v>2899</v>
      </c>
      <c r="K81" s="98" t="s">
        <v>127</v>
      </c>
    </row>
    <row r="82" spans="1:11">
      <c r="A82" s="1">
        <f>MONTH(TB_Vendas[[#This Row],[Data]])</f>
        <v>8</v>
      </c>
      <c r="B82" s="102" t="str">
        <f>PROPER(TEXT(DATE(,TB_Vendas[[#This Row],[Nº]],1),"Mmm"))</f>
        <v>Ago</v>
      </c>
      <c r="C82" s="103">
        <v>45149</v>
      </c>
      <c r="D82" s="102" t="s">
        <v>46</v>
      </c>
      <c r="E82" s="98">
        <v>1</v>
      </c>
      <c r="F82" s="104">
        <f>_xlfn.XLOOKUP(TB_Vendas[[#This Row],[Código]],TB_Produtos[Código],TB_Produtos[Preço Unitário])</f>
        <v>42.5</v>
      </c>
      <c r="G82" s="105" cm="1">
        <f t="array" ref="G82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82" s="105">
        <f>_xlfn.XLOOKUP(TB_Vendas[[#This Row],[Vendedor]],TB_Vendedor[Código],TB_Vendedor[Desc. Máximo])</f>
        <v>0.1</v>
      </c>
      <c r="I82" s="105">
        <f>IF(TB_Vendas[[#This Row],[Des.]]&lt;=TB_Vendas[[#This Row],[Des. Vendedor]],TB_Vendas[[#This Row],[Des.]],TB_Vendas[[#This Row],[Des. Vendedor]])</f>
        <v>0.1</v>
      </c>
      <c r="J82" s="99">
        <f>TB_Vendas[[#This Row],[Preço Unitário]]*TB_Vendas[[#This Row],[Qtd]]</f>
        <v>42.5</v>
      </c>
      <c r="K82" s="98" t="s">
        <v>128</v>
      </c>
    </row>
    <row r="83" spans="1:11">
      <c r="A83" s="1">
        <f>MONTH(TB_Vendas[[#This Row],[Data]])</f>
        <v>8</v>
      </c>
      <c r="B83" s="102" t="str">
        <f>PROPER(TEXT(DATE(,TB_Vendas[[#This Row],[Nº]],1),"Mmm"))</f>
        <v>Ago</v>
      </c>
      <c r="C83" s="103">
        <v>45150</v>
      </c>
      <c r="D83" s="102" t="s">
        <v>115</v>
      </c>
      <c r="E83" s="98">
        <v>2</v>
      </c>
      <c r="F83" s="104">
        <f>_xlfn.XLOOKUP(TB_Vendas[[#This Row],[Código]],TB_Produtos[Código],TB_Produtos[Preço Unitário])</f>
        <v>89.9</v>
      </c>
      <c r="G83" s="105" cm="1">
        <f t="array" ref="G83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</v>
      </c>
      <c r="H83" s="105">
        <f>_xlfn.XLOOKUP(TB_Vendas[[#This Row],[Vendedor]],TB_Vendedor[Código],TB_Vendedor[Desc. Máximo])</f>
        <v>0.25</v>
      </c>
      <c r="I83" s="105">
        <f>IF(TB_Vendas[[#This Row],[Des.]]&lt;=TB_Vendas[[#This Row],[Des. Vendedor]],TB_Vendas[[#This Row],[Des.]],TB_Vendas[[#This Row],[Des. Vendedor]])</f>
        <v>0.1</v>
      </c>
      <c r="J83" s="99">
        <f>TB_Vendas[[#This Row],[Preço Unitário]]*TB_Vendas[[#This Row],[Qtd]]</f>
        <v>179.8</v>
      </c>
      <c r="K83" s="98" t="s">
        <v>127</v>
      </c>
    </row>
    <row r="84" spans="1:11">
      <c r="A84" s="1">
        <f>MONTH(TB_Vendas[[#This Row],[Data]])</f>
        <v>8</v>
      </c>
      <c r="B84" s="102" t="str">
        <f>PROPER(TEXT(DATE(,TB_Vendas[[#This Row],[Nº]],1),"Mmm"))</f>
        <v>Ago</v>
      </c>
      <c r="C84" s="103">
        <v>45151</v>
      </c>
      <c r="D84" s="102" t="s">
        <v>60</v>
      </c>
      <c r="E84" s="98">
        <v>3</v>
      </c>
      <c r="F84" s="104">
        <f>_xlfn.XLOOKUP(TB_Vendas[[#This Row],[Código]],TB_Produtos[Código],TB_Produtos[Preço Unitário])</f>
        <v>255</v>
      </c>
      <c r="G84" s="105" cm="1">
        <f t="array" ref="G84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0.15</v>
      </c>
      <c r="H84" s="105">
        <f>_xlfn.XLOOKUP(TB_Vendas[[#This Row],[Vendedor]],TB_Vendedor[Código],TB_Vendedor[Desc. Máximo])</f>
        <v>0.2</v>
      </c>
      <c r="I84" s="105">
        <f>IF(TB_Vendas[[#This Row],[Des.]]&lt;=TB_Vendas[[#This Row],[Des. Vendedor]],TB_Vendas[[#This Row],[Des.]],TB_Vendas[[#This Row],[Des. Vendedor]])</f>
        <v>0.15</v>
      </c>
      <c r="J84" s="99">
        <f>TB_Vendas[[#This Row],[Preço Unitário]]*TB_Vendas[[#This Row],[Qtd]]</f>
        <v>765</v>
      </c>
      <c r="K84" s="98" t="s">
        <v>126</v>
      </c>
    </row>
    <row r="85" spans="1:11">
      <c r="A85" s="1">
        <f>MONTH(TB_Vendas[[#This Row],[Data]])</f>
        <v>8</v>
      </c>
      <c r="B85" s="102" t="str">
        <f>PROPER(TEXT(DATE(,TB_Vendas[[#This Row],[Nº]],1),"Mmm"))</f>
        <v>Ago</v>
      </c>
      <c r="C85" s="103">
        <v>45152</v>
      </c>
      <c r="D85" s="102" t="s">
        <v>46</v>
      </c>
      <c r="E85" s="98">
        <v>6</v>
      </c>
      <c r="F85" s="104">
        <f>_xlfn.XLOOKUP(TB_Vendas[[#This Row],[Código]],TB_Produtos[Código],TB_Produtos[Preço Unitário])</f>
        <v>42.5</v>
      </c>
      <c r="G85" s="105" cm="1">
        <f t="array" ref="G85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85" s="105">
        <f>_xlfn.XLOOKUP(TB_Vendas[[#This Row],[Vendedor]],TB_Vendedor[Código],TB_Vendedor[Desc. Máximo])</f>
        <v>0.2</v>
      </c>
      <c r="I85" s="105">
        <f>IF(TB_Vendas[[#This Row],[Des.]]&lt;=TB_Vendas[[#This Row],[Des. Vendedor]],TB_Vendas[[#This Row],[Des.]],TB_Vendas[[#This Row],[Des. Vendedor]])</f>
        <v>0.2</v>
      </c>
      <c r="J85" s="99">
        <f>TB_Vendas[[#This Row],[Preço Unitário]]*TB_Vendas[[#This Row],[Qtd]]</f>
        <v>255</v>
      </c>
      <c r="K85" s="98" t="s">
        <v>129</v>
      </c>
    </row>
    <row r="86" spans="1:11">
      <c r="A86" s="1">
        <f>MONTH(TB_Vendas[[#This Row],[Data]])</f>
        <v>8</v>
      </c>
      <c r="B86" s="102" t="str">
        <f>PROPER(TEXT(DATE(,TB_Vendas[[#This Row],[Nº]],1),"Mmm"))</f>
        <v>Ago</v>
      </c>
      <c r="C86" s="103">
        <v>45153</v>
      </c>
      <c r="D86" s="102" t="s">
        <v>45</v>
      </c>
      <c r="E86" s="98">
        <v>8</v>
      </c>
      <c r="F86" s="104">
        <f>_xlfn.XLOOKUP(TB_Vendas[[#This Row],[Código]],TB_Produtos[Código],TB_Produtos[Preço Unitário])</f>
        <v>39.9</v>
      </c>
      <c r="G86" s="105" cm="1">
        <f t="array" ref="G86">INDEX('Cadastros Auxiliares'!$B$8:$E$13,_xlfn.XMATCH(TB_Vendas[[#This Row],[Qtd]],'Cadastros Auxiliares'!$B$8:$B$13,-1),_xlfn.XMATCH(_xlfn.XLOOKUP(TB_Vendas[[#This Row],[Código]],TB_Produtos[Código],TB_Produtos[Categoria]),'Cadastros Auxiliares'!$B$8:$E$8,0))</f>
        <v>0.25</v>
      </c>
      <c r="H86" s="105">
        <f>_xlfn.XLOOKUP(TB_Vendas[[#This Row],[Vendedor]],TB_Vendedor[Código],TB_Vendedor[Desc. Máximo])</f>
        <v>0.25</v>
      </c>
      <c r="I86" s="105">
        <f>IF(TB_Vendas[[#This Row],[Des.]]&lt;=TB_Vendas[[#This Row],[Des. Vendedor]],TB_Vendas[[#This Row],[Des.]],TB_Vendas[[#This Row],[Des. Vendedor]])</f>
        <v>0.25</v>
      </c>
      <c r="J86" s="99">
        <f>TB_Vendas[[#This Row],[Preço Unitário]]*TB_Vendas[[#This Row],[Qtd]]</f>
        <v>319.2</v>
      </c>
      <c r="K86" s="98" t="s">
        <v>127</v>
      </c>
    </row>
    <row r="87" spans="1:11" s="115" customFormat="1" ht="7.8" customHeight="1">
      <c r="A87" s="116"/>
      <c r="B87" s="116"/>
      <c r="C87" s="116"/>
      <c r="D87" s="116"/>
    </row>
  </sheetData>
  <phoneticPr fontId="12" type="noConversion"/>
  <conditionalFormatting sqref="E4:I4">
    <cfRule type="cellIs" dxfId="7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1"/>
  <sheetViews>
    <sheetView showGridLines="0" zoomScale="130" zoomScaleNormal="130" workbookViewId="0">
      <selection activeCell="F8" sqref="F8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32" customFormat="1" ht="40.200000000000003" customHeight="1">
      <c r="A1" s="35"/>
      <c r="B1" s="39" t="s">
        <v>145</v>
      </c>
      <c r="C1" s="37"/>
      <c r="D1" s="37"/>
      <c r="E1" s="37"/>
      <c r="F1" s="37"/>
      <c r="G1" s="37"/>
      <c r="H1" s="37"/>
      <c r="I1" s="37"/>
    </row>
    <row r="2" spans="1:9" s="33" customFormat="1" ht="4.5" customHeight="1">
      <c r="A2" s="36"/>
      <c r="B2" s="36"/>
      <c r="C2" s="36"/>
      <c r="D2" s="36"/>
      <c r="E2" s="36"/>
      <c r="F2" s="36"/>
    </row>
    <row r="3" spans="1:9" ht="4.5" customHeight="1">
      <c r="A3" s="34"/>
      <c r="B3" s="34"/>
      <c r="C3" s="34"/>
      <c r="D3" s="34"/>
      <c r="E3" s="34"/>
      <c r="F3" s="34"/>
    </row>
    <row r="4" spans="1:9" ht="23.25" customHeight="1">
      <c r="A4" s="34"/>
      <c r="B4" s="63" t="s">
        <v>154</v>
      </c>
      <c r="C4" s="63"/>
      <c r="D4" s="34"/>
      <c r="E4" s="63" t="s">
        <v>161</v>
      </c>
      <c r="F4" s="63"/>
    </row>
    <row r="5" spans="1:9" ht="5.25" customHeight="1" thickBot="1"/>
    <row r="6" spans="1:9" ht="24.6" customHeight="1" thickBot="1">
      <c r="B6" s="55" t="s">
        <v>155</v>
      </c>
      <c r="C6" s="109" t="s">
        <v>103</v>
      </c>
      <c r="E6" s="55" t="s">
        <v>160</v>
      </c>
      <c r="F6" s="107">
        <v>44986</v>
      </c>
    </row>
    <row r="7" spans="1:9" ht="24.6" customHeight="1" thickTop="1" thickBot="1">
      <c r="B7" s="55" t="s">
        <v>156</v>
      </c>
      <c r="C7" s="108" t="str">
        <f>IFERROR(VLOOKUP($C$6,TB_Produtos[],2,FALSE),"")</f>
        <v>Jaqueta de Couro</v>
      </c>
      <c r="E7" s="55" t="s">
        <v>163</v>
      </c>
      <c r="F7" s="108" t="str">
        <f>_xlfn.XLOOKUP(WEEKDAY(F6),'Cadastros Auxiliares'!$B$4:$I$4,'Cadastros Auxiliares'!$B$5:$I$5,"")</f>
        <v>Quarta-feira</v>
      </c>
      <c r="G7" s="41"/>
    </row>
    <row r="8" spans="1:9" ht="24.6" customHeight="1" thickTop="1" thickBot="1">
      <c r="B8" s="56" t="s">
        <v>157</v>
      </c>
      <c r="C8" s="40" t="str">
        <f>_xlfn.XLOOKUP($C$6,TB_Produtos[Código],TB_Produtos[Tamanho],"")</f>
        <v>P</v>
      </c>
      <c r="E8" s="56" t="s">
        <v>164</v>
      </c>
      <c r="F8" s="51"/>
      <c r="G8" s="41"/>
    </row>
    <row r="9" spans="1:9" ht="24.6" customHeight="1" thickTop="1" thickBot="1">
      <c r="B9" s="57" t="s">
        <v>158</v>
      </c>
      <c r="C9" s="40" t="str">
        <f>_xlfn.XLOOKUP($C$6,TB_Produtos[Código],TB_Produtos[Categoria],"")</f>
        <v>Vestuário</v>
      </c>
      <c r="E9" s="106" t="s">
        <v>162</v>
      </c>
      <c r="F9" s="42">
        <f>SUMIF(TB_Vendas[[#All],[Data]],Consultas!$F$6,TB_Vendas[[#All],[Qtd]])</f>
        <v>4</v>
      </c>
      <c r="G9" s="41"/>
    </row>
    <row r="10" spans="1:9" ht="24.6" customHeight="1" thickTop="1" thickBot="1">
      <c r="B10" s="57" t="s">
        <v>165</v>
      </c>
      <c r="C10" s="51">
        <f>_xlfn.XLOOKUP($C$6,TB_Produtos[Código],TB_Produtos[Preço Unitário],"")</f>
        <v>289.89999999999998</v>
      </c>
      <c r="G10" s="41"/>
    </row>
    <row r="11" spans="1:9" ht="24.6" customHeight="1" thickTop="1" thickBot="1">
      <c r="B11" s="55" t="s">
        <v>159</v>
      </c>
      <c r="C11" s="108">
        <f>_xlfn.XLOOKUP($C$6,TB_Produtos[Código],TB_Produtos[Estoque],"")</f>
        <v>15</v>
      </c>
      <c r="G11" s="41"/>
    </row>
    <row r="12" spans="1:9" ht="24.6" customHeight="1" thickTop="1" thickBot="1">
      <c r="B12" s="55" t="s">
        <v>167</v>
      </c>
      <c r="C12" s="110" t="str" cm="1">
        <f t="array" ref="C12">_xlfn.IFS($C$11=0,"Zerou o Estoque",$C$11&gt;_xlfn.XLOOKUP(C9,'Cadastros Auxiliares'!G9:G11,'Cadastros Auxiliares'!H9:H11,""),"Estoque em Dia",1,"Rever o Estoque")</f>
        <v>Estoque em Dia</v>
      </c>
      <c r="G12" s="41"/>
    </row>
    <row r="13" spans="1:9" ht="22.8" thickTop="1" thickBot="1">
      <c r="B13" s="58" t="s">
        <v>168</v>
      </c>
      <c r="C13" s="42" t="str">
        <f>IF($C$11&gt;=10,"Estoque OK",IF($C$11=0,"Estoque Zerado","Estoque Baixo"))</f>
        <v>Estoque OK</v>
      </c>
      <c r="D13" s="59"/>
      <c r="E13" s="52"/>
    </row>
    <row r="14" spans="1:9" ht="23.4">
      <c r="E14" s="53"/>
    </row>
    <row r="15" spans="1:9"/>
    <row r="16" spans="1:9"/>
    <row r="17"/>
    <row r="18"/>
    <row r="19"/>
    <row r="20"/>
    <row r="21"/>
  </sheetData>
  <mergeCells count="2">
    <mergeCell ref="B4:C4"/>
    <mergeCell ref="E4:F4"/>
  </mergeCells>
  <conditionalFormatting sqref="C12">
    <cfRule type="containsText" dxfId="6" priority="1" operator="containsText" text="Estoque em Dia">
      <formula>NOT(ISERROR(SEARCH("Estoque em Dia",C12)))</formula>
    </cfRule>
    <cfRule type="containsText" dxfId="5" priority="2" operator="containsText" text="Rever o Estoque">
      <formula>NOT(ISERROR(SEARCH("Rever o Estoque",C12)))</formula>
    </cfRule>
    <cfRule type="containsText" dxfId="4" priority="3" operator="containsText" text="Zerou o Estoque">
      <formula>NOT(ISERROR(SEARCH("Zerou o Estoque",C12)))</formula>
    </cfRule>
  </conditionalFormatting>
  <conditionalFormatting sqref="C13">
    <cfRule type="containsText" dxfId="3" priority="7" operator="containsText" text="Estoque OK">
      <formula>NOT(ISERROR(SEARCH("Estoque OK",C13)))</formula>
    </cfRule>
    <cfRule type="containsText" dxfId="2" priority="8" operator="containsText" text="Estoque Baixo">
      <formula>NOT(ISERROR(SEARCH("Estoque Baixo",C13)))</formula>
    </cfRule>
    <cfRule type="containsText" dxfId="1" priority="9" operator="containsText" text="Estoque Zerado">
      <formula>NOT(ISERROR(SEARCH("Estoque Zerado",C13)))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A1:J24"/>
  <sheetViews>
    <sheetView zoomScale="110" zoomScaleNormal="110" workbookViewId="0">
      <selection activeCell="B18" sqref="B18"/>
    </sheetView>
  </sheetViews>
  <sheetFormatPr defaultColWidth="0" defaultRowHeight="14.4" zeroHeight="1"/>
  <cols>
    <col min="1" max="1" width="8" customWidth="1"/>
    <col min="2" max="2" width="30.88671875" customWidth="1"/>
    <col min="3" max="8" width="17.44140625" customWidth="1"/>
    <col min="9" max="9" width="17.44140625" style="115" customWidth="1"/>
    <col min="10" max="10" width="1.33203125" style="115" customWidth="1"/>
    <col min="11" max="16384" width="8.88671875" style="115" hidden="1"/>
  </cols>
  <sheetData>
    <row r="1" spans="1:10" ht="40.200000000000003" customHeight="1">
      <c r="A1" s="32"/>
      <c r="B1" s="50" t="s">
        <v>136</v>
      </c>
      <c r="C1" s="39"/>
      <c r="D1" s="39"/>
      <c r="E1" s="39"/>
      <c r="F1" s="39"/>
      <c r="G1" s="39"/>
      <c r="H1" s="39"/>
      <c r="I1" s="37"/>
      <c r="J1" s="119"/>
    </row>
    <row r="2" spans="1:10" ht="4.5" customHeight="1">
      <c r="A2" s="33"/>
      <c r="B2" s="36"/>
      <c r="C2" s="36"/>
      <c r="D2" s="36"/>
      <c r="E2" s="36"/>
      <c r="F2" s="36"/>
      <c r="G2" s="36"/>
      <c r="H2" s="33"/>
      <c r="I2" s="33"/>
    </row>
    <row r="3" spans="1:10" ht="4.5" customHeight="1" thickBot="1">
      <c r="A3" s="115"/>
      <c r="B3" s="114"/>
      <c r="C3" s="114"/>
      <c r="D3" s="114"/>
      <c r="E3" s="114"/>
      <c r="F3" s="114"/>
      <c r="G3" s="114"/>
      <c r="H3" s="115"/>
    </row>
    <row r="4" spans="1:10" ht="22.2" thickBot="1">
      <c r="B4" s="111" t="s">
        <v>30</v>
      </c>
      <c r="C4" s="112">
        <v>1</v>
      </c>
      <c r="D4" s="113">
        <v>2</v>
      </c>
      <c r="E4" s="112">
        <v>3</v>
      </c>
      <c r="F4" s="113">
        <v>4</v>
      </c>
      <c r="G4" s="112">
        <v>5</v>
      </c>
      <c r="H4" s="113">
        <v>6</v>
      </c>
      <c r="I4" s="112">
        <v>7</v>
      </c>
    </row>
    <row r="5" spans="1:10" s="118" customFormat="1" ht="22.2" thickBot="1">
      <c r="B5" s="43" t="s">
        <v>137</v>
      </c>
      <c r="C5" s="44" t="s">
        <v>138</v>
      </c>
      <c r="D5" s="44" t="s">
        <v>139</v>
      </c>
      <c r="E5" s="44" t="s">
        <v>140</v>
      </c>
      <c r="F5" s="44" t="s">
        <v>141</v>
      </c>
      <c r="G5" s="44" t="s">
        <v>142</v>
      </c>
      <c r="H5" s="44" t="s">
        <v>143</v>
      </c>
      <c r="I5" s="44" t="s">
        <v>144</v>
      </c>
    </row>
    <row r="6" spans="1:10">
      <c r="A6" s="115"/>
      <c r="B6" s="115"/>
      <c r="C6" s="115"/>
      <c r="D6" s="115"/>
      <c r="E6" s="115"/>
      <c r="F6" s="115"/>
      <c r="G6" s="115"/>
      <c r="H6" s="115"/>
    </row>
    <row r="7" spans="1:10" ht="15" thickBot="1">
      <c r="A7" s="115"/>
      <c r="B7" s="115"/>
      <c r="C7" s="115"/>
      <c r="D7" s="115"/>
      <c r="E7" s="115"/>
      <c r="F7" s="115"/>
      <c r="G7" s="115"/>
      <c r="H7" s="115"/>
    </row>
    <row r="8" spans="1:10" ht="43.8" thickBot="1">
      <c r="A8" s="115"/>
      <c r="B8" s="47" t="s">
        <v>153</v>
      </c>
      <c r="C8" s="48" t="s">
        <v>13</v>
      </c>
      <c r="D8" s="48" t="s">
        <v>12</v>
      </c>
      <c r="E8" s="48" t="s">
        <v>14</v>
      </c>
      <c r="F8" s="115"/>
      <c r="G8" s="48" t="s">
        <v>10</v>
      </c>
      <c r="H8" s="47" t="s">
        <v>166</v>
      </c>
    </row>
    <row r="9" spans="1:10" ht="17.399999999999999" thickBot="1">
      <c r="A9" s="115"/>
      <c r="B9" s="44">
        <v>1</v>
      </c>
      <c r="C9" s="46">
        <v>0</v>
      </c>
      <c r="D9" s="46">
        <v>0.1</v>
      </c>
      <c r="E9" s="49">
        <v>0</v>
      </c>
      <c r="F9" s="115"/>
      <c r="G9" s="49" t="s">
        <v>13</v>
      </c>
      <c r="H9" s="60">
        <v>5</v>
      </c>
    </row>
    <row r="10" spans="1:10" ht="17.399999999999999" thickBot="1">
      <c r="A10" s="115"/>
      <c r="B10" s="44">
        <v>2</v>
      </c>
      <c r="C10" s="46">
        <v>0.05</v>
      </c>
      <c r="D10" s="46">
        <v>0.15</v>
      </c>
      <c r="E10" s="49">
        <v>0.1</v>
      </c>
      <c r="F10" s="115"/>
      <c r="G10" s="49" t="s">
        <v>12</v>
      </c>
      <c r="H10" s="60">
        <v>10</v>
      </c>
    </row>
    <row r="11" spans="1:10" ht="17.399999999999999" thickBot="1">
      <c r="A11" s="115"/>
      <c r="B11" s="44">
        <v>3</v>
      </c>
      <c r="C11" s="46">
        <v>0.15</v>
      </c>
      <c r="D11" s="46">
        <v>0.2</v>
      </c>
      <c r="E11" s="49">
        <v>0.15</v>
      </c>
      <c r="F11" s="115"/>
      <c r="G11" s="49" t="s">
        <v>14</v>
      </c>
      <c r="H11" s="60">
        <v>15</v>
      </c>
    </row>
    <row r="12" spans="1:10" ht="17.399999999999999" thickBot="1">
      <c r="A12" s="115"/>
      <c r="B12" s="44">
        <v>5</v>
      </c>
      <c r="C12" s="46">
        <v>0.25</v>
      </c>
      <c r="D12" s="46">
        <v>0.25</v>
      </c>
      <c r="E12" s="49">
        <v>0.25</v>
      </c>
      <c r="F12" s="115"/>
      <c r="G12" s="49"/>
      <c r="H12" s="60"/>
    </row>
    <row r="13" spans="1:10" ht="17.399999999999999" thickBot="1">
      <c r="A13" s="115"/>
      <c r="B13" s="44">
        <v>10</v>
      </c>
      <c r="C13" s="46">
        <v>0.3</v>
      </c>
      <c r="D13" s="46">
        <v>0.3</v>
      </c>
      <c r="E13" s="49">
        <v>0.3</v>
      </c>
      <c r="F13" s="115"/>
      <c r="G13" s="49"/>
      <c r="H13" s="60"/>
    </row>
    <row r="14" spans="1:10">
      <c r="A14" s="115"/>
      <c r="B14" s="115"/>
      <c r="C14" s="115"/>
      <c r="D14" s="115"/>
      <c r="E14" s="115"/>
      <c r="F14" s="115"/>
      <c r="G14" s="115"/>
      <c r="H14" s="115"/>
    </row>
    <row r="15" spans="1:10">
      <c r="A15" s="115"/>
      <c r="B15" s="115"/>
      <c r="C15" s="115"/>
      <c r="D15" s="115"/>
      <c r="E15" s="115"/>
      <c r="F15" s="115"/>
      <c r="G15" s="115"/>
      <c r="H15" s="115"/>
    </row>
    <row r="16" spans="1:10">
      <c r="A16" s="115"/>
      <c r="B16" s="115"/>
      <c r="C16" s="120" t="s">
        <v>60</v>
      </c>
      <c r="D16" s="115"/>
      <c r="E16" s="115"/>
      <c r="F16" s="120">
        <f>_xlfn.XMATCH(C18,B8:E8,0)</f>
        <v>4</v>
      </c>
      <c r="G16" s="120" t="s">
        <v>170</v>
      </c>
      <c r="H16" s="115"/>
    </row>
    <row r="17" spans="3:7" s="115" customFormat="1">
      <c r="C17" s="120">
        <v>4</v>
      </c>
      <c r="D17" s="121">
        <f>VLOOKUP(C17,B9:E13,F16,TRUE)</f>
        <v>0.15</v>
      </c>
      <c r="F17" s="120">
        <f>_xlfn.XMATCH(C17,B8:B13,-1)</f>
        <v>4</v>
      </c>
      <c r="G17" s="120" t="s">
        <v>171</v>
      </c>
    </row>
    <row r="18" spans="3:7" s="115" customFormat="1">
      <c r="C18" s="120" t="str">
        <f>_xlfn.XLOOKUP(C16,TB_Produtos[Código],TB_Produtos[Categoria])</f>
        <v>Calçado</v>
      </c>
      <c r="F18" s="121" cm="1">
        <f t="array" ref="F18">INDEX(B8:E13,_xlfn.XMATCH(C17,B8:B13,-1),_xlfn.XMATCH(C18,B8:E8,0))</f>
        <v>0.15</v>
      </c>
      <c r="G18" s="120"/>
    </row>
    <row r="19" spans="3:7" s="115" customFormat="1"/>
    <row r="20" spans="3:7" s="115" customFormat="1"/>
    <row r="21" spans="3:7" s="115" customFormat="1"/>
    <row r="22" spans="3:7" s="115" customFormat="1"/>
    <row r="23" spans="3:7" s="115" customFormat="1"/>
    <row r="24" spans="3:7" s="115" customFormat="1"/>
  </sheetData>
  <phoneticPr fontId="12" type="noConversion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BF57CE93-2177-4A14-903B-09BEB3513462}">
          <x14:formula1>
            <xm:f>Produtos!$E$7:$E$66</xm:f>
          </x14:formula1>
          <xm:sqref>C8 G9:G13</xm:sqref>
        </x14:dataValidation>
        <x14:dataValidation type="list" allowBlank="1" showInputMessage="1" showErrorMessage="1" xr:uid="{E7DDBF30-1ACC-417D-847E-532D896289A8}">
          <x14:formula1>
            <xm:f>Produtos!$E$7:$E$66</xm:f>
          </x14:formula1>
          <xm:sqref>D8:E8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8"/>
      <c r="J11" s="28"/>
      <c r="K11" s="28"/>
      <c r="L11" s="28"/>
    </row>
    <row r="12" spans="1:12">
      <c r="J12" s="29"/>
      <c r="K12" s="30"/>
      <c r="L12" s="8"/>
    </row>
    <row r="13" spans="1:12">
      <c r="J13" s="29"/>
      <c r="K13" s="30"/>
      <c r="L13" s="8"/>
    </row>
    <row r="14" spans="1:12">
      <c r="J14" s="29"/>
      <c r="K14" s="30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64" t="s">
        <v>78</v>
      </c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  <c r="AQ2" s="64" t="s">
        <v>79</v>
      </c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6"/>
      <c r="BK2" s="64" t="s">
        <v>80</v>
      </c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6"/>
    </row>
    <row r="3" spans="3:80" ht="9.75" customHeight="1" thickBot="1">
      <c r="W3" s="67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  <c r="AQ3" s="67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9"/>
      <c r="BK3" s="67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9"/>
    </row>
    <row r="4" spans="3:80" ht="9.75" customHeight="1">
      <c r="W4" s="79">
        <f>COUNTA(TB_Produtos[Código])</f>
        <v>60</v>
      </c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1"/>
      <c r="AQ4" s="79">
        <f>SUM(TB_Vendas[Qtd])</f>
        <v>250</v>
      </c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1"/>
      <c r="BK4" s="88">
        <f>SUM(TB_Vendas[Total])</f>
        <v>33304.799999999988</v>
      </c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90"/>
    </row>
    <row r="5" spans="3:80" ht="9.75" customHeight="1">
      <c r="W5" s="82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4"/>
      <c r="AQ5" s="82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4"/>
      <c r="BK5" s="91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3"/>
    </row>
    <row r="6" spans="3:80" ht="9.75" customHeight="1">
      <c r="W6" s="82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4"/>
      <c r="AQ6" s="82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4"/>
      <c r="BK6" s="91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3"/>
    </row>
    <row r="7" spans="3:80" ht="9.75" customHeight="1" thickBot="1">
      <c r="W7" s="85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7"/>
      <c r="AQ7" s="85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7"/>
      <c r="BK7" s="94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6"/>
    </row>
    <row r="8" spans="3:80" ht="9.75" customHeight="1" thickBot="1"/>
    <row r="9" spans="3:80" ht="9.75" customHeight="1">
      <c r="C9" s="64" t="s">
        <v>81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6"/>
    </row>
    <row r="10" spans="3:80" ht="9.75" customHeight="1" thickBot="1">
      <c r="C10" s="67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9"/>
    </row>
    <row r="11" spans="3:80" ht="9.75" customHeight="1">
      <c r="C11" s="70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2"/>
    </row>
    <row r="12" spans="3:80" ht="9.75" customHeight="1">
      <c r="C12" s="73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5"/>
    </row>
    <row r="13" spans="3:80" ht="9.75" customHeight="1">
      <c r="C13" s="73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5"/>
    </row>
    <row r="14" spans="3:80" ht="9.75" customHeight="1">
      <c r="C14" s="73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5"/>
    </row>
    <row r="15" spans="3:80" ht="9.75" customHeight="1">
      <c r="C15" s="73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5"/>
    </row>
    <row r="16" spans="3:80" ht="9.75" customHeight="1">
      <c r="C16" s="73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5"/>
    </row>
    <row r="17" spans="3:80" ht="9.75" customHeight="1">
      <c r="C17" s="73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5"/>
    </row>
    <row r="18" spans="3:80" ht="9.75" customHeight="1">
      <c r="C18" s="73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5"/>
    </row>
    <row r="19" spans="3:80" ht="9.75" customHeight="1">
      <c r="C19" s="73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5"/>
    </row>
    <row r="20" spans="3:80" ht="9.75" customHeight="1">
      <c r="C20" s="73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5"/>
    </row>
    <row r="21" spans="3:80" ht="9.75" customHeight="1">
      <c r="C21" s="73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5"/>
    </row>
    <row r="22" spans="3:80" ht="9.75" customHeight="1"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5"/>
    </row>
    <row r="23" spans="3:80" ht="9.75" customHeight="1"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5"/>
    </row>
    <row r="24" spans="3:80" ht="9.75" customHeight="1" thickBot="1">
      <c r="C24" s="76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8"/>
    </row>
    <row r="25" spans="3:80" ht="9.75" customHeight="1" thickBot="1"/>
    <row r="26" spans="3:80" ht="9.75" customHeight="1">
      <c r="C26" s="64" t="s">
        <v>82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6"/>
      <c r="AO26" s="12"/>
      <c r="AP26" s="12"/>
      <c r="AQ26" s="64" t="s">
        <v>83</v>
      </c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6"/>
    </row>
    <row r="27" spans="3:80" ht="9.75" customHeight="1" thickBot="1">
      <c r="C27" s="67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9"/>
      <c r="AO27" s="12"/>
      <c r="AP27" s="12"/>
      <c r="AQ27" s="67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9"/>
    </row>
    <row r="28" spans="3:80" ht="9.75" customHeight="1">
      <c r="C28" s="7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2"/>
      <c r="AQ28" s="70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2"/>
    </row>
    <row r="29" spans="3:80" ht="9.75" customHeight="1">
      <c r="C29" s="73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5"/>
      <c r="AQ29" s="73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5"/>
    </row>
    <row r="30" spans="3:80" ht="9.75" customHeight="1">
      <c r="C30" s="73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5"/>
      <c r="AQ30" s="73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5"/>
    </row>
    <row r="31" spans="3:80" ht="9.75" customHeight="1">
      <c r="C31" s="73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5"/>
      <c r="AQ31" s="73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5"/>
    </row>
    <row r="32" spans="3:80" ht="9.75" customHeight="1">
      <c r="C32" s="73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5"/>
      <c r="AQ32" s="73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5"/>
    </row>
    <row r="33" spans="3:80" ht="9.75" customHeight="1">
      <c r="C33" s="73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5"/>
      <c r="AQ33" s="73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5"/>
    </row>
    <row r="34" spans="3:80" ht="9.75" customHeight="1">
      <c r="C34" s="73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5"/>
      <c r="AQ34" s="73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5"/>
    </row>
    <row r="35" spans="3:80" ht="9.75" customHeight="1">
      <c r="C35" s="73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5"/>
      <c r="AQ35" s="73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5"/>
    </row>
    <row r="36" spans="3:80" ht="9.75" customHeight="1">
      <c r="C36" s="73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5"/>
      <c r="AQ36" s="73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5"/>
    </row>
    <row r="37" spans="3:80" ht="9.75" customHeight="1">
      <c r="C37" s="73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5"/>
      <c r="AQ37" s="73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5"/>
    </row>
    <row r="38" spans="3:80" ht="9.75" customHeight="1">
      <c r="C38" s="73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5"/>
      <c r="AQ38" s="73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5"/>
    </row>
    <row r="39" spans="3:80" ht="9.75" customHeight="1">
      <c r="C39" s="73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5"/>
      <c r="AQ39" s="73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5"/>
    </row>
    <row r="40" spans="3:80" ht="9.75" customHeight="1"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5"/>
      <c r="AQ40" s="73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5"/>
    </row>
    <row r="41" spans="3:80" ht="9.75" customHeight="1">
      <c r="C41" s="73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5"/>
      <c r="AQ41" s="73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5"/>
    </row>
    <row r="42" spans="3:80" ht="9.75" customHeight="1">
      <c r="C42" s="73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5"/>
      <c r="AQ42" s="73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5"/>
    </row>
    <row r="43" spans="3:80" ht="9.75" customHeight="1">
      <c r="C43" s="73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5"/>
      <c r="AQ43" s="73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5"/>
    </row>
    <row r="44" spans="3:80" ht="9.75" customHeight="1">
      <c r="C44" s="73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5"/>
      <c r="AQ44" s="73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5"/>
    </row>
    <row r="45" spans="3:80" ht="9.75" customHeight="1">
      <c r="C45" s="73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5"/>
      <c r="AQ45" s="73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5"/>
    </row>
    <row r="46" spans="3:80" ht="9.75" customHeight="1" thickBot="1">
      <c r="C46" s="7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8"/>
      <c r="AQ46" s="76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8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6</vt:i4>
      </vt:variant>
    </vt:vector>
  </HeadingPairs>
  <TitlesOfParts>
    <vt:vector size="14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Int_Categoria</vt:lpstr>
      <vt:lpstr>Int_Codigo</vt:lpstr>
      <vt:lpstr>Int_Estoque</vt:lpstr>
      <vt:lpstr>Int_PrecoUnit</vt:lpstr>
      <vt:lpstr>Int_Produtos</vt:lpstr>
      <vt:lpstr>Int_Tamanho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Samir Oliveira</cp:lastModifiedBy>
  <cp:lastPrinted>2023-06-07T14:57:58Z</cp:lastPrinted>
  <dcterms:created xsi:type="dcterms:W3CDTF">2023-06-02T17:54:12Z</dcterms:created>
  <dcterms:modified xsi:type="dcterms:W3CDTF">2025-10-29T16:07:31Z</dcterms:modified>
</cp:coreProperties>
</file>