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patel/Library/Mobile Documents/com~apple~CloudDocs/"/>
    </mc:Choice>
  </mc:AlternateContent>
  <xr:revisionPtr revIDLastSave="0" documentId="8_{E38E66B2-0677-CD45-AACA-8E9C375AC391}" xr6:coauthVersionLast="47" xr6:coauthVersionMax="47" xr10:uidLastSave="{00000000-0000-0000-0000-000000000000}"/>
  <bookViews>
    <workbookView xWindow="-12520" yWindow="-25560" windowWidth="51200" windowHeight="25560" activeTab="5" xr2:uid="{D66EDBF3-F4BB-0747-A174-6A0B8381B154}"/>
  </bookViews>
  <sheets>
    <sheet name="Cost of heating and inputs" sheetId="8" r:id="rId1"/>
    <sheet name="ALL MArket shares" sheetId="1" r:id="rId2"/>
    <sheet name="S-Curve " sheetId="2" r:id="rId3"/>
    <sheet name="Linear" sheetId="5" r:id="rId4"/>
    <sheet name="Policy+final cost" sheetId="4" r:id="rId5"/>
    <sheet name="Switching Linear" sheetId="3" r:id="rId6"/>
    <sheet name="Cost reduction" sheetId="6" r:id="rId7"/>
    <sheet name="Emissions" sheetId="9" r:id="rId8"/>
    <sheet name="Validation Cost of heating diff" sheetId="7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7" hidden="1">Emissions!$Y$18:$AB$18</definedName>
    <definedName name="_xlnm._FilterDatabase" localSheetId="8" hidden="1">'Validation Cost of heating diff'!$A$6:$AC$6</definedName>
    <definedName name="WBBINRange2" localSheetId="8">'Validation Cost of heating diff'!#REF!</definedName>
    <definedName name="WBBINRange2">'Switching Linear'!$AH$8:$AH$490</definedName>
    <definedName name="WBGOFEATOL">0.000001</definedName>
    <definedName name="WBGOLINDEG">3</definedName>
    <definedName name="WBTEMPPATH">"C:\Users\ooluleye"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5" i="9" l="1"/>
  <c r="E56" i="9"/>
  <c r="S56" i="9"/>
  <c r="V56" i="9" s="1"/>
  <c r="T56" i="9"/>
  <c r="T57" i="9" s="1"/>
  <c r="T58" i="9" s="1"/>
  <c r="U56" i="9"/>
  <c r="E57" i="9"/>
  <c r="E58" i="9" s="1"/>
  <c r="E59" i="9" s="1"/>
  <c r="E60" i="9" s="1"/>
  <c r="E61" i="9" s="1"/>
  <c r="E62" i="9" s="1"/>
  <c r="E63" i="9" s="1"/>
  <c r="E64" i="9" s="1"/>
  <c r="E65" i="9" s="1"/>
  <c r="G57" i="9"/>
  <c r="S57" i="9" s="1"/>
  <c r="V57" i="9" s="1"/>
  <c r="U57" i="9"/>
  <c r="G58" i="9"/>
  <c r="H58" i="9"/>
  <c r="S58" i="9"/>
  <c r="V58" i="9" s="1"/>
  <c r="U58" i="9"/>
  <c r="G59" i="9"/>
  <c r="H59" i="9"/>
  <c r="I59" i="9"/>
  <c r="S59" i="9"/>
  <c r="V59" i="9" s="1"/>
  <c r="U59" i="9"/>
  <c r="G60" i="9"/>
  <c r="H60" i="9"/>
  <c r="I60" i="9"/>
  <c r="S60" i="9" s="1"/>
  <c r="V60" i="9" s="1"/>
  <c r="J60" i="9"/>
  <c r="U60" i="9"/>
  <c r="G61" i="9"/>
  <c r="H61" i="9"/>
  <c r="I61" i="9"/>
  <c r="S61" i="9" s="1"/>
  <c r="V61" i="9" s="1"/>
  <c r="J61" i="9"/>
  <c r="K61" i="9"/>
  <c r="U61" i="9"/>
  <c r="G62" i="9"/>
  <c r="H62" i="9"/>
  <c r="I62" i="9"/>
  <c r="J62" i="9"/>
  <c r="K62" i="9"/>
  <c r="L62" i="9"/>
  <c r="U62" i="9"/>
  <c r="G63" i="9"/>
  <c r="H63" i="9"/>
  <c r="I63" i="9"/>
  <c r="J63" i="9"/>
  <c r="K63" i="9"/>
  <c r="L63" i="9"/>
  <c r="M63" i="9"/>
  <c r="U63" i="9"/>
  <c r="G64" i="9"/>
  <c r="H64" i="9"/>
  <c r="I64" i="9"/>
  <c r="J64" i="9"/>
  <c r="K64" i="9"/>
  <c r="L64" i="9"/>
  <c r="M64" i="9"/>
  <c r="N64" i="9"/>
  <c r="U64" i="9"/>
  <c r="G65" i="9"/>
  <c r="H65" i="9"/>
  <c r="I65" i="9"/>
  <c r="J65" i="9"/>
  <c r="K65" i="9"/>
  <c r="L65" i="9"/>
  <c r="M65" i="9"/>
  <c r="N65" i="9"/>
  <c r="O65" i="9"/>
  <c r="U65" i="9"/>
  <c r="M70" i="9"/>
  <c r="N70" i="9"/>
  <c r="O70" i="9" s="1"/>
  <c r="P70" i="9"/>
  <c r="D42" i="9"/>
  <c r="D43" i="9" s="1"/>
  <c r="D44" i="9" s="1"/>
  <c r="D45" i="9" s="1"/>
  <c r="D46" i="9" s="1"/>
  <c r="F43" i="9"/>
  <c r="G44" i="9"/>
  <c r="F45" i="9"/>
  <c r="G45" i="9"/>
  <c r="H45" i="9"/>
  <c r="F46" i="9"/>
  <c r="G46" i="9"/>
  <c r="H46" i="9"/>
  <c r="I46" i="9"/>
  <c r="F47" i="9"/>
  <c r="G47" i="9"/>
  <c r="H47" i="9"/>
  <c r="I47" i="9"/>
  <c r="J47" i="9"/>
  <c r="F48" i="9"/>
  <c r="G48" i="9"/>
  <c r="H48" i="9"/>
  <c r="I48" i="9"/>
  <c r="J48" i="9"/>
  <c r="K48" i="9"/>
  <c r="F49" i="9"/>
  <c r="G49" i="9"/>
  <c r="H49" i="9"/>
  <c r="I49" i="9"/>
  <c r="J49" i="9"/>
  <c r="K49" i="9"/>
  <c r="L49" i="9"/>
  <c r="F50" i="9"/>
  <c r="G50" i="9"/>
  <c r="H50" i="9"/>
  <c r="I50" i="9"/>
  <c r="J50" i="9"/>
  <c r="K50" i="9"/>
  <c r="L50" i="9"/>
  <c r="M50" i="9"/>
  <c r="F51" i="9"/>
  <c r="G51" i="9"/>
  <c r="H51" i="9"/>
  <c r="I51" i="9"/>
  <c r="J51" i="9"/>
  <c r="K51" i="9"/>
  <c r="L51" i="9"/>
  <c r="M51" i="9"/>
  <c r="N51" i="9"/>
  <c r="G79" i="9"/>
  <c r="D79" i="9"/>
  <c r="E79" i="9" s="1"/>
  <c r="N79" i="9"/>
  <c r="O79" i="9" s="1"/>
  <c r="M79" i="9"/>
  <c r="G78" i="9"/>
  <c r="D78" i="9"/>
  <c r="E78" i="9" s="1"/>
  <c r="N78" i="9"/>
  <c r="O78" i="9" s="1"/>
  <c r="M78" i="9"/>
  <c r="P78" i="9" s="1"/>
  <c r="G77" i="9"/>
  <c r="D77" i="9"/>
  <c r="E77" i="9" s="1"/>
  <c r="N77" i="9"/>
  <c r="O77" i="9" s="1"/>
  <c r="M77" i="9"/>
  <c r="P77" i="9" s="1"/>
  <c r="R77" i="9" s="1"/>
  <c r="G76" i="9"/>
  <c r="D76" i="9"/>
  <c r="E76" i="9" s="1"/>
  <c r="N76" i="9"/>
  <c r="O76" i="9" s="1"/>
  <c r="M76" i="9"/>
  <c r="P76" i="9" s="1"/>
  <c r="G75" i="9"/>
  <c r="D75" i="9"/>
  <c r="E75" i="9" s="1"/>
  <c r="N75" i="9"/>
  <c r="O75" i="9" s="1"/>
  <c r="M75" i="9"/>
  <c r="P75" i="9" s="1"/>
  <c r="R75" i="9" s="1"/>
  <c r="G74" i="9"/>
  <c r="D74" i="9"/>
  <c r="E74" i="9" s="1"/>
  <c r="N74" i="9"/>
  <c r="O74" i="9" s="1"/>
  <c r="M74" i="9"/>
  <c r="P74" i="9" s="1"/>
  <c r="R74" i="9" s="1"/>
  <c r="G73" i="9"/>
  <c r="D73" i="9"/>
  <c r="E73" i="9" s="1"/>
  <c r="N73" i="9"/>
  <c r="O73" i="9" s="1"/>
  <c r="M73" i="9"/>
  <c r="P73" i="9" s="1"/>
  <c r="R73" i="9" s="1"/>
  <c r="G72" i="9"/>
  <c r="D72" i="9"/>
  <c r="E72" i="9" s="1"/>
  <c r="N72" i="9"/>
  <c r="O72" i="9" s="1"/>
  <c r="M72" i="9"/>
  <c r="P72" i="9" s="1"/>
  <c r="G71" i="9"/>
  <c r="D71" i="9"/>
  <c r="E71" i="9" s="1"/>
  <c r="N71" i="9"/>
  <c r="O71" i="9" s="1"/>
  <c r="M71" i="9"/>
  <c r="P71" i="9" s="1"/>
  <c r="G70" i="9"/>
  <c r="D70" i="9"/>
  <c r="E70" i="9" s="1"/>
  <c r="E12" i="9"/>
  <c r="D12" i="9"/>
  <c r="S38" i="9"/>
  <c r="R38" i="9"/>
  <c r="U38" i="9" s="1"/>
  <c r="E11" i="9"/>
  <c r="D11" i="9"/>
  <c r="S37" i="9"/>
  <c r="R37" i="9"/>
  <c r="U37" i="9" s="1"/>
  <c r="E10" i="9"/>
  <c r="D10" i="9"/>
  <c r="S36" i="9"/>
  <c r="R36" i="9"/>
  <c r="U36" i="9" s="1"/>
  <c r="E9" i="9"/>
  <c r="D9" i="9"/>
  <c r="S35" i="9"/>
  <c r="R35" i="9"/>
  <c r="U35" i="9" s="1"/>
  <c r="E8" i="9"/>
  <c r="D8" i="9"/>
  <c r="S34" i="9"/>
  <c r="R34" i="9"/>
  <c r="U34" i="9" s="1"/>
  <c r="E7" i="9"/>
  <c r="D7" i="9"/>
  <c r="S33" i="9"/>
  <c r="R33" i="9"/>
  <c r="U33" i="9" s="1"/>
  <c r="E6" i="9"/>
  <c r="D6" i="9"/>
  <c r="S32" i="9"/>
  <c r="R32" i="9"/>
  <c r="U32" i="9" s="1"/>
  <c r="E5" i="9"/>
  <c r="D5" i="9"/>
  <c r="S31" i="9"/>
  <c r="R31" i="9"/>
  <c r="U31" i="9" s="1"/>
  <c r="E4" i="9"/>
  <c r="D4" i="9"/>
  <c r="S30" i="9"/>
  <c r="R30" i="9"/>
  <c r="U30" i="9" s="1"/>
  <c r="E3" i="9"/>
  <c r="D3" i="9"/>
  <c r="S29" i="9"/>
  <c r="T29" i="9" s="1"/>
  <c r="R29" i="9"/>
  <c r="U29" i="9" s="1"/>
  <c r="E2" i="9"/>
  <c r="D2" i="9"/>
  <c r="P51" i="9"/>
  <c r="Q50" i="9" s="1"/>
  <c r="N24" i="9"/>
  <c r="N25" i="9" s="1"/>
  <c r="M24" i="9"/>
  <c r="L24" i="9"/>
  <c r="K24" i="9"/>
  <c r="J24" i="9"/>
  <c r="I24" i="9"/>
  <c r="H24" i="9"/>
  <c r="G24" i="9"/>
  <c r="P50" i="9"/>
  <c r="Q49" i="9" s="1"/>
  <c r="M23" i="9"/>
  <c r="M25" i="9" s="1"/>
  <c r="L23" i="9"/>
  <c r="K23" i="9"/>
  <c r="J23" i="9"/>
  <c r="I23" i="9"/>
  <c r="H23" i="9"/>
  <c r="G23" i="9"/>
  <c r="P49" i="9"/>
  <c r="Q48" i="9" s="1"/>
  <c r="L22" i="9"/>
  <c r="K22" i="9"/>
  <c r="J22" i="9"/>
  <c r="I22" i="9"/>
  <c r="H22" i="9"/>
  <c r="G22" i="9"/>
  <c r="P48" i="9"/>
  <c r="Q47" i="9" s="1"/>
  <c r="K21" i="9"/>
  <c r="J21" i="9"/>
  <c r="I21" i="9"/>
  <c r="H21" i="9"/>
  <c r="G21" i="9"/>
  <c r="P47" i="9"/>
  <c r="Q46" i="9" s="1"/>
  <c r="J20" i="9"/>
  <c r="I20" i="9"/>
  <c r="H20" i="9"/>
  <c r="G20" i="9"/>
  <c r="P46" i="9"/>
  <c r="Q45" i="9" s="1"/>
  <c r="I19" i="9"/>
  <c r="H19" i="9"/>
  <c r="G19" i="9"/>
  <c r="P45" i="9"/>
  <c r="Q44" i="9" s="1"/>
  <c r="H18" i="9"/>
  <c r="G18" i="9"/>
  <c r="P44" i="9"/>
  <c r="Q43" i="9" s="1"/>
  <c r="G17" i="9"/>
  <c r="P43" i="9"/>
  <c r="Q42" i="9" s="1"/>
  <c r="P42" i="9"/>
  <c r="Q41" i="9" s="1"/>
  <c r="D15" i="9"/>
  <c r="S65" i="9" l="1"/>
  <c r="V65" i="9" s="1"/>
  <c r="S64" i="9"/>
  <c r="V64" i="9" s="1"/>
  <c r="S62" i="9"/>
  <c r="V62" i="9" s="1"/>
  <c r="S63" i="9"/>
  <c r="V63" i="9" s="1"/>
  <c r="T59" i="9"/>
  <c r="T60" i="9" s="1"/>
  <c r="T61" i="9" s="1"/>
  <c r="H75" i="9"/>
  <c r="F44" i="9"/>
  <c r="H71" i="9"/>
  <c r="H73" i="9"/>
  <c r="J25" i="9"/>
  <c r="L25" i="9"/>
  <c r="D16" i="9"/>
  <c r="K25" i="9"/>
  <c r="R71" i="9"/>
  <c r="G25" i="9"/>
  <c r="P79" i="9"/>
  <c r="R79" i="9" s="1"/>
  <c r="H25" i="9"/>
  <c r="I25" i="9"/>
  <c r="T30" i="9"/>
  <c r="T31" i="9" s="1"/>
  <c r="T32" i="9" s="1"/>
  <c r="T33" i="9" s="1"/>
  <c r="T34" i="9" s="1"/>
  <c r="T35" i="9" s="1"/>
  <c r="T36" i="9" s="1"/>
  <c r="T37" i="9" s="1"/>
  <c r="T38" i="9" s="1"/>
  <c r="H77" i="9"/>
  <c r="D47" i="9"/>
  <c r="D48" i="9" s="1"/>
  <c r="D49" i="9" s="1"/>
  <c r="H79" i="9"/>
  <c r="Q51" i="9"/>
  <c r="H70" i="9"/>
  <c r="H72" i="9"/>
  <c r="H74" i="9"/>
  <c r="H76" i="9"/>
  <c r="H78" i="9"/>
  <c r="R70" i="9"/>
  <c r="R72" i="9"/>
  <c r="R76" i="9"/>
  <c r="R78" i="9"/>
  <c r="D17" i="9"/>
  <c r="F16" i="9"/>
  <c r="F17" i="9"/>
  <c r="F20" i="9"/>
  <c r="F21" i="9"/>
  <c r="F24" i="9"/>
  <c r="P15" i="9"/>
  <c r="F18" i="9"/>
  <c r="F19" i="9"/>
  <c r="F22" i="9"/>
  <c r="F23" i="9"/>
  <c r="T62" i="9" l="1"/>
  <c r="T63" i="9" s="1"/>
  <c r="T64" i="9" s="1"/>
  <c r="T65" i="9" s="1"/>
  <c r="D50" i="9"/>
  <c r="F25" i="9"/>
  <c r="O25" i="9" s="1"/>
  <c r="P17" i="9"/>
  <c r="D18" i="9"/>
  <c r="P16" i="9"/>
  <c r="D51" i="9" l="1"/>
  <c r="D19" i="9"/>
  <c r="P18" i="9"/>
  <c r="P19" i="9" l="1"/>
  <c r="D20" i="9"/>
  <c r="D21" i="9" l="1"/>
  <c r="P20" i="9"/>
  <c r="P21" i="9" l="1"/>
  <c r="D22" i="9"/>
  <c r="D23" i="9" l="1"/>
  <c r="P22" i="9"/>
  <c r="P23" i="9" l="1"/>
  <c r="D24" i="9"/>
  <c r="P24" i="9" l="1"/>
  <c r="K4" i="7" l="1"/>
  <c r="B7" i="7"/>
  <c r="AC7" i="7"/>
  <c r="C8" i="7"/>
  <c r="D8" i="7"/>
  <c r="F8" i="7" s="1"/>
  <c r="G8" i="7" s="1"/>
  <c r="H8" i="7"/>
  <c r="K8" i="7"/>
  <c r="M8" i="7"/>
  <c r="N8" i="7" s="1"/>
  <c r="R8" i="7"/>
  <c r="S8" i="7" s="1"/>
  <c r="C9" i="7"/>
  <c r="D9" i="7"/>
  <c r="F9" i="7" s="1"/>
  <c r="I9" i="7" s="1"/>
  <c r="H9" i="7"/>
  <c r="K9" i="7"/>
  <c r="M9" i="7"/>
  <c r="N9" i="7" s="1"/>
  <c r="O9" i="7" s="1"/>
  <c r="R9" i="7"/>
  <c r="S9" i="7" s="1"/>
  <c r="C10" i="7"/>
  <c r="M10" i="7" s="1"/>
  <c r="N10" i="7" s="1"/>
  <c r="D10" i="7"/>
  <c r="F10" i="7"/>
  <c r="I10" i="7" s="1"/>
  <c r="H10" i="7"/>
  <c r="Y10" i="7" s="1"/>
  <c r="K10" i="7"/>
  <c r="R10" i="7"/>
  <c r="S10" i="7" s="1"/>
  <c r="V10" i="7" s="1"/>
  <c r="C11" i="7"/>
  <c r="M11" i="7" s="1"/>
  <c r="D11" i="7"/>
  <c r="F11" i="7" s="1"/>
  <c r="H11" i="7"/>
  <c r="K11" i="7"/>
  <c r="N11" i="7"/>
  <c r="O11" i="7" s="1"/>
  <c r="R11" i="7"/>
  <c r="S11" i="7" s="1"/>
  <c r="V11" i="7" s="1"/>
  <c r="U11" i="7"/>
  <c r="X11" i="7"/>
  <c r="C12" i="7"/>
  <c r="M12" i="7" s="1"/>
  <c r="N12" i="7" s="1"/>
  <c r="D12" i="7"/>
  <c r="F12" i="7"/>
  <c r="I12" i="7" s="1"/>
  <c r="H12" i="7"/>
  <c r="Y12" i="7" s="1"/>
  <c r="K12" i="7"/>
  <c r="R12" i="7"/>
  <c r="S12" i="7" s="1"/>
  <c r="T12" i="7" s="1"/>
  <c r="AC12" i="7"/>
  <c r="C13" i="7"/>
  <c r="M13" i="7" s="1"/>
  <c r="D13" i="7"/>
  <c r="F13" i="7" s="1"/>
  <c r="H13" i="7"/>
  <c r="K20" i="7" s="1"/>
  <c r="K13" i="7"/>
  <c r="N13" i="7"/>
  <c r="X13" i="7" s="1"/>
  <c r="R13" i="7"/>
  <c r="S13" i="7" s="1"/>
  <c r="T13" i="7" s="1"/>
  <c r="U13" i="7"/>
  <c r="V13" i="7"/>
  <c r="AC13" i="7"/>
  <c r="L25" i="7" s="1"/>
  <c r="Y16" i="7"/>
  <c r="Y7" i="7" s="1"/>
  <c r="Y3" i="7" s="1"/>
  <c r="Z16" i="7"/>
  <c r="Z7" i="7" s="1"/>
  <c r="Z8" i="7" s="1"/>
  <c r="AA16" i="7"/>
  <c r="AA7" i="7" s="1"/>
  <c r="AC16" i="7"/>
  <c r="C19" i="7"/>
  <c r="C20" i="7"/>
  <c r="M121" i="7"/>
  <c r="G122" i="7"/>
  <c r="H122" i="7"/>
  <c r="I122" i="7"/>
  <c r="J122" i="7"/>
  <c r="K122" i="7"/>
  <c r="L122" i="7"/>
  <c r="F25" i="6"/>
  <c r="G25" i="6" s="1"/>
  <c r="H25" i="6" s="1"/>
  <c r="I25" i="6" s="1"/>
  <c r="J25" i="6" s="1"/>
  <c r="K25" i="6" s="1"/>
  <c r="L25" i="6" s="1"/>
  <c r="M25" i="6" s="1"/>
  <c r="N25" i="6" s="1"/>
  <c r="E25" i="6"/>
  <c r="F64" i="6"/>
  <c r="G64" i="6" s="1"/>
  <c r="H64" i="6" s="1"/>
  <c r="I64" i="6" s="1"/>
  <c r="J64" i="6" s="1"/>
  <c r="K64" i="6" s="1"/>
  <c r="L64" i="6" s="1"/>
  <c r="M64" i="6" s="1"/>
  <c r="N64" i="6" s="1"/>
  <c r="E64" i="6"/>
  <c r="E63" i="6"/>
  <c r="F63" i="6" s="1"/>
  <c r="G63" i="6" s="1"/>
  <c r="H63" i="6" s="1"/>
  <c r="I63" i="6" s="1"/>
  <c r="J63" i="6" s="1"/>
  <c r="K63" i="6" s="1"/>
  <c r="L63" i="6" s="1"/>
  <c r="M63" i="6" s="1"/>
  <c r="N63" i="6" s="1"/>
  <c r="F62" i="6"/>
  <c r="G62" i="6" s="1"/>
  <c r="H62" i="6" s="1"/>
  <c r="I62" i="6" s="1"/>
  <c r="J62" i="6" s="1"/>
  <c r="K62" i="6" s="1"/>
  <c r="L62" i="6" s="1"/>
  <c r="M62" i="6" s="1"/>
  <c r="N62" i="6" s="1"/>
  <c r="E62" i="6"/>
  <c r="E61" i="6"/>
  <c r="F61" i="6" s="1"/>
  <c r="G61" i="6" s="1"/>
  <c r="H61" i="6" s="1"/>
  <c r="I61" i="6" s="1"/>
  <c r="J61" i="6" s="1"/>
  <c r="K61" i="6" s="1"/>
  <c r="L61" i="6" s="1"/>
  <c r="M61" i="6" s="1"/>
  <c r="N61" i="6" s="1"/>
  <c r="F60" i="6"/>
  <c r="G60" i="6" s="1"/>
  <c r="H60" i="6" s="1"/>
  <c r="I60" i="6" s="1"/>
  <c r="J60" i="6" s="1"/>
  <c r="K60" i="6" s="1"/>
  <c r="L60" i="6" s="1"/>
  <c r="M60" i="6" s="1"/>
  <c r="N60" i="6" s="1"/>
  <c r="E60" i="6"/>
  <c r="E59" i="6"/>
  <c r="F59" i="6" s="1"/>
  <c r="G59" i="6" s="1"/>
  <c r="H59" i="6" s="1"/>
  <c r="I59" i="6" s="1"/>
  <c r="J59" i="6" s="1"/>
  <c r="K59" i="6" s="1"/>
  <c r="L59" i="6" s="1"/>
  <c r="M59" i="6" s="1"/>
  <c r="N59" i="6" s="1"/>
  <c r="E46" i="6"/>
  <c r="F46" i="6" s="1"/>
  <c r="G46" i="6" s="1"/>
  <c r="H46" i="6" s="1"/>
  <c r="I46" i="6" s="1"/>
  <c r="J46" i="6" s="1"/>
  <c r="K46" i="6" s="1"/>
  <c r="L46" i="6" s="1"/>
  <c r="M46" i="6" s="1"/>
  <c r="N46" i="6" s="1"/>
  <c r="F45" i="6"/>
  <c r="G45" i="6" s="1"/>
  <c r="H45" i="6" s="1"/>
  <c r="I45" i="6" s="1"/>
  <c r="J45" i="6" s="1"/>
  <c r="K45" i="6" s="1"/>
  <c r="L45" i="6" s="1"/>
  <c r="M45" i="6" s="1"/>
  <c r="N45" i="6" s="1"/>
  <c r="E45" i="6"/>
  <c r="E44" i="6"/>
  <c r="F44" i="6" s="1"/>
  <c r="G44" i="6" s="1"/>
  <c r="H44" i="6" s="1"/>
  <c r="I44" i="6" s="1"/>
  <c r="J44" i="6" s="1"/>
  <c r="K44" i="6" s="1"/>
  <c r="L44" i="6" s="1"/>
  <c r="M44" i="6" s="1"/>
  <c r="N44" i="6" s="1"/>
  <c r="F43" i="6"/>
  <c r="G43" i="6" s="1"/>
  <c r="H43" i="6" s="1"/>
  <c r="I43" i="6" s="1"/>
  <c r="J43" i="6" s="1"/>
  <c r="K43" i="6" s="1"/>
  <c r="L43" i="6" s="1"/>
  <c r="M43" i="6" s="1"/>
  <c r="N43" i="6" s="1"/>
  <c r="E43" i="6"/>
  <c r="E42" i="6"/>
  <c r="F42" i="6" s="1"/>
  <c r="G42" i="6" s="1"/>
  <c r="H42" i="6" s="1"/>
  <c r="I42" i="6" s="1"/>
  <c r="J42" i="6" s="1"/>
  <c r="K42" i="6" s="1"/>
  <c r="L42" i="6" s="1"/>
  <c r="M42" i="6" s="1"/>
  <c r="N42" i="6" s="1"/>
  <c r="F41" i="6"/>
  <c r="G41" i="6" s="1"/>
  <c r="H41" i="6" s="1"/>
  <c r="I41" i="6" s="1"/>
  <c r="J41" i="6" s="1"/>
  <c r="K41" i="6" s="1"/>
  <c r="L41" i="6" s="1"/>
  <c r="M41" i="6" s="1"/>
  <c r="N41" i="6" s="1"/>
  <c r="E41" i="6"/>
  <c r="AD29" i="6"/>
  <c r="AE29" i="6" s="1"/>
  <c r="AF29" i="6" s="1"/>
  <c r="AG29" i="6" s="1"/>
  <c r="AH29" i="6" s="1"/>
  <c r="AI29" i="6" s="1"/>
  <c r="AJ29" i="6" s="1"/>
  <c r="AK29" i="6" s="1"/>
  <c r="AL29" i="6" s="1"/>
  <c r="AM29" i="6" s="1"/>
  <c r="E29" i="6"/>
  <c r="F29" i="6" s="1"/>
  <c r="G29" i="6" s="1"/>
  <c r="H29" i="6" s="1"/>
  <c r="I29" i="6" s="1"/>
  <c r="J29" i="6" s="1"/>
  <c r="K29" i="6" s="1"/>
  <c r="L29" i="6" s="1"/>
  <c r="M29" i="6" s="1"/>
  <c r="N29" i="6" s="1"/>
  <c r="AD28" i="6"/>
  <c r="AE28" i="6" s="1"/>
  <c r="AF28" i="6" s="1"/>
  <c r="AG28" i="6" s="1"/>
  <c r="AH28" i="6" s="1"/>
  <c r="AI28" i="6" s="1"/>
  <c r="AJ28" i="6" s="1"/>
  <c r="AK28" i="6" s="1"/>
  <c r="AL28" i="6" s="1"/>
  <c r="AM28" i="6" s="1"/>
  <c r="E28" i="6"/>
  <c r="F28" i="6" s="1"/>
  <c r="G28" i="6" s="1"/>
  <c r="H28" i="6" s="1"/>
  <c r="I28" i="6" s="1"/>
  <c r="J28" i="6" s="1"/>
  <c r="K28" i="6" s="1"/>
  <c r="L28" i="6" s="1"/>
  <c r="M28" i="6" s="1"/>
  <c r="N28" i="6" s="1"/>
  <c r="AD27" i="6"/>
  <c r="AE27" i="6" s="1"/>
  <c r="AF27" i="6" s="1"/>
  <c r="AG27" i="6" s="1"/>
  <c r="AH27" i="6" s="1"/>
  <c r="AI27" i="6" s="1"/>
  <c r="AJ27" i="6" s="1"/>
  <c r="AK27" i="6" s="1"/>
  <c r="AL27" i="6" s="1"/>
  <c r="AM27" i="6" s="1"/>
  <c r="E27" i="6"/>
  <c r="F27" i="6" s="1"/>
  <c r="G27" i="6" s="1"/>
  <c r="H27" i="6" s="1"/>
  <c r="I27" i="6" s="1"/>
  <c r="J27" i="6" s="1"/>
  <c r="K27" i="6" s="1"/>
  <c r="L27" i="6" s="1"/>
  <c r="M27" i="6" s="1"/>
  <c r="N27" i="6" s="1"/>
  <c r="AD26" i="6"/>
  <c r="AE26" i="6" s="1"/>
  <c r="AF26" i="6" s="1"/>
  <c r="AG26" i="6" s="1"/>
  <c r="AH26" i="6" s="1"/>
  <c r="AI26" i="6" s="1"/>
  <c r="AJ26" i="6" s="1"/>
  <c r="AK26" i="6" s="1"/>
  <c r="AL26" i="6" s="1"/>
  <c r="AM26" i="6" s="1"/>
  <c r="E26" i="6"/>
  <c r="F26" i="6" s="1"/>
  <c r="G26" i="6" s="1"/>
  <c r="H26" i="6" s="1"/>
  <c r="I26" i="6" s="1"/>
  <c r="J26" i="6" s="1"/>
  <c r="K26" i="6" s="1"/>
  <c r="L26" i="6" s="1"/>
  <c r="M26" i="6" s="1"/>
  <c r="N26" i="6" s="1"/>
  <c r="AD25" i="6"/>
  <c r="AE25" i="6" s="1"/>
  <c r="AF25" i="6" s="1"/>
  <c r="AG25" i="6" s="1"/>
  <c r="AH25" i="6" s="1"/>
  <c r="AI25" i="6" s="1"/>
  <c r="AJ25" i="6" s="1"/>
  <c r="AD24" i="6"/>
  <c r="AE24" i="6" s="1"/>
  <c r="AF24" i="6" s="1"/>
  <c r="AG24" i="6" s="1"/>
  <c r="AH24" i="6" s="1"/>
  <c r="AI24" i="6" s="1"/>
  <c r="AJ24" i="6" s="1"/>
  <c r="AK24" i="6" s="1"/>
  <c r="AL24" i="6" s="1"/>
  <c r="AM24" i="6" s="1"/>
  <c r="E24" i="6"/>
  <c r="F24" i="6" s="1"/>
  <c r="G24" i="6" s="1"/>
  <c r="H24" i="6" s="1"/>
  <c r="I24" i="6" s="1"/>
  <c r="J24" i="6" s="1"/>
  <c r="K24" i="6" s="1"/>
  <c r="L24" i="6" s="1"/>
  <c r="M24" i="6" s="1"/>
  <c r="N24" i="6" s="1"/>
  <c r="B13" i="5"/>
  <c r="C13" i="5"/>
  <c r="D13" i="5" s="1"/>
  <c r="G18" i="5"/>
  <c r="G19" i="5"/>
  <c r="G20" i="5"/>
  <c r="G21" i="5"/>
  <c r="G22" i="5"/>
  <c r="G23" i="5"/>
  <c r="G24" i="5"/>
  <c r="G25" i="5"/>
  <c r="G26" i="5"/>
  <c r="G27" i="5"/>
  <c r="O10" i="7" l="1"/>
  <c r="X10" i="7"/>
  <c r="U10" i="7"/>
  <c r="AC9" i="7"/>
  <c r="I11" i="7"/>
  <c r="G11" i="7"/>
  <c r="J11" i="7" s="1"/>
  <c r="W13" i="7"/>
  <c r="I13" i="7"/>
  <c r="G13" i="7"/>
  <c r="K19" i="7" s="1"/>
  <c r="V9" i="7"/>
  <c r="T9" i="7"/>
  <c r="W9" i="7" s="1"/>
  <c r="J20" i="7"/>
  <c r="N14" i="7"/>
  <c r="O13" i="7"/>
  <c r="AC11" i="7"/>
  <c r="T11" i="7"/>
  <c r="D24" i="7"/>
  <c r="F26" i="7"/>
  <c r="J21" i="7"/>
  <c r="Z13" i="7"/>
  <c r="L26" i="7" s="1"/>
  <c r="L20" i="7" s="1"/>
  <c r="L13" i="7"/>
  <c r="Y13" i="7"/>
  <c r="AK25" i="6"/>
  <c r="AL25" i="6" s="1"/>
  <c r="AM25" i="6" s="1"/>
  <c r="AB13" i="7"/>
  <c r="O12" i="7"/>
  <c r="Z12" i="7"/>
  <c r="X12" i="7"/>
  <c r="AB12" i="7" s="1"/>
  <c r="U12" i="7"/>
  <c r="J24" i="7"/>
  <c r="AB10" i="7"/>
  <c r="AA3" i="7"/>
  <c r="AA8" i="7"/>
  <c r="E22" i="7" s="1"/>
  <c r="AB11" i="7"/>
  <c r="T8" i="7"/>
  <c r="V8" i="7"/>
  <c r="J19" i="7"/>
  <c r="J26" i="7" s="1"/>
  <c r="J13" i="7"/>
  <c r="AA12" i="7"/>
  <c r="Y11" i="7"/>
  <c r="W11" i="7"/>
  <c r="L11" i="7"/>
  <c r="Z10" i="7"/>
  <c r="X9" i="7"/>
  <c r="AB9" i="7" s="1"/>
  <c r="AA9" i="7"/>
  <c r="I8" i="7"/>
  <c r="D7" i="7"/>
  <c r="I19" i="7"/>
  <c r="Z14" i="7"/>
  <c r="V12" i="7"/>
  <c r="W12" i="7" s="1"/>
  <c r="AA11" i="7"/>
  <c r="T10" i="7"/>
  <c r="W10" i="7" s="1"/>
  <c r="L10" i="7"/>
  <c r="G10" i="7"/>
  <c r="J10" i="7" s="1"/>
  <c r="U9" i="7"/>
  <c r="X8" i="7"/>
  <c r="N7" i="7"/>
  <c r="O8" i="7"/>
  <c r="O7" i="7" s="1"/>
  <c r="U8" i="7"/>
  <c r="E20" i="7"/>
  <c r="Y8" i="7"/>
  <c r="C16" i="7" s="1"/>
  <c r="AC10" i="7"/>
  <c r="AA10" i="7"/>
  <c r="L8" i="7"/>
  <c r="J8" i="7"/>
  <c r="E19" i="7"/>
  <c r="L21" i="7"/>
  <c r="I20" i="7"/>
  <c r="L19" i="7"/>
  <c r="Z3" i="7"/>
  <c r="Z9" i="7"/>
  <c r="O14" i="7"/>
  <c r="AA13" i="7"/>
  <c r="L12" i="7"/>
  <c r="G12" i="7"/>
  <c r="J12" i="7" s="1"/>
  <c r="Z11" i="7"/>
  <c r="Y9" i="7"/>
  <c r="G9" i="7"/>
  <c r="J9" i="7" s="1"/>
  <c r="L9" i="7"/>
  <c r="AC8" i="7"/>
  <c r="K7" i="7"/>
  <c r="E51" i="4"/>
  <c r="D51" i="4"/>
  <c r="C51" i="4"/>
  <c r="B51" i="4"/>
  <c r="L50" i="4"/>
  <c r="K50" i="4"/>
  <c r="I50" i="4"/>
  <c r="G50" i="4"/>
  <c r="L49" i="4"/>
  <c r="K49" i="4"/>
  <c r="I49" i="4"/>
  <c r="G49" i="4"/>
  <c r="L48" i="4"/>
  <c r="K48" i="4"/>
  <c r="I48" i="4"/>
  <c r="G48" i="4"/>
  <c r="L47" i="4"/>
  <c r="K47" i="4"/>
  <c r="I47" i="4"/>
  <c r="G47" i="4"/>
  <c r="L46" i="4"/>
  <c r="K46" i="4"/>
  <c r="I46" i="4"/>
  <c r="G46" i="4"/>
  <c r="L45" i="4"/>
  <c r="K45" i="4"/>
  <c r="I45" i="4"/>
  <c r="G45" i="4"/>
  <c r="L44" i="4"/>
  <c r="K44" i="4"/>
  <c r="I44" i="4"/>
  <c r="G44" i="4"/>
  <c r="L43" i="4"/>
  <c r="K43" i="4"/>
  <c r="I43" i="4"/>
  <c r="G43" i="4"/>
  <c r="L42" i="4"/>
  <c r="K42" i="4"/>
  <c r="I42" i="4"/>
  <c r="G42" i="4"/>
  <c r="L41" i="4"/>
  <c r="K41" i="4"/>
  <c r="G41" i="4"/>
  <c r="I38" i="4"/>
  <c r="F38" i="4"/>
  <c r="D38" i="4"/>
  <c r="B38" i="4"/>
  <c r="J37" i="4"/>
  <c r="H37" i="4"/>
  <c r="G37" i="4"/>
  <c r="E37" i="4"/>
  <c r="C37" i="4"/>
  <c r="J36" i="4"/>
  <c r="H36" i="4"/>
  <c r="G36" i="4"/>
  <c r="E36" i="4"/>
  <c r="C36" i="4"/>
  <c r="J35" i="4"/>
  <c r="H35" i="4"/>
  <c r="G35" i="4"/>
  <c r="E35" i="4"/>
  <c r="C35" i="4"/>
  <c r="J34" i="4"/>
  <c r="H34" i="4"/>
  <c r="G34" i="4"/>
  <c r="E34" i="4"/>
  <c r="C34" i="4"/>
  <c r="J33" i="4"/>
  <c r="H33" i="4"/>
  <c r="G33" i="4"/>
  <c r="E33" i="4"/>
  <c r="C33" i="4"/>
  <c r="J32" i="4"/>
  <c r="H32" i="4"/>
  <c r="G32" i="4"/>
  <c r="E32" i="4"/>
  <c r="C32" i="4"/>
  <c r="J31" i="4"/>
  <c r="H31" i="4"/>
  <c r="G31" i="4"/>
  <c r="E31" i="4"/>
  <c r="C31" i="4"/>
  <c r="J30" i="4"/>
  <c r="H30" i="4"/>
  <c r="G30" i="4"/>
  <c r="E30" i="4"/>
  <c r="C30" i="4"/>
  <c r="J29" i="4"/>
  <c r="H29" i="4"/>
  <c r="G29" i="4"/>
  <c r="E29" i="4"/>
  <c r="C29" i="4"/>
  <c r="J28" i="4"/>
  <c r="H28" i="4"/>
  <c r="G28" i="4"/>
  <c r="E28" i="4"/>
  <c r="C28" i="4"/>
  <c r="I26" i="4"/>
  <c r="F26" i="4"/>
  <c r="D26" i="4"/>
  <c r="B26" i="4"/>
  <c r="S25" i="4"/>
  <c r="J25" i="4"/>
  <c r="H25" i="4"/>
  <c r="G25" i="4"/>
  <c r="E25" i="4"/>
  <c r="C25" i="4"/>
  <c r="S24" i="4"/>
  <c r="J24" i="4"/>
  <c r="H24" i="4"/>
  <c r="G24" i="4"/>
  <c r="E24" i="4"/>
  <c r="C24" i="4"/>
  <c r="S23" i="4"/>
  <c r="J23" i="4"/>
  <c r="H23" i="4"/>
  <c r="G23" i="4"/>
  <c r="E23" i="4"/>
  <c r="C23" i="4"/>
  <c r="S22" i="4"/>
  <c r="J22" i="4"/>
  <c r="H22" i="4"/>
  <c r="G22" i="4"/>
  <c r="E22" i="4"/>
  <c r="C22" i="4"/>
  <c r="S21" i="4"/>
  <c r="J21" i="4"/>
  <c r="H21" i="4"/>
  <c r="G21" i="4"/>
  <c r="E21" i="4"/>
  <c r="C21" i="4"/>
  <c r="S20" i="4"/>
  <c r="J20" i="4"/>
  <c r="H20" i="4"/>
  <c r="G20" i="4"/>
  <c r="E20" i="4"/>
  <c r="C20" i="4"/>
  <c r="S19" i="4"/>
  <c r="J19" i="4"/>
  <c r="H19" i="4"/>
  <c r="G19" i="4"/>
  <c r="E19" i="4"/>
  <c r="C19" i="4"/>
  <c r="S18" i="4"/>
  <c r="J18" i="4"/>
  <c r="H18" i="4"/>
  <c r="G18" i="4"/>
  <c r="E18" i="4"/>
  <c r="C18" i="4"/>
  <c r="S17" i="4"/>
  <c r="J17" i="4"/>
  <c r="H17" i="4"/>
  <c r="G17" i="4"/>
  <c r="E17" i="4"/>
  <c r="C17" i="4"/>
  <c r="S16" i="4"/>
  <c r="J16" i="4"/>
  <c r="H16" i="4"/>
  <c r="G16" i="4"/>
  <c r="E16" i="4"/>
  <c r="C16" i="4"/>
  <c r="I13" i="4"/>
  <c r="G13" i="4"/>
  <c r="D13" i="4"/>
  <c r="B13" i="4"/>
  <c r="S12" i="4"/>
  <c r="H12" i="4"/>
  <c r="F12" i="4"/>
  <c r="E12" i="4"/>
  <c r="C12" i="4"/>
  <c r="S11" i="4"/>
  <c r="H11" i="4"/>
  <c r="F11" i="4"/>
  <c r="E11" i="4"/>
  <c r="C11" i="4"/>
  <c r="S10" i="4"/>
  <c r="H10" i="4"/>
  <c r="F10" i="4"/>
  <c r="E10" i="4"/>
  <c r="C10" i="4"/>
  <c r="S9" i="4"/>
  <c r="H9" i="4"/>
  <c r="F9" i="4"/>
  <c r="E9" i="4"/>
  <c r="C9" i="4"/>
  <c r="S8" i="4"/>
  <c r="H8" i="4"/>
  <c r="F8" i="4"/>
  <c r="E8" i="4"/>
  <c r="C8" i="4"/>
  <c r="S7" i="4"/>
  <c r="H7" i="4"/>
  <c r="F7" i="4"/>
  <c r="E7" i="4"/>
  <c r="C7" i="4"/>
  <c r="S6" i="4"/>
  <c r="H6" i="4"/>
  <c r="F6" i="4"/>
  <c r="E6" i="4"/>
  <c r="C6" i="4"/>
  <c r="S5" i="4"/>
  <c r="H5" i="4"/>
  <c r="F5" i="4"/>
  <c r="E5" i="4"/>
  <c r="C5" i="4"/>
  <c r="S4" i="4"/>
  <c r="H4" i="4"/>
  <c r="F4" i="4"/>
  <c r="E4" i="4"/>
  <c r="C4" i="4"/>
  <c r="S3" i="4"/>
  <c r="H3" i="4"/>
  <c r="F3" i="4"/>
  <c r="E3" i="4"/>
  <c r="C3" i="4"/>
  <c r="H29" i="3"/>
  <c r="G29" i="3"/>
  <c r="F29" i="3"/>
  <c r="E29" i="3"/>
  <c r="D29" i="3"/>
  <c r="C29" i="3"/>
  <c r="O28" i="3"/>
  <c r="K28" i="3"/>
  <c r="O26" i="3"/>
  <c r="K26" i="3"/>
  <c r="O24" i="3"/>
  <c r="K24" i="3"/>
  <c r="O22" i="3"/>
  <c r="K22" i="3"/>
  <c r="O20" i="3"/>
  <c r="N20" i="3"/>
  <c r="K20" i="3"/>
  <c r="J20" i="3"/>
  <c r="O13" i="3"/>
  <c r="K13" i="3"/>
  <c r="H13" i="3"/>
  <c r="O27" i="3" s="1"/>
  <c r="G13" i="3"/>
  <c r="N28" i="3" s="1"/>
  <c r="F13" i="3"/>
  <c r="M11" i="3" s="1"/>
  <c r="E13" i="3"/>
  <c r="L27" i="3" s="1"/>
  <c r="D13" i="3"/>
  <c r="K27" i="3" s="1"/>
  <c r="C13" i="3"/>
  <c r="J28" i="3" s="1"/>
  <c r="A13" i="3"/>
  <c r="O12" i="3"/>
  <c r="N12" i="3"/>
  <c r="L12" i="3"/>
  <c r="K12" i="3"/>
  <c r="J12" i="3"/>
  <c r="O11" i="3"/>
  <c r="N11" i="3"/>
  <c r="K11" i="3"/>
  <c r="J11" i="3"/>
  <c r="O10" i="3"/>
  <c r="N10" i="3"/>
  <c r="L10" i="3"/>
  <c r="K10" i="3"/>
  <c r="J10" i="3"/>
  <c r="O9" i="3"/>
  <c r="N9" i="3"/>
  <c r="K9" i="3"/>
  <c r="J9" i="3"/>
  <c r="O8" i="3"/>
  <c r="N8" i="3"/>
  <c r="L8" i="3"/>
  <c r="K8" i="3"/>
  <c r="J8" i="3"/>
  <c r="O7" i="3"/>
  <c r="N7" i="3"/>
  <c r="K7" i="3"/>
  <c r="J7" i="3"/>
  <c r="O6" i="3"/>
  <c r="N6" i="3"/>
  <c r="L6" i="3"/>
  <c r="K6" i="3"/>
  <c r="J6" i="3"/>
  <c r="O5" i="3"/>
  <c r="N5" i="3"/>
  <c r="K5" i="3"/>
  <c r="J5" i="3"/>
  <c r="O4" i="3"/>
  <c r="N4" i="3"/>
  <c r="L4" i="3"/>
  <c r="K4" i="3"/>
  <c r="J4" i="3"/>
  <c r="O3" i="3"/>
  <c r="O14" i="3" s="1"/>
  <c r="N3" i="3"/>
  <c r="N13" i="3" s="1"/>
  <c r="K3" i="3"/>
  <c r="K14" i="3" s="1"/>
  <c r="J3" i="3"/>
  <c r="J13" i="3" s="1"/>
  <c r="P1" i="3"/>
  <c r="O1" i="3"/>
  <c r="N1" i="3"/>
  <c r="M1" i="3"/>
  <c r="L1" i="3"/>
  <c r="K1" i="3"/>
  <c r="E3" i="2"/>
  <c r="E4" i="2"/>
  <c r="E5" i="2"/>
  <c r="E6" i="2"/>
  <c r="E7" i="2"/>
  <c r="E8" i="2"/>
  <c r="E9" i="2"/>
  <c r="E10" i="2"/>
  <c r="E11" i="2"/>
  <c r="E12" i="2"/>
  <c r="C13" i="2"/>
  <c r="D13" i="2"/>
  <c r="E13" i="2"/>
  <c r="E15" i="2"/>
  <c r="F15" i="2"/>
  <c r="E16" i="2"/>
  <c r="F16" i="2" s="1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C25" i="2"/>
  <c r="D25" i="2"/>
  <c r="E25" i="2"/>
  <c r="E28" i="2"/>
  <c r="F28" i="2" s="1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C38" i="2"/>
  <c r="D38" i="2"/>
  <c r="B42" i="2"/>
  <c r="C42" i="2"/>
  <c r="D42" i="2" s="1"/>
  <c r="E42" i="2"/>
  <c r="G42" i="2" s="1"/>
  <c r="F42" i="2"/>
  <c r="B43" i="2"/>
  <c r="C43" i="2"/>
  <c r="D43" i="2"/>
  <c r="E43" i="2"/>
  <c r="D40" i="2" s="1"/>
  <c r="G43" i="2"/>
  <c r="B44" i="2"/>
  <c r="F44" i="2" s="1"/>
  <c r="C44" i="2"/>
  <c r="D44" i="2" s="1"/>
  <c r="B45" i="2"/>
  <c r="C45" i="2"/>
  <c r="D45" i="2"/>
  <c r="E45" i="2"/>
  <c r="F45" i="2" s="1"/>
  <c r="D46" i="2"/>
  <c r="E46" i="2"/>
  <c r="E48" i="2" s="1"/>
  <c r="E27" i="1"/>
  <c r="E26" i="1"/>
  <c r="E25" i="1"/>
  <c r="E24" i="1"/>
  <c r="E23" i="1"/>
  <c r="E22" i="1"/>
  <c r="E21" i="1"/>
  <c r="E20" i="1"/>
  <c r="E19" i="1"/>
  <c r="E18" i="1"/>
  <c r="E17" i="1"/>
  <c r="E16" i="1"/>
  <c r="E13" i="1"/>
  <c r="E12" i="1"/>
  <c r="E11" i="1"/>
  <c r="E10" i="1"/>
  <c r="E9" i="1"/>
  <c r="E8" i="1"/>
  <c r="E7" i="1"/>
  <c r="E6" i="1"/>
  <c r="E5" i="1"/>
  <c r="E4" i="1"/>
  <c r="E3" i="1"/>
  <c r="E2" i="1"/>
  <c r="L27" i="7" l="1"/>
  <c r="K23" i="7"/>
  <c r="U14" i="7"/>
  <c r="X14" i="7"/>
  <c r="AB14" i="7" s="1"/>
  <c r="K21" i="7"/>
  <c r="I21" i="7"/>
  <c r="AC3" i="7"/>
  <c r="AC4" i="7"/>
  <c r="C27" i="7"/>
  <c r="F25" i="7" s="1"/>
  <c r="F19" i="7" s="1"/>
  <c r="AB8" i="7"/>
  <c r="X7" i="7"/>
  <c r="I26" i="7"/>
  <c r="L22" i="7"/>
  <c r="L7" i="7"/>
  <c r="D20" i="7"/>
  <c r="F20" i="7"/>
  <c r="F27" i="7" s="1"/>
  <c r="E21" i="7"/>
  <c r="E17" i="7" s="1"/>
  <c r="C21" i="7"/>
  <c r="C26" i="7" s="1"/>
  <c r="K22" i="7"/>
  <c r="D21" i="7"/>
  <c r="F21" i="7"/>
  <c r="E23" i="7"/>
  <c r="C17" i="7" s="1"/>
  <c r="D19" i="7"/>
  <c r="W8" i="7"/>
  <c r="U17" i="7" s="1"/>
  <c r="G44" i="2"/>
  <c r="F15" i="3"/>
  <c r="M19" i="3"/>
  <c r="M21" i="3"/>
  <c r="M23" i="3"/>
  <c r="M25" i="3"/>
  <c r="M27" i="3"/>
  <c r="M4" i="3"/>
  <c r="M6" i="3"/>
  <c r="M8" i="3"/>
  <c r="M10" i="3"/>
  <c r="M12" i="3"/>
  <c r="J14" i="3"/>
  <c r="N14" i="3"/>
  <c r="C15" i="3"/>
  <c r="G15" i="3"/>
  <c r="J19" i="3"/>
  <c r="N19" i="3"/>
  <c r="L20" i="3"/>
  <c r="J21" i="3"/>
  <c r="N21" i="3"/>
  <c r="L22" i="3"/>
  <c r="J23" i="3"/>
  <c r="N23" i="3"/>
  <c r="L24" i="3"/>
  <c r="J25" i="3"/>
  <c r="N25" i="3"/>
  <c r="L26" i="3"/>
  <c r="J27" i="3"/>
  <c r="N27" i="3"/>
  <c r="L28" i="3"/>
  <c r="L3" i="3"/>
  <c r="L5" i="3"/>
  <c r="L7" i="3"/>
  <c r="L9" i="3"/>
  <c r="L11" i="3"/>
  <c r="D15" i="3"/>
  <c r="H15" i="3"/>
  <c r="K19" i="3"/>
  <c r="O19" i="3"/>
  <c r="M20" i="3"/>
  <c r="K21" i="3"/>
  <c r="O21" i="3"/>
  <c r="M22" i="3"/>
  <c r="K23" i="3"/>
  <c r="O23" i="3"/>
  <c r="M24" i="3"/>
  <c r="K25" i="3"/>
  <c r="O25" i="3"/>
  <c r="M26" i="3"/>
  <c r="M28" i="3"/>
  <c r="M3" i="3"/>
  <c r="M5" i="3"/>
  <c r="M7" i="3"/>
  <c r="M9" i="3"/>
  <c r="E15" i="3"/>
  <c r="L19" i="3"/>
  <c r="L21" i="3"/>
  <c r="J22" i="3"/>
  <c r="N22" i="3"/>
  <c r="L23" i="3"/>
  <c r="J24" i="3"/>
  <c r="N24" i="3"/>
  <c r="L25" i="3"/>
  <c r="J26" i="3"/>
  <c r="N26" i="3"/>
  <c r="G45" i="2"/>
  <c r="F43" i="2"/>
  <c r="E41" i="2"/>
  <c r="D48" i="2"/>
  <c r="E38" i="2"/>
  <c r="D26" i="7" l="1"/>
  <c r="F16" i="7"/>
  <c r="D17" i="7"/>
  <c r="F22" i="7"/>
  <c r="F17" i="7" s="1"/>
  <c r="J29" i="3"/>
  <c r="J30" i="3"/>
  <c r="L30" i="3"/>
  <c r="L29" i="3"/>
  <c r="E16" i="3"/>
  <c r="M13" i="3"/>
  <c r="M14" i="3"/>
  <c r="O30" i="3"/>
  <c r="O29" i="3"/>
  <c r="L14" i="3"/>
  <c r="P14" i="3" s="1"/>
  <c r="L13" i="3"/>
  <c r="K30" i="3"/>
  <c r="K29" i="3"/>
  <c r="B15" i="3"/>
  <c r="D16" i="3" s="1"/>
  <c r="M29" i="3"/>
  <c r="M30" i="3"/>
  <c r="N29" i="3"/>
  <c r="N30" i="3"/>
  <c r="F16" i="3"/>
  <c r="G16" i="3" l="1"/>
  <c r="P30" i="3"/>
  <c r="H16" i="3"/>
  <c r="C16" i="3"/>
  <c r="O48" i="9"/>
  <c r="O50" i="9"/>
  <c r="O46" i="9"/>
  <c r="O49" i="9"/>
  <c r="O45" i="9"/>
  <c r="O47" i="9"/>
  <c r="O51" i="9"/>
  <c r="O44" i="9"/>
  <c r="O43" i="9"/>
  <c r="O42" i="9"/>
</calcChain>
</file>

<file path=xl/sharedStrings.xml><?xml version="1.0" encoding="utf-8"?>
<sst xmlns="http://schemas.openxmlformats.org/spreadsheetml/2006/main" count="380" uniqueCount="199">
  <si>
    <t>x_NMS</t>
  </si>
  <si>
    <t xml:space="preserve">Government Cost </t>
  </si>
  <si>
    <t xml:space="preserve">Industry Cost </t>
  </si>
  <si>
    <t>Market Share</t>
  </si>
  <si>
    <t>Annual Grant (%)</t>
  </si>
  <si>
    <t>Gas Tax (%)</t>
  </si>
  <si>
    <t>Electricity Subsidy (£/MWh)</t>
  </si>
  <si>
    <t>Carbon Tax (£/tCO2e)</t>
  </si>
  <si>
    <t xml:space="preserve">1 Year 100% adoption </t>
  </si>
  <si>
    <t>5LP S Curve</t>
  </si>
  <si>
    <t>5LP Linear</t>
  </si>
  <si>
    <t>10LP S Curve</t>
  </si>
  <si>
    <t>2.5LP S Curve</t>
  </si>
  <si>
    <t>Percentage of total cost</t>
  </si>
  <si>
    <t>Total</t>
  </si>
  <si>
    <t>Industry</t>
  </si>
  <si>
    <t xml:space="preserve">Government </t>
  </si>
  <si>
    <t>Case</t>
  </si>
  <si>
    <t>Error</t>
  </si>
  <si>
    <t>Year</t>
  </si>
  <si>
    <t>2.5LP</t>
  </si>
  <si>
    <t>10LP</t>
  </si>
  <si>
    <t>MW</t>
  </si>
  <si>
    <t xml:space="preserve">Cluster </t>
  </si>
  <si>
    <t>Cluster_1</t>
  </si>
  <si>
    <t xml:space="preserve"> Cluster_5</t>
  </si>
  <si>
    <t>Cluster_9</t>
  </si>
  <si>
    <t>Cluster_15</t>
  </si>
  <si>
    <t>Cluster_30</t>
  </si>
  <si>
    <t>Cluster_60</t>
  </si>
  <si>
    <t>1MW</t>
  </si>
  <si>
    <t>5MW</t>
  </si>
  <si>
    <t>9MW</t>
  </si>
  <si>
    <t>15MW</t>
  </si>
  <si>
    <t>30MW</t>
  </si>
  <si>
    <t>60MW</t>
  </si>
  <si>
    <t>Initial Investment Cost (£)</t>
  </si>
  <si>
    <t>Average annualised cost of heating gas (£)</t>
  </si>
  <si>
    <t>Average annualised cost of heating electricity (£)</t>
  </si>
  <si>
    <t>5LP</t>
  </si>
  <si>
    <t>5% LP</t>
  </si>
  <si>
    <t>S-Curve &amp; 5% LP</t>
  </si>
  <si>
    <t>Carbon Tax/10 (£/tCO2e)</t>
  </si>
  <si>
    <t>Market Share: S-Curve</t>
  </si>
  <si>
    <t>10% LP</t>
  </si>
  <si>
    <t>S-Curve &amp; 10% LP</t>
  </si>
  <si>
    <t>Market Share: Linear</t>
  </si>
  <si>
    <t>2.5% LP</t>
  </si>
  <si>
    <t>S-Curve &amp; 2.5% LP</t>
  </si>
  <si>
    <t xml:space="preserve">Annual Grant (%/100) Linear </t>
  </si>
  <si>
    <t xml:space="preserve">Linear &amp; 5% LP </t>
  </si>
  <si>
    <t xml:space="preserve">Carbon Tax (£/tCO2e) Linear </t>
  </si>
  <si>
    <t xml:space="preserve">Electricity Subsidy (£/MWh) Linear </t>
  </si>
  <si>
    <t>Market share</t>
  </si>
  <si>
    <t>Grant *100</t>
  </si>
  <si>
    <t>Electricity Price (£/MWh)</t>
  </si>
  <si>
    <t>Gas Price (£/MWh)</t>
  </si>
  <si>
    <t>carbon tax/10</t>
  </si>
  <si>
    <t>Total cost</t>
  </si>
  <si>
    <t>Gas Tax (£/yr)</t>
  </si>
  <si>
    <t>Annual Grant (%/100)</t>
  </si>
  <si>
    <t>Linear</t>
  </si>
  <si>
    <t>LP</t>
  </si>
  <si>
    <t>Cluster 1</t>
  </si>
  <si>
    <t>Cluster 5</t>
  </si>
  <si>
    <t>Cluster 9</t>
  </si>
  <si>
    <t>Cluster 15</t>
  </si>
  <si>
    <t>Cluster 30</t>
  </si>
  <si>
    <t>Cluster 60</t>
  </si>
  <si>
    <t xml:space="preserve">1 MW Cluster </t>
  </si>
  <si>
    <t xml:space="preserve">5 MW Cluster </t>
  </si>
  <si>
    <t xml:space="preserve">9 MW Cluster </t>
  </si>
  <si>
    <t xml:space="preserve">15 MW Cluster </t>
  </si>
  <si>
    <t xml:space="preserve">30 MW Cluster </t>
  </si>
  <si>
    <t xml:space="preserve">60 MW Cluster </t>
  </si>
  <si>
    <t>S-Curve</t>
  </si>
  <si>
    <t>Linear Adoption</t>
  </si>
  <si>
    <t>Number of electric boilers</t>
  </si>
  <si>
    <t>Extra-large  (60MW)</t>
  </si>
  <si>
    <t>Very large  (30MW)</t>
  </si>
  <si>
    <t>Large  (15MW)</t>
  </si>
  <si>
    <t>Medium  (9MW)</t>
  </si>
  <si>
    <t>Small  (5MW)</t>
  </si>
  <si>
    <t>Very small (1MW)</t>
  </si>
  <si>
    <t xml:space="preserve"> 5MW</t>
  </si>
  <si>
    <t>gas tax</t>
  </si>
  <si>
    <t>carbon tax</t>
  </si>
  <si>
    <t>Fixed O&amp;M</t>
  </si>
  <si>
    <t>VO&amp;M</t>
  </si>
  <si>
    <t>LIC</t>
  </si>
  <si>
    <t>After Policies Switch Electric Boiler</t>
  </si>
  <si>
    <t>After Policies Natural Gas Boiler</t>
  </si>
  <si>
    <t>Electric Boiler</t>
  </si>
  <si>
    <t>Natural Gas Boiler</t>
  </si>
  <si>
    <t>grant</t>
  </si>
  <si>
    <t xml:space="preserve">sub 1 </t>
  </si>
  <si>
    <t>Lic</t>
  </si>
  <si>
    <t xml:space="preserve">Gas Tax (%/100) Linear </t>
  </si>
  <si>
    <t>After Switch  Electric Boiler 2</t>
  </si>
  <si>
    <t>After Switch Natural Gas Boiler</t>
  </si>
  <si>
    <t>Boiler 490</t>
  </si>
  <si>
    <t>Boiler 453</t>
  </si>
  <si>
    <t>Boiler 432</t>
  </si>
  <si>
    <t>Boiler 388</t>
  </si>
  <si>
    <t>Boiler 387</t>
  </si>
  <si>
    <t>Boiler 1</t>
  </si>
  <si>
    <t>ALL</t>
  </si>
  <si>
    <t>Annual grant for EB
(£/yr)</t>
  </si>
  <si>
    <t>Carbon tax electricity (£/yr)</t>
  </si>
  <si>
    <t>Carbon tax gas
(£/yr)</t>
  </si>
  <si>
    <t>Feed-in tariff on elec
(£/yr)</t>
  </si>
  <si>
    <t>Change in costs due to gas tax (£/yr)</t>
  </si>
  <si>
    <r>
      <t>CO</t>
    </r>
    <r>
      <rPr>
        <b/>
        <vertAlign val="sub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 xml:space="preserve"> Emissions
(t CO2e/yr)</t>
    </r>
  </si>
  <si>
    <t>Annualised Cost of Heat
(£/yr)</t>
  </si>
  <si>
    <t>Fixed O&amp;M costs
(£/yr)</t>
  </si>
  <si>
    <t>Variable O&amp;M costs
(£/yr)</t>
  </si>
  <si>
    <t>Levelised investment cost
(£/yr)</t>
  </si>
  <si>
    <t>Investment cost
(£)</t>
  </si>
  <si>
    <t>Marginal investment cost
(£/kW)</t>
  </si>
  <si>
    <t>δ electricity</t>
  </si>
  <si>
    <t>Boiler cluster</t>
  </si>
  <si>
    <t>Boiler capacity
(MW)</t>
  </si>
  <si>
    <t>Electricity required
(MWh/yr)</t>
  </si>
  <si>
    <t>Output energy
(MWh/yr)</t>
  </si>
  <si>
    <t>Market Occupancy</t>
  </si>
  <si>
    <t>Fixd O&amp;M costs
(£/yr)</t>
  </si>
  <si>
    <t>δ gas</t>
  </si>
  <si>
    <t>Gas consumption
(MWh/yr)</t>
  </si>
  <si>
    <t>Boiler ID</t>
  </si>
  <si>
    <t>£/tCO2e</t>
  </si>
  <si>
    <t>£/MWh</t>
  </si>
  <si>
    <t>1% of CAPEX</t>
  </si>
  <si>
    <t>y = A*capacity^b</t>
  </si>
  <si>
    <t>Electricity</t>
  </si>
  <si>
    <t>Grant</t>
  </si>
  <si>
    <t>Carbon tax:</t>
  </si>
  <si>
    <t>Electricity subsidy</t>
  </si>
  <si>
    <t>CCL tax on gas of</t>
  </si>
  <si>
    <t>2% of CAPEX</t>
  </si>
  <si>
    <t>-</t>
  </si>
  <si>
    <t>Natural Gas</t>
  </si>
  <si>
    <t>Fixed O&amp;M costs 
(£/kW/yr)</t>
  </si>
  <si>
    <t>b</t>
  </si>
  <si>
    <t>A</t>
  </si>
  <si>
    <t>CAPEX
(£/kW)</t>
  </si>
  <si>
    <t>Discount rate
(%)</t>
  </si>
  <si>
    <t>Emission factor
(t CO2e/MWh)</t>
  </si>
  <si>
    <t>Availability
(%)</t>
  </si>
  <si>
    <t>Operating hours
(h)</t>
  </si>
  <si>
    <t>Boiler Lifetime
(years)</t>
  </si>
  <si>
    <t>Boiler efficiency
(%)</t>
  </si>
  <si>
    <t>Price with CCL - climate change levy
(£/MWh)</t>
  </si>
  <si>
    <t>Learning Rate</t>
  </si>
  <si>
    <t>Electric Boiler Fixed O&amp;M Cost (£/kW/Yr)</t>
  </si>
  <si>
    <t>Natural Gas Boiler Fixed O&amp;M Cost (£/kW/Yr)</t>
  </si>
  <si>
    <t>Electric Boiler CAPEX B</t>
  </si>
  <si>
    <t>Electric Boiler CAPEX A</t>
  </si>
  <si>
    <t>Natural Gas Boiler CAPEX (£/kW)</t>
  </si>
  <si>
    <t>Electric Boiler Discount Rate</t>
  </si>
  <si>
    <t>Natural Gas Boiler Discount Rate</t>
  </si>
  <si>
    <t>Natural Gas Emission Factor (t CO2e/MWh)</t>
  </si>
  <si>
    <t>Electric Boiler Availability</t>
  </si>
  <si>
    <t>Natural Gas Boiler Availability</t>
  </si>
  <si>
    <t>Operating Hours (h)</t>
  </si>
  <si>
    <t>Electric Boiler Lifespan (Year)</t>
  </si>
  <si>
    <t>Natural Gas Boiler Lifespan (Year)</t>
  </si>
  <si>
    <t>Electric Boiler Efficiency</t>
  </si>
  <si>
    <t>Natural Gas Boiler Efficiency</t>
  </si>
  <si>
    <t>Value</t>
  </si>
  <si>
    <t>Parameter Name</t>
  </si>
  <si>
    <t>Linear adoption</t>
  </si>
  <si>
    <t xml:space="preserve">S-Curve </t>
  </si>
  <si>
    <t>Electric Emission Factor (t CO2e/MWh)</t>
  </si>
  <si>
    <t>Natural Gas Price with CCL (£/MWh)</t>
  </si>
  <si>
    <t>Electricity Price with CCL (£/MWh)</t>
  </si>
  <si>
    <t>Average of ACHOHe</t>
  </si>
  <si>
    <t>Average of ACHOHg</t>
  </si>
  <si>
    <t>Investment Cost (£)</t>
  </si>
  <si>
    <t>Average of ACOHe</t>
  </si>
  <si>
    <t>Average of ACOHg</t>
  </si>
  <si>
    <t>Boiler Capacity (MW)</t>
  </si>
  <si>
    <t>128</t>
  </si>
  <si>
    <t>Sum of CO2 savings (t CO2e/yr)</t>
  </si>
  <si>
    <t>Sum of Emission Factor</t>
  </si>
  <si>
    <t>Sum of Year</t>
  </si>
  <si>
    <t>C02 savings (t C02e/yr)</t>
  </si>
  <si>
    <t>Grid E factor</t>
  </si>
  <si>
    <t>CO2 abatement</t>
  </si>
  <si>
    <t>CO2 savings (t CO2e/yr)</t>
  </si>
  <si>
    <t>Baseline</t>
  </si>
  <si>
    <t xml:space="preserve">CCS recommendation 2035 </t>
  </si>
  <si>
    <t>UK Industry Goal 2035</t>
  </si>
  <si>
    <t>CO2 savings (t CO2e/yr) Linear</t>
  </si>
  <si>
    <t>CO2 savings (t CO2e/yr) S Curve</t>
  </si>
  <si>
    <t xml:space="preserve">Linear Adoption Yearly CO2 </t>
  </si>
  <si>
    <t xml:space="preserve">S-Curve CO2 yearly reduction </t>
  </si>
  <si>
    <t xml:space="preserve">Year </t>
  </si>
  <si>
    <t>Percenatge of natrual gas Emissions</t>
  </si>
  <si>
    <t>Linear adoption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</si>
</sst>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%"/>
    <numFmt numFmtId="165" formatCode="&quot;£&quot;#,##0.00"/>
    <numFmt numFmtId="166" formatCode="&quot;£&quot;#,##0.000"/>
    <numFmt numFmtId="167" formatCode="0.0"/>
    <numFmt numFmtId="168" formatCode="&quot;£&quot;#,##0"/>
    <numFmt numFmtId="169" formatCode="_-* #,##0.00_-;\-* #,##0.00_-;_-* &quot;-&quot;??_-;_-@_-"/>
    <numFmt numFmtId="171" formatCode="_-&quot;£&quot;* #,##0.00_-;\-&quot;£&quot;* #,##0.00_-;_-&quot;£&quot;* &quot;-&quot;??_-;_-@_-"/>
    <numFmt numFmtId="172" formatCode="0.000"/>
    <numFmt numFmtId="173" formatCode="0.0%"/>
    <numFmt numFmtId="174" formatCode="_-* #,##0_-;\-* #,##0_-;_-* &quot;-&quot;??_-;_-@_-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7"/>
      <color rgb="FF000000"/>
      <name val="Calibri"/>
      <family val="2"/>
      <scheme val="minor"/>
    </font>
    <font>
      <i/>
      <sz val="7"/>
      <color rgb="FF000000"/>
      <name val="Calibri Light"/>
      <family val="2"/>
    </font>
    <font>
      <i/>
      <sz val="7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7"/>
      <name val="Times New Roman"/>
      <family val="1"/>
    </font>
    <font>
      <sz val="12"/>
      <color indexed="12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onsolas"/>
      <family val="3"/>
    </font>
    <font>
      <sz val="10"/>
      <color theme="1"/>
      <name val="Times New Roman"/>
      <family val="1"/>
    </font>
    <font>
      <sz val="7"/>
      <color rgb="FFB5CEA8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8F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rgb="FF7F7F7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" fillId="0" borderId="0" applyNumberFormat="0" applyFont="0" applyFill="0" applyBorder="0" applyAlignment="0">
      <protection locked="0"/>
    </xf>
    <xf numFmtId="171" fontId="4" fillId="0" borderId="0" applyFon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9" fontId="0" fillId="0" borderId="1" xfId="1" applyFont="1" applyBorder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0" fontId="0" fillId="0" borderId="1" xfId="1" applyNumberFormat="1" applyFont="1" applyBorder="1"/>
    <xf numFmtId="9" fontId="0" fillId="0" borderId="0" xfId="1" applyFont="1"/>
    <xf numFmtId="9" fontId="0" fillId="0" borderId="0" xfId="0" applyNumberFormat="1"/>
    <xf numFmtId="0" fontId="1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3" fontId="5" fillId="2" borderId="0" xfId="0" applyNumberFormat="1" applyFont="1" applyFill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6" xfId="0" applyBorder="1"/>
    <xf numFmtId="0" fontId="7" fillId="0" borderId="1" xfId="0" applyFont="1" applyBorder="1" applyAlignment="1">
      <alignment horizontal="center" vertical="top"/>
    </xf>
    <xf numFmtId="0" fontId="8" fillId="0" borderId="0" xfId="0" quotePrefix="1" applyFont="1" applyAlignment="1">
      <alignment vertical="center"/>
    </xf>
    <xf numFmtId="0" fontId="8" fillId="0" borderId="0" xfId="0" applyFont="1"/>
    <xf numFmtId="0" fontId="1" fillId="3" borderId="0" xfId="0" applyFont="1" applyFill="1"/>
    <xf numFmtId="0" fontId="9" fillId="3" borderId="0" xfId="0" applyFont="1" applyFill="1"/>
    <xf numFmtId="0" fontId="0" fillId="3" borderId="0" xfId="0" applyFill="1" applyAlignment="1">
      <alignment horizontal="center"/>
    </xf>
    <xf numFmtId="0" fontId="10" fillId="4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right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right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165" fontId="1" fillId="3" borderId="0" xfId="0" applyNumberFormat="1" applyFont="1" applyFill="1"/>
    <xf numFmtId="165" fontId="0" fillId="0" borderId="0" xfId="0" applyNumberFormat="1"/>
    <xf numFmtId="166" fontId="0" fillId="0" borderId="0" xfId="0" applyNumberFormat="1"/>
    <xf numFmtId="9" fontId="9" fillId="3" borderId="0" xfId="0" applyNumberFormat="1" applyFont="1" applyFill="1"/>
    <xf numFmtId="0" fontId="9" fillId="3" borderId="0" xfId="0" applyFont="1" applyFill="1" applyAlignment="1">
      <alignment horizontal="center"/>
    </xf>
    <xf numFmtId="0" fontId="9" fillId="3" borderId="0" xfId="1" applyNumberFormat="1" applyFont="1" applyFill="1"/>
    <xf numFmtId="9" fontId="9" fillId="3" borderId="0" xfId="1" applyFont="1" applyFill="1"/>
    <xf numFmtId="167" fontId="1" fillId="3" borderId="0" xfId="0" applyNumberFormat="1" applyFont="1" applyFill="1"/>
    <xf numFmtId="165" fontId="9" fillId="3" borderId="5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/>
    </xf>
    <xf numFmtId="3" fontId="1" fillId="6" borderId="5" xfId="0" applyNumberFormat="1" applyFont="1" applyFill="1" applyBorder="1" applyAlignment="1">
      <alignment horizontal="center"/>
    </xf>
    <xf numFmtId="165" fontId="1" fillId="6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2" fontId="1" fillId="6" borderId="5" xfId="0" applyNumberFormat="1" applyFont="1" applyFill="1" applyBorder="1" applyAlignment="1">
      <alignment horizontal="center"/>
    </xf>
    <xf numFmtId="167" fontId="1" fillId="6" borderId="5" xfId="0" applyNumberFormat="1" applyFont="1" applyFill="1" applyBorder="1" applyAlignment="1">
      <alignment horizontal="center"/>
    </xf>
    <xf numFmtId="10" fontId="1" fillId="7" borderId="5" xfId="1" applyNumberFormat="1" applyFont="1" applyFill="1" applyBorder="1" applyAlignment="1">
      <alignment horizontal="center"/>
    </xf>
    <xf numFmtId="3" fontId="1" fillId="8" borderId="5" xfId="0" applyNumberFormat="1" applyFont="1" applyFill="1" applyBorder="1" applyAlignment="1">
      <alignment horizontal="center"/>
    </xf>
    <xf numFmtId="165" fontId="1" fillId="8" borderId="5" xfId="0" applyNumberFormat="1" applyFont="1" applyFill="1" applyBorder="1" applyAlignment="1">
      <alignment horizontal="center"/>
    </xf>
    <xf numFmtId="167" fontId="1" fillId="8" borderId="5" xfId="0" applyNumberFormat="1" applyFont="1" applyFill="1" applyBorder="1" applyAlignment="1">
      <alignment horizontal="center"/>
    </xf>
    <xf numFmtId="167" fontId="1" fillId="8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10" fontId="1" fillId="7" borderId="0" xfId="1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0" xfId="0" applyFont="1" applyFill="1" applyAlignment="1">
      <alignment vertical="center"/>
    </xf>
    <xf numFmtId="0" fontId="15" fillId="9" borderId="0" xfId="3" applyFont="1" applyFill="1" applyAlignment="1">
      <alignment horizontal="center" vertical="center"/>
      <protection locked="0"/>
    </xf>
    <xf numFmtId="0" fontId="15" fillId="9" borderId="0" xfId="3" applyFont="1" applyFill="1" applyAlignment="1">
      <alignment horizontal="center" vertical="center"/>
      <protection locked="0"/>
    </xf>
    <xf numFmtId="167" fontId="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3" fontId="9" fillId="6" borderId="0" xfId="0" applyNumberFormat="1" applyFont="1" applyFill="1" applyAlignment="1">
      <alignment horizontal="center" vertical="center"/>
    </xf>
    <xf numFmtId="3" fontId="1" fillId="6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center" vertical="center"/>
    </xf>
    <xf numFmtId="167" fontId="3" fillId="8" borderId="0" xfId="0" applyNumberFormat="1" applyFont="1" applyFill="1" applyAlignment="1">
      <alignment vertical="center"/>
    </xf>
    <xf numFmtId="0" fontId="1" fillId="8" borderId="0" xfId="0" applyFont="1" applyFill="1" applyAlignment="1">
      <alignment vertical="center"/>
    </xf>
    <xf numFmtId="3" fontId="1" fillId="8" borderId="0" xfId="0" applyNumberFormat="1" applyFont="1" applyFill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7" fillId="3" borderId="0" xfId="0" applyFont="1" applyFill="1" applyAlignment="1">
      <alignment wrapText="1"/>
    </xf>
    <xf numFmtId="0" fontId="17" fillId="3" borderId="0" xfId="0" applyFont="1" applyFill="1"/>
    <xf numFmtId="0" fontId="17" fillId="3" borderId="3" xfId="0" applyFont="1" applyFill="1" applyBorder="1"/>
    <xf numFmtId="165" fontId="9" fillId="3" borderId="0" xfId="4" applyNumberFormat="1" applyFont="1" applyFill="1"/>
    <xf numFmtId="0" fontId="9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9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 vertical="center"/>
    </xf>
    <xf numFmtId="168" fontId="0" fillId="5" borderId="0" xfId="0" applyNumberFormat="1" applyFill="1" applyAlignment="1">
      <alignment horizontal="center"/>
    </xf>
    <xf numFmtId="2" fontId="19" fillId="3" borderId="0" xfId="0" applyNumberFormat="1" applyFont="1" applyFill="1" applyAlignment="1">
      <alignment horizontal="center"/>
    </xf>
    <xf numFmtId="9" fontId="19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3" fontId="22" fillId="0" borderId="0" xfId="0" applyNumberFormat="1" applyFont="1" applyAlignment="1">
      <alignment vertical="center"/>
    </xf>
    <xf numFmtId="3" fontId="13" fillId="0" borderId="3" xfId="0" applyNumberFormat="1" applyFont="1" applyBorder="1" applyAlignment="1">
      <alignment horizontal="center" vertical="center" wrapText="1"/>
    </xf>
    <xf numFmtId="3" fontId="13" fillId="0" borderId="0" xfId="0" applyNumberFormat="1" applyFont="1" applyAlignment="1">
      <alignment horizontal="center" vertical="center" wrapText="1"/>
    </xf>
    <xf numFmtId="174" fontId="13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4" fontId="0" fillId="0" borderId="0" xfId="2" applyNumberFormat="1" applyFont="1" applyAlignment="1">
      <alignment horizontal="right" vertical="center"/>
    </xf>
    <xf numFmtId="174" fontId="0" fillId="0" borderId="0" xfId="2" applyNumberFormat="1" applyFont="1"/>
    <xf numFmtId="4" fontId="0" fillId="0" borderId="0" xfId="0" applyNumberFormat="1"/>
    <xf numFmtId="9" fontId="0" fillId="0" borderId="1" xfId="0" applyNumberFormat="1" applyBorder="1"/>
    <xf numFmtId="164" fontId="0" fillId="0" borderId="1" xfId="1" applyNumberFormat="1" applyFont="1" applyBorder="1"/>
    <xf numFmtId="0" fontId="0" fillId="0" borderId="15" xfId="0" applyBorder="1"/>
    <xf numFmtId="4" fontId="0" fillId="0" borderId="1" xfId="0" applyNumberFormat="1" applyBorder="1"/>
    <xf numFmtId="167" fontId="0" fillId="0" borderId="1" xfId="0" applyNumberFormat="1" applyBorder="1"/>
    <xf numFmtId="0" fontId="0" fillId="0" borderId="0" xfId="0" applyBorder="1"/>
    <xf numFmtId="4" fontId="0" fillId="0" borderId="0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67" fontId="1" fillId="3" borderId="1" xfId="0" applyNumberFormat="1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172" fontId="1" fillId="3" borderId="1" xfId="0" applyNumberFormat="1" applyFont="1" applyFill="1" applyBorder="1" applyAlignment="1">
      <alignment horizontal="center"/>
    </xf>
    <xf numFmtId="173" fontId="1" fillId="3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vertical="center"/>
    </xf>
    <xf numFmtId="9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1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67" fontId="1" fillId="8" borderId="0" xfId="0" applyNumberFormat="1" applyFont="1" applyFill="1" applyBorder="1" applyAlignment="1">
      <alignment horizontal="center" vertical="center"/>
    </xf>
    <xf numFmtId="167" fontId="1" fillId="8" borderId="0" xfId="0" applyNumberFormat="1" applyFont="1" applyFill="1" applyBorder="1" applyAlignment="1">
      <alignment horizontal="center"/>
    </xf>
    <xf numFmtId="165" fontId="1" fillId="8" borderId="0" xfId="0" applyNumberFormat="1" applyFont="1" applyFill="1" applyBorder="1" applyAlignment="1">
      <alignment horizontal="center"/>
    </xf>
    <xf numFmtId="3" fontId="1" fillId="8" borderId="0" xfId="0" applyNumberFormat="1" applyFont="1" applyFill="1" applyBorder="1" applyAlignment="1">
      <alignment horizontal="center"/>
    </xf>
    <xf numFmtId="167" fontId="1" fillId="6" borderId="0" xfId="0" applyNumberFormat="1" applyFont="1" applyFill="1" applyBorder="1" applyAlignment="1">
      <alignment horizontal="center"/>
    </xf>
    <xf numFmtId="2" fontId="1" fillId="6" borderId="0" xfId="0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165" fontId="1" fillId="6" borderId="0" xfId="0" applyNumberFormat="1" applyFont="1" applyFill="1" applyBorder="1" applyAlignment="1">
      <alignment horizontal="center"/>
    </xf>
    <xf numFmtId="3" fontId="1" fillId="6" borderId="0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5" fontId="1" fillId="6" borderId="4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167" fontId="1" fillId="8" borderId="4" xfId="0" applyNumberFormat="1" applyFont="1" applyFill="1" applyBorder="1" applyAlignment="1">
      <alignment horizontal="center" vertical="center"/>
    </xf>
    <xf numFmtId="167" fontId="1" fillId="8" borderId="4" xfId="0" applyNumberFormat="1" applyFont="1" applyFill="1" applyBorder="1" applyAlignment="1">
      <alignment horizontal="center"/>
    </xf>
    <xf numFmtId="165" fontId="1" fillId="8" borderId="4" xfId="0" applyNumberFormat="1" applyFont="1" applyFill="1" applyBorder="1" applyAlignment="1">
      <alignment horizontal="center"/>
    </xf>
    <xf numFmtId="0" fontId="17" fillId="12" borderId="3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3" fontId="1" fillId="8" borderId="4" xfId="0" applyNumberFormat="1" applyFont="1" applyFill="1" applyBorder="1" applyAlignment="1">
      <alignment horizontal="center"/>
    </xf>
    <xf numFmtId="10" fontId="1" fillId="7" borderId="4" xfId="1" applyNumberFormat="1" applyFont="1" applyFill="1" applyBorder="1" applyAlignment="1">
      <alignment horizontal="center"/>
    </xf>
    <xf numFmtId="167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3" fontId="1" fillId="6" borderId="4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166" fontId="9" fillId="3" borderId="4" xfId="0" applyNumberFormat="1" applyFont="1" applyFill="1" applyBorder="1" applyAlignment="1">
      <alignment horizontal="center"/>
    </xf>
    <xf numFmtId="165" fontId="0" fillId="0" borderId="1" xfId="0" applyNumberFormat="1" applyBorder="1"/>
    <xf numFmtId="165" fontId="1" fillId="3" borderId="1" xfId="0" applyNumberFormat="1" applyFont="1" applyFill="1" applyBorder="1"/>
    <xf numFmtId="1" fontId="3" fillId="6" borderId="4" xfId="0" applyNumberFormat="1" applyFont="1" applyFill="1" applyBorder="1" applyAlignment="1">
      <alignment horizontal="center"/>
    </xf>
    <xf numFmtId="1" fontId="3" fillId="6" borderId="5" xfId="0" applyNumberFormat="1" applyFont="1" applyFill="1" applyBorder="1" applyAlignment="1">
      <alignment horizontal="center"/>
    </xf>
    <xf numFmtId="1" fontId="3" fillId="6" borderId="0" xfId="0" applyNumberFormat="1" applyFont="1" applyFill="1" applyBorder="1" applyAlignment="1">
      <alignment horizontal="center"/>
    </xf>
    <xf numFmtId="0" fontId="3" fillId="3" borderId="0" xfId="0" applyFont="1" applyFill="1"/>
    <xf numFmtId="0" fontId="5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</cellXfs>
  <cellStyles count="5">
    <cellStyle name="Adjustable" xfId="3" xr:uid="{6DB44F98-93AA-F246-B47B-34F2B25EF00B}"/>
    <cellStyle name="Comma 2" xfId="2" xr:uid="{800E7F63-E03F-E846-A594-28339E3E5556}"/>
    <cellStyle name="Currency 2" xfId="4" xr:uid="{367346FC-F507-284F-BDFD-B1EA305E382A}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MArket shares'!$B$15</c:f>
              <c:strCache>
                <c:ptCount val="1"/>
                <c:pt idx="0">
                  <c:v>Annual Grant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MArket shares'!$A$16:$A$27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'ALL MArket shares'!$B$16:$B$27</c:f>
              <c:numCache>
                <c:formatCode>General</c:formatCode>
                <c:ptCount val="12"/>
                <c:pt idx="0">
                  <c:v>11.590320288698599</c:v>
                </c:pt>
                <c:pt idx="1">
                  <c:v>11.590345180730401</c:v>
                </c:pt>
                <c:pt idx="2">
                  <c:v>11.594345151310399</c:v>
                </c:pt>
                <c:pt idx="3">
                  <c:v>11.5620414041743</c:v>
                </c:pt>
                <c:pt idx="4">
                  <c:v>11.5903364185156</c:v>
                </c:pt>
                <c:pt idx="5">
                  <c:v>11.6181314292318</c:v>
                </c:pt>
                <c:pt idx="6">
                  <c:v>11.554936862734399</c:v>
                </c:pt>
                <c:pt idx="7">
                  <c:v>11.5759267125081</c:v>
                </c:pt>
                <c:pt idx="8">
                  <c:v>11.655954798571299</c:v>
                </c:pt>
                <c:pt idx="9">
                  <c:v>11.590167186148699</c:v>
                </c:pt>
                <c:pt idx="10">
                  <c:v>11.586129197404199</c:v>
                </c:pt>
                <c:pt idx="11">
                  <c:v>11.5902129331665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F-4D4E-9075-1105607B9DAC}"/>
            </c:ext>
          </c:extLst>
        </c:ser>
        <c:ser>
          <c:idx val="2"/>
          <c:order val="1"/>
          <c:tx>
            <c:strRef>
              <c:f>'ALL MArket shares'!$C$15</c:f>
              <c:strCache>
                <c:ptCount val="1"/>
                <c:pt idx="0">
                  <c:v>Gas Tax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MArket shares'!$A$16:$A$27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'ALL MArket shares'!$C$16:$C$27</c:f>
              <c:numCache>
                <c:formatCode>General</c:formatCode>
                <c:ptCount val="12"/>
                <c:pt idx="0">
                  <c:v>10.3785019444911</c:v>
                </c:pt>
                <c:pt idx="1">
                  <c:v>10.3731103410916</c:v>
                </c:pt>
                <c:pt idx="2">
                  <c:v>10.4033879070981</c:v>
                </c:pt>
                <c:pt idx="3">
                  <c:v>10.384325585544801</c:v>
                </c:pt>
                <c:pt idx="4">
                  <c:v>10.375675507010101</c:v>
                </c:pt>
                <c:pt idx="5">
                  <c:v>10.403659845753401</c:v>
                </c:pt>
                <c:pt idx="6">
                  <c:v>10.400556866077</c:v>
                </c:pt>
                <c:pt idx="7">
                  <c:v>10.403488466964999</c:v>
                </c:pt>
                <c:pt idx="8">
                  <c:v>10.600789448955201</c:v>
                </c:pt>
                <c:pt idx="9">
                  <c:v>10.349281185045999</c:v>
                </c:pt>
                <c:pt idx="10">
                  <c:v>10.4043779685926</c:v>
                </c:pt>
                <c:pt idx="11">
                  <c:v>10.361435807687499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F-4D4E-9075-1105607B9DAC}"/>
            </c:ext>
          </c:extLst>
        </c:ser>
        <c:ser>
          <c:idx val="3"/>
          <c:order val="2"/>
          <c:tx>
            <c:strRef>
              <c:f>'ALL MArket shares'!$D$15</c:f>
              <c:strCache>
                <c:ptCount val="1"/>
                <c:pt idx="0">
                  <c:v>Electricity Subsidy (£/MWh)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MArket shares'!$A$16:$A$27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'ALL MArket shares'!$D$16:$D$27</c:f>
              <c:numCache>
                <c:formatCode>General</c:formatCode>
                <c:ptCount val="12"/>
                <c:pt idx="0">
                  <c:v>7.5043811120673896</c:v>
                </c:pt>
                <c:pt idx="1">
                  <c:v>7.46540080155052</c:v>
                </c:pt>
                <c:pt idx="2">
                  <c:v>7.5173645553763304</c:v>
                </c:pt>
                <c:pt idx="3">
                  <c:v>7.4081279922289598</c:v>
                </c:pt>
                <c:pt idx="4">
                  <c:v>7.4816933102417504</c:v>
                </c:pt>
                <c:pt idx="5">
                  <c:v>7.5163574189328104</c:v>
                </c:pt>
                <c:pt idx="6">
                  <c:v>7.4831177361042904</c:v>
                </c:pt>
                <c:pt idx="7">
                  <c:v>7.5139816134331499</c:v>
                </c:pt>
                <c:pt idx="8">
                  <c:v>7.40125863615018</c:v>
                </c:pt>
                <c:pt idx="9">
                  <c:v>7.4126376891106496</c:v>
                </c:pt>
                <c:pt idx="10">
                  <c:v>7.51558884590942</c:v>
                </c:pt>
                <c:pt idx="11">
                  <c:v>7.4635606671246801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F-4D4E-9075-1105607B9DAC}"/>
            </c:ext>
          </c:extLst>
        </c:ser>
        <c:ser>
          <c:idx val="4"/>
          <c:order val="3"/>
          <c:tx>
            <c:strRef>
              <c:f>'ALL MArket shares'!$F$15</c:f>
              <c:strCache>
                <c:ptCount val="1"/>
                <c:pt idx="0">
                  <c:v>Carbon Tax (£/tCO2e)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'ALL MArket shares'!$A$16:$A$27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'ALL MArket shares'!$F$16:$F$27</c:f>
              <c:numCache>
                <c:formatCode>General</c:formatCode>
                <c:ptCount val="12"/>
                <c:pt idx="0">
                  <c:v>23.006000301423899</c:v>
                </c:pt>
                <c:pt idx="1">
                  <c:v>23.463740794443599</c:v>
                </c:pt>
                <c:pt idx="2">
                  <c:v>22.8442202458466</c:v>
                </c:pt>
                <c:pt idx="3">
                  <c:v>24.1380166645305</c:v>
                </c:pt>
                <c:pt idx="4">
                  <c:v>23.272310418124</c:v>
                </c:pt>
                <c:pt idx="5">
                  <c:v>22.848194046510301</c:v>
                </c:pt>
                <c:pt idx="6">
                  <c:v>23.257730249523298</c:v>
                </c:pt>
                <c:pt idx="7">
                  <c:v>22.889166795259001</c:v>
                </c:pt>
                <c:pt idx="8">
                  <c:v>24.115063379255599</c:v>
                </c:pt>
                <c:pt idx="9">
                  <c:v>24.089187588318602</c:v>
                </c:pt>
                <c:pt idx="10">
                  <c:v>22.8670428929675</c:v>
                </c:pt>
                <c:pt idx="11">
                  <c:v>23.489390545236098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F-4D4E-9075-1105607B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019151"/>
        <c:axId val="971020815"/>
      </c:lineChart>
      <c:catAx>
        <c:axId val="139901915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20815"/>
        <c:crosses val="autoZero"/>
        <c:auto val="1"/>
        <c:lblAlgn val="ctr"/>
        <c:lblOffset val="100"/>
        <c:noMultiLvlLbl val="0"/>
      </c:catAx>
      <c:valAx>
        <c:axId val="9710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Linear!$D$17</c:f>
              <c:strCache>
                <c:ptCount val="1"/>
                <c:pt idx="0">
                  <c:v>Carbon Tax (£/tCO2e)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Linear!$D$18:$D$27</c:f>
              <c:numCache>
                <c:formatCode>General</c:formatCode>
                <c:ptCount val="10"/>
                <c:pt idx="0">
                  <c:v>264.21535127643199</c:v>
                </c:pt>
                <c:pt idx="1">
                  <c:v>196.48527945225999</c:v>
                </c:pt>
                <c:pt idx="2">
                  <c:v>193.48580887637399</c:v>
                </c:pt>
                <c:pt idx="3">
                  <c:v>212.22624162706799</c:v>
                </c:pt>
                <c:pt idx="4">
                  <c:v>197.58649923432301</c:v>
                </c:pt>
                <c:pt idx="5">
                  <c:v>196.02804997825501</c:v>
                </c:pt>
                <c:pt idx="6">
                  <c:v>250.01761350515801</c:v>
                </c:pt>
                <c:pt idx="7">
                  <c:v>177.119110158529</c:v>
                </c:pt>
                <c:pt idx="8">
                  <c:v>203.10203799105901</c:v>
                </c:pt>
                <c:pt idx="9">
                  <c:v>155.711357091004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3-4E4E-81AA-15312D426A0A}"/>
            </c:ext>
          </c:extLst>
        </c:ser>
        <c:ser>
          <c:idx val="3"/>
          <c:order val="3"/>
          <c:tx>
            <c:strRef>
              <c:f>Linear!$E$17</c:f>
              <c:strCache>
                <c:ptCount val="1"/>
                <c:pt idx="0">
                  <c:v>Electricity Subsidy (£/MWh)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Linear!$E$18:$E$27</c:f>
              <c:numCache>
                <c:formatCode>General</c:formatCode>
                <c:ptCount val="10"/>
                <c:pt idx="0">
                  <c:v>73.013864869431401</c:v>
                </c:pt>
                <c:pt idx="1">
                  <c:v>63.676748555312301</c:v>
                </c:pt>
                <c:pt idx="2">
                  <c:v>59.193475635146299</c:v>
                </c:pt>
                <c:pt idx="3">
                  <c:v>56.522386462861903</c:v>
                </c:pt>
                <c:pt idx="4">
                  <c:v>57.313747222372697</c:v>
                </c:pt>
                <c:pt idx="5">
                  <c:v>51.556216756283199</c:v>
                </c:pt>
                <c:pt idx="6">
                  <c:v>42.522169436034503</c:v>
                </c:pt>
                <c:pt idx="7">
                  <c:v>55.077778801552903</c:v>
                </c:pt>
                <c:pt idx="8">
                  <c:v>56.30018377191</c:v>
                </c:pt>
                <c:pt idx="9">
                  <c:v>62.6384537848406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3-4E4E-81AA-15312D426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670911"/>
        <c:axId val="1102363647"/>
      </c:lineChart>
      <c:lineChart>
        <c:grouping val="standard"/>
        <c:varyColors val="0"/>
        <c:ser>
          <c:idx val="0"/>
          <c:order val="0"/>
          <c:tx>
            <c:strRef>
              <c:f>Linear!$B$17</c:f>
              <c:strCache>
                <c:ptCount val="1"/>
                <c:pt idx="0">
                  <c:v>Annual Grant (%/100)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Linear!$A$18:$A$27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Linear!$B$18:$B$27</c:f>
              <c:numCache>
                <c:formatCode>General</c:formatCode>
                <c:ptCount val="10"/>
                <c:pt idx="0">
                  <c:v>0.176289715687693</c:v>
                </c:pt>
                <c:pt idx="1">
                  <c:v>0.21420339014591999</c:v>
                </c:pt>
                <c:pt idx="2">
                  <c:v>0.241860306385415</c:v>
                </c:pt>
                <c:pt idx="3">
                  <c:v>0.248418878181977</c:v>
                </c:pt>
                <c:pt idx="4">
                  <c:v>0.158649634044738</c:v>
                </c:pt>
                <c:pt idx="5">
                  <c:v>0.17842734907492799</c:v>
                </c:pt>
                <c:pt idx="6">
                  <c:v>0.16390875721508799</c:v>
                </c:pt>
                <c:pt idx="7">
                  <c:v>5.8906778184586797E-2</c:v>
                </c:pt>
                <c:pt idx="8">
                  <c:v>5.0137643375966698E-2</c:v>
                </c:pt>
                <c:pt idx="9">
                  <c:v>5.0434800324185097E-2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3-4E4E-81AA-15312D426A0A}"/>
            </c:ext>
          </c:extLst>
        </c:ser>
        <c:ser>
          <c:idx val="1"/>
          <c:order val="1"/>
          <c:tx>
            <c:strRef>
              <c:f>Linear!$C$17</c:f>
              <c:strCache>
                <c:ptCount val="1"/>
                <c:pt idx="0">
                  <c:v>Gas Tax (£/yr)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Linear!$A$18:$A$27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Linear!$C$18:$C$27</c:f>
              <c:numCache>
                <c:formatCode>General</c:formatCode>
                <c:ptCount val="10"/>
                <c:pt idx="0">
                  <c:v>0.16761003765310101</c:v>
                </c:pt>
                <c:pt idx="1">
                  <c:v>0.151964745993244</c:v>
                </c:pt>
                <c:pt idx="2">
                  <c:v>0.14814344931881601</c:v>
                </c:pt>
                <c:pt idx="3">
                  <c:v>0.16870507839136401</c:v>
                </c:pt>
                <c:pt idx="4">
                  <c:v>0.150842969756741</c:v>
                </c:pt>
                <c:pt idx="5">
                  <c:v>0.14113992826310201</c:v>
                </c:pt>
                <c:pt idx="6">
                  <c:v>0.148320250162707</c:v>
                </c:pt>
                <c:pt idx="7">
                  <c:v>0.153538136747014</c:v>
                </c:pt>
                <c:pt idx="8">
                  <c:v>0.15243189042840299</c:v>
                </c:pt>
                <c:pt idx="9">
                  <c:v>0.15757150775576301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3-4E4E-81AA-15312D426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62288"/>
        <c:axId val="137376383"/>
      </c:lineChart>
      <c:catAx>
        <c:axId val="138767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63647"/>
        <c:crosses val="autoZero"/>
        <c:auto val="1"/>
        <c:lblAlgn val="ctr"/>
        <c:lblOffset val="100"/>
        <c:noMultiLvlLbl val="0"/>
      </c:catAx>
      <c:valAx>
        <c:axId val="11023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70911"/>
        <c:crosses val="autoZero"/>
        <c:crossBetween val="between"/>
      </c:valAx>
      <c:valAx>
        <c:axId val="137376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62288"/>
        <c:crosses val="max"/>
        <c:crossBetween val="between"/>
      </c:valAx>
      <c:catAx>
        <c:axId val="133566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376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92863475405970075"/>
          <c:w val="0.97802373973904544"/>
          <c:h val="5.2646589556611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0"/>
          <c:tx>
            <c:strRef>
              <c:f>'S-Curve '!$B$1</c:f>
              <c:strCache>
                <c:ptCount val="1"/>
                <c:pt idx="0">
                  <c:v>Market Share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>
                  <a:alpha val="0"/>
                </a:schemeClr>
              </a:solidFill>
            </a:ln>
            <a:effectLst/>
          </c:spP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'S-Curve '!$B$2:$B$12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0.14000000000000001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0.86</c:v>
                </c:pt>
                <c:pt idx="8">
                  <c:v>0.95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B-CD46-AC8F-EC354455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79487"/>
        <c:axId val="1102360287"/>
      </c:areaChart>
      <c:lineChart>
        <c:grouping val="standard"/>
        <c:varyColors val="0"/>
        <c:ser>
          <c:idx val="2"/>
          <c:order val="1"/>
          <c:tx>
            <c:strRef>
              <c:f>'Policy+final cost'!$G$2</c:f>
              <c:strCache>
                <c:ptCount val="1"/>
                <c:pt idx="0">
                  <c:v>Carbon Tax/10 (£/tCO2e)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cost'!$G$3:$G$12</c:f>
              <c:numCache>
                <c:formatCode>General</c:formatCode>
                <c:ptCount val="10"/>
                <c:pt idx="0">
                  <c:v>280.63378194314498</c:v>
                </c:pt>
                <c:pt idx="1">
                  <c:v>222.64938032745201</c:v>
                </c:pt>
                <c:pt idx="2">
                  <c:v>216.134373926438</c:v>
                </c:pt>
                <c:pt idx="3">
                  <c:v>205.924867552889</c:v>
                </c:pt>
                <c:pt idx="4">
                  <c:v>202.40093447484699</c:v>
                </c:pt>
                <c:pt idx="5">
                  <c:v>208.50883252700299</c:v>
                </c:pt>
                <c:pt idx="6">
                  <c:v>200.55704877663501</c:v>
                </c:pt>
                <c:pt idx="7">
                  <c:v>198.87908936765001</c:v>
                </c:pt>
                <c:pt idx="8">
                  <c:v>153.63742092982</c:v>
                </c:pt>
                <c:pt idx="9">
                  <c:v>155.77138532105499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B-CD46-AC8F-EC354455D373}"/>
            </c:ext>
          </c:extLst>
        </c:ser>
        <c:ser>
          <c:idx val="3"/>
          <c:order val="2"/>
          <c:tx>
            <c:strRef>
              <c:f>'Policy+final cost'!$I$2</c:f>
              <c:strCache>
                <c:ptCount val="1"/>
                <c:pt idx="0">
                  <c:v>5% 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cost'!$I$3:$I$12</c:f>
              <c:numCache>
                <c:formatCode>General</c:formatCode>
                <c:ptCount val="10"/>
                <c:pt idx="0">
                  <c:v>79.377484201236001</c:v>
                </c:pt>
                <c:pt idx="1">
                  <c:v>64.130744514067402</c:v>
                </c:pt>
                <c:pt idx="2">
                  <c:v>58.656943536640298</c:v>
                </c:pt>
                <c:pt idx="3">
                  <c:v>58.224621739496698</c:v>
                </c:pt>
                <c:pt idx="4">
                  <c:v>56.968226503234803</c:v>
                </c:pt>
                <c:pt idx="5">
                  <c:v>49.865292682283403</c:v>
                </c:pt>
                <c:pt idx="6">
                  <c:v>49.726286325982898</c:v>
                </c:pt>
                <c:pt idx="7">
                  <c:v>53.423209704886702</c:v>
                </c:pt>
                <c:pt idx="8">
                  <c:v>59.056809599865403</c:v>
                </c:pt>
                <c:pt idx="9">
                  <c:v>54.196725832048202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B-CD46-AC8F-EC354455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564175"/>
        <c:axId val="1115863503"/>
      </c:lineChart>
      <c:lineChart>
        <c:grouping val="standard"/>
        <c:varyColors val="0"/>
        <c:ser>
          <c:idx val="0"/>
          <c:order val="3"/>
          <c:tx>
            <c:strRef>
              <c:f>'Policy+final cost'!$B$2</c:f>
              <c:strCache>
                <c:ptCount val="1"/>
                <c:pt idx="0">
                  <c:v>5% 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cost'!$B$3:$B$12</c:f>
              <c:numCache>
                <c:formatCode>General</c:formatCode>
                <c:ptCount val="10"/>
                <c:pt idx="0">
                  <c:v>0.49844948173055598</c:v>
                </c:pt>
                <c:pt idx="1">
                  <c:v>0.49717680313933099</c:v>
                </c:pt>
                <c:pt idx="2">
                  <c:v>0.22064737472611301</c:v>
                </c:pt>
                <c:pt idx="3">
                  <c:v>0.244172463847806</c:v>
                </c:pt>
                <c:pt idx="4">
                  <c:v>0.14098705745676399</c:v>
                </c:pt>
                <c:pt idx="5">
                  <c:v>0.14927212238220899</c:v>
                </c:pt>
                <c:pt idx="6">
                  <c:v>0.13366867585950601</c:v>
                </c:pt>
                <c:pt idx="7">
                  <c:v>9.3823736084054005E-2</c:v>
                </c:pt>
                <c:pt idx="8">
                  <c:v>0.103596460778149</c:v>
                </c:pt>
                <c:pt idx="9">
                  <c:v>0.132869622302448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B-CD46-AC8F-EC354455D373}"/>
            </c:ext>
          </c:extLst>
        </c:ser>
        <c:ser>
          <c:idx val="4"/>
          <c:order val="4"/>
          <c:tx>
            <c:strRef>
              <c:f>'Policy+final cost'!$D$2</c:f>
              <c:strCache>
                <c:ptCount val="1"/>
                <c:pt idx="0">
                  <c:v>S-Curve &amp; 5% 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cost'!$D$3:$D$12</c:f>
              <c:numCache>
                <c:formatCode>0%</c:formatCode>
                <c:ptCount val="10"/>
                <c:pt idx="0">
                  <c:v>0.10926169949393801</c:v>
                </c:pt>
                <c:pt idx="1">
                  <c:v>0.102171210441016</c:v>
                </c:pt>
                <c:pt idx="2">
                  <c:v>0.10018889495769499</c:v>
                </c:pt>
                <c:pt idx="3">
                  <c:v>0.15289755232541</c:v>
                </c:pt>
                <c:pt idx="4">
                  <c:v>0.15228321292774799</c:v>
                </c:pt>
                <c:pt idx="5">
                  <c:v>0.144986874704403</c:v>
                </c:pt>
                <c:pt idx="6">
                  <c:v>0.15016838057571499</c:v>
                </c:pt>
                <c:pt idx="7">
                  <c:v>0.10177545189816201</c:v>
                </c:pt>
                <c:pt idx="8">
                  <c:v>0.102124940126072</c:v>
                </c:pt>
                <c:pt idx="9">
                  <c:v>0.10304458573655299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B-CD46-AC8F-EC354455D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579487"/>
        <c:axId val="1102360287"/>
      </c:lineChart>
      <c:catAx>
        <c:axId val="127656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863503"/>
        <c:crosses val="autoZero"/>
        <c:auto val="1"/>
        <c:lblAlgn val="ctr"/>
        <c:lblOffset val="100"/>
        <c:noMultiLvlLbl val="0"/>
      </c:catAx>
      <c:valAx>
        <c:axId val="11158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64175"/>
        <c:crosses val="autoZero"/>
        <c:crossBetween val="between"/>
      </c:valAx>
      <c:valAx>
        <c:axId val="110236028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79487"/>
        <c:crosses val="max"/>
        <c:crossBetween val="between"/>
      </c:valAx>
      <c:catAx>
        <c:axId val="127657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360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5313126427705"/>
          <c:y val="2.6103950707317258E-2"/>
          <c:w val="0.71594518930928885"/>
          <c:h val="0.76457248475437944"/>
        </c:manualLayout>
      </c:layout>
      <c:lineChart>
        <c:grouping val="standard"/>
        <c:varyColors val="0"/>
        <c:ser>
          <c:idx val="1"/>
          <c:order val="0"/>
          <c:tx>
            <c:strRef>
              <c:f>'Policy+final cost'!$D$2</c:f>
              <c:strCache>
                <c:ptCount val="1"/>
                <c:pt idx="0">
                  <c:v>S-Curve &amp; 5% 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cost'!$D$3:$D$12</c:f>
              <c:numCache>
                <c:formatCode>0%</c:formatCode>
                <c:ptCount val="10"/>
                <c:pt idx="0">
                  <c:v>0.10926169949393801</c:v>
                </c:pt>
                <c:pt idx="1">
                  <c:v>0.102171210441016</c:v>
                </c:pt>
                <c:pt idx="2">
                  <c:v>0.10018889495769499</c:v>
                </c:pt>
                <c:pt idx="3">
                  <c:v>0.15289755232541</c:v>
                </c:pt>
                <c:pt idx="4">
                  <c:v>0.15228321292774799</c:v>
                </c:pt>
                <c:pt idx="5">
                  <c:v>0.144986874704403</c:v>
                </c:pt>
                <c:pt idx="6">
                  <c:v>0.15016838057571499</c:v>
                </c:pt>
                <c:pt idx="7">
                  <c:v>0.10177545189816201</c:v>
                </c:pt>
                <c:pt idx="8">
                  <c:v>0.102124940126072</c:v>
                </c:pt>
                <c:pt idx="9">
                  <c:v>0.10304458573655299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C-844F-B9E6-CA135E80AAE7}"/>
            </c:ext>
          </c:extLst>
        </c:ser>
        <c:ser>
          <c:idx val="0"/>
          <c:order val="1"/>
          <c:tx>
            <c:strRef>
              <c:f>'Policy+final cost'!$D$27</c:f>
              <c:strCache>
                <c:ptCount val="1"/>
                <c:pt idx="0">
                  <c:v>S-Curve &amp; 2.5% LP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cost'!$D$28:$D$37</c:f>
              <c:numCache>
                <c:formatCode>0%</c:formatCode>
                <c:ptCount val="10"/>
                <c:pt idx="0">
                  <c:v>0.108898152444597</c:v>
                </c:pt>
                <c:pt idx="1">
                  <c:v>0.104279245214443</c:v>
                </c:pt>
                <c:pt idx="2">
                  <c:v>0.105575231760886</c:v>
                </c:pt>
                <c:pt idx="3">
                  <c:v>0.101931094984976</c:v>
                </c:pt>
                <c:pt idx="4">
                  <c:v>0.159827176329633</c:v>
                </c:pt>
                <c:pt idx="5">
                  <c:v>0.15657572531585001</c:v>
                </c:pt>
                <c:pt idx="6">
                  <c:v>0.149824709379832</c:v>
                </c:pt>
                <c:pt idx="7">
                  <c:v>0.100626613192683</c:v>
                </c:pt>
                <c:pt idx="8">
                  <c:v>0.10077673979</c:v>
                </c:pt>
                <c:pt idx="9">
                  <c:v>0.100782625285469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C-844F-B9E6-CA135E80AAE7}"/>
            </c:ext>
          </c:extLst>
        </c:ser>
        <c:ser>
          <c:idx val="2"/>
          <c:order val="2"/>
          <c:tx>
            <c:strRef>
              <c:f>'Policy+final cost'!$D$15</c:f>
              <c:strCache>
                <c:ptCount val="1"/>
                <c:pt idx="0">
                  <c:v>S-Curve &amp; 10% LP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cost'!$D$16:$D$25</c:f>
              <c:numCache>
                <c:formatCode>0%</c:formatCode>
                <c:ptCount val="10"/>
                <c:pt idx="0">
                  <c:v>0.10964604034815301</c:v>
                </c:pt>
                <c:pt idx="1">
                  <c:v>0.103157467983894</c:v>
                </c:pt>
                <c:pt idx="2">
                  <c:v>0.103323607086773</c:v>
                </c:pt>
                <c:pt idx="3">
                  <c:v>0.103813754902955</c:v>
                </c:pt>
                <c:pt idx="4">
                  <c:v>0.10233119275236199</c:v>
                </c:pt>
                <c:pt idx="5">
                  <c:v>0.15807082361695601</c:v>
                </c:pt>
                <c:pt idx="6">
                  <c:v>0.153324460848733</c:v>
                </c:pt>
                <c:pt idx="7">
                  <c:v>0.139028604740522</c:v>
                </c:pt>
                <c:pt idx="8">
                  <c:v>0.13749065364747901</c:v>
                </c:pt>
                <c:pt idx="9">
                  <c:v>0.13131907524816899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C-844F-B9E6-CA135E80AAE7}"/>
            </c:ext>
          </c:extLst>
        </c:ser>
        <c:ser>
          <c:idx val="3"/>
          <c:order val="3"/>
          <c:tx>
            <c:strRef>
              <c:f>'Policy+final cost'!$C$40</c:f>
              <c:strCache>
                <c:ptCount val="1"/>
                <c:pt idx="0">
                  <c:v>Linear &amp; 5% LP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cost'!$C$41:$C$50</c:f>
              <c:numCache>
                <c:formatCode>0%</c:formatCode>
                <c:ptCount val="10"/>
                <c:pt idx="0">
                  <c:v>0.16761003765310101</c:v>
                </c:pt>
                <c:pt idx="1">
                  <c:v>0.151964745993244</c:v>
                </c:pt>
                <c:pt idx="2">
                  <c:v>0.14814344931881601</c:v>
                </c:pt>
                <c:pt idx="3">
                  <c:v>0.16870507839136401</c:v>
                </c:pt>
                <c:pt idx="4">
                  <c:v>0.150842969756741</c:v>
                </c:pt>
                <c:pt idx="5">
                  <c:v>0.14113992826310201</c:v>
                </c:pt>
                <c:pt idx="6">
                  <c:v>0.148320250162707</c:v>
                </c:pt>
                <c:pt idx="7">
                  <c:v>0.153538136747014</c:v>
                </c:pt>
                <c:pt idx="8">
                  <c:v>0.15243189042840299</c:v>
                </c:pt>
                <c:pt idx="9">
                  <c:v>0.15757150775576301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6C-844F-B9E6-CA135E80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85231"/>
        <c:axId val="740791135"/>
      </c:lineChart>
      <c:lineChart>
        <c:grouping val="standard"/>
        <c:varyColors val="0"/>
        <c:ser>
          <c:idx val="4"/>
          <c:order val="4"/>
          <c:tx>
            <c:strRef>
              <c:f>'Policy+final cost'!$J$40</c:f>
              <c:strCache>
                <c:ptCount val="1"/>
                <c:pt idx="0">
                  <c:v>Gas Price (£/MWh)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8"/>
            <c:marker>
              <c:symbol val="diamond"/>
              <c:size val="5"/>
              <c:spPr>
                <a:solidFill>
                  <a:schemeClr val="accent5"/>
                </a:solidFill>
                <a:ln w="635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26C-844F-B9E6-CA135E80AAE7}"/>
              </c:ext>
            </c:extLst>
          </c:dPt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cost'!$J$41:$J$50</c:f>
              <c:numCache>
                <c:formatCode>General</c:formatCode>
                <c:ptCount val="10"/>
                <c:pt idx="0">
                  <c:v>29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6C-844F-B9E6-CA135E80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205184"/>
        <c:axId val="750583856"/>
      </c:lineChart>
      <c:catAx>
        <c:axId val="117618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8051678976979362"/>
              <c:y val="0.84667191991759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791135"/>
        <c:crossesAt val="9.0000000000000024E-2"/>
        <c:auto val="1"/>
        <c:lblAlgn val="ctr"/>
        <c:lblOffset val="100"/>
        <c:noMultiLvlLbl val="0"/>
      </c:catAx>
      <c:valAx>
        <c:axId val="740791135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Gas Tax</a:t>
                </a:r>
              </a:p>
            </c:rich>
          </c:tx>
          <c:layout>
            <c:manualLayout>
              <c:xMode val="edge"/>
              <c:yMode val="edge"/>
              <c:x val="1.0006180552373439E-2"/>
              <c:y val="0.40636290961934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6185231"/>
        <c:crosses val="autoZero"/>
        <c:crossBetween val="between"/>
        <c:majorUnit val="1.0000000000000002E-2"/>
      </c:valAx>
      <c:valAx>
        <c:axId val="750583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Gas Price with CCL (£/MWh)</a:t>
                </a:r>
              </a:p>
            </c:rich>
          </c:tx>
          <c:layout>
            <c:manualLayout>
              <c:xMode val="edge"/>
              <c:yMode val="edge"/>
              <c:x val="0.92920976408882017"/>
              <c:y val="0.26236843934596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2205184"/>
        <c:crosses val="max"/>
        <c:crossBetween val="between"/>
      </c:valAx>
      <c:catAx>
        <c:axId val="173220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058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788925914711891E-2"/>
          <c:y val="0.88335923940486605"/>
          <c:w val="0.92011520953037229"/>
          <c:h val="0.10188482322713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646114669022"/>
          <c:y val="5.5077163508497756E-2"/>
          <c:w val="0.84165763767566193"/>
          <c:h val="0.73660429562087837"/>
        </c:manualLayout>
      </c:layout>
      <c:lineChart>
        <c:grouping val="standard"/>
        <c:varyColors val="0"/>
        <c:ser>
          <c:idx val="0"/>
          <c:order val="0"/>
          <c:tx>
            <c:strRef>
              <c:f>'Policy+final cost'!$D$2</c:f>
              <c:strCache>
                <c:ptCount val="1"/>
                <c:pt idx="0">
                  <c:v>S-Curve &amp; 5% 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cost'!$B$3:$B$12</c:f>
              <c:numCache>
                <c:formatCode>General</c:formatCode>
                <c:ptCount val="10"/>
                <c:pt idx="0">
                  <c:v>0.49844948173055598</c:v>
                </c:pt>
                <c:pt idx="1">
                  <c:v>0.49717680313933099</c:v>
                </c:pt>
                <c:pt idx="2">
                  <c:v>0.22064737472611301</c:v>
                </c:pt>
                <c:pt idx="3">
                  <c:v>0.244172463847806</c:v>
                </c:pt>
                <c:pt idx="4">
                  <c:v>0.14098705745676399</c:v>
                </c:pt>
                <c:pt idx="5">
                  <c:v>0.14927212238220899</c:v>
                </c:pt>
                <c:pt idx="6">
                  <c:v>0.13366867585950601</c:v>
                </c:pt>
                <c:pt idx="7">
                  <c:v>9.3823736084054005E-2</c:v>
                </c:pt>
                <c:pt idx="8">
                  <c:v>0.103596460778149</c:v>
                </c:pt>
                <c:pt idx="9">
                  <c:v>0.132869622302448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3-F644-9D65-D1B202DF36ED}"/>
            </c:ext>
          </c:extLst>
        </c:ser>
        <c:ser>
          <c:idx val="1"/>
          <c:order val="1"/>
          <c:tx>
            <c:strRef>
              <c:f>'Policy+final cost'!$D$27</c:f>
              <c:strCache>
                <c:ptCount val="1"/>
                <c:pt idx="0">
                  <c:v>S-Curve &amp; 2.5% LP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cost'!$B$28:$B$37</c:f>
              <c:numCache>
                <c:formatCode>0%</c:formatCode>
                <c:ptCount val="10"/>
                <c:pt idx="0">
                  <c:v>0.49845060884667203</c:v>
                </c:pt>
                <c:pt idx="1">
                  <c:v>0.49841677979478299</c:v>
                </c:pt>
                <c:pt idx="2">
                  <c:v>0.49768667889717799</c:v>
                </c:pt>
                <c:pt idx="3">
                  <c:v>0.49037331383228899</c:v>
                </c:pt>
                <c:pt idx="4">
                  <c:v>0.211730458123843</c:v>
                </c:pt>
                <c:pt idx="5">
                  <c:v>0.25679195992188297</c:v>
                </c:pt>
                <c:pt idx="6">
                  <c:v>0.18905469797736699</c:v>
                </c:pt>
                <c:pt idx="7">
                  <c:v>0.197544501683936</c:v>
                </c:pt>
                <c:pt idx="8">
                  <c:v>0.200030727510879</c:v>
                </c:pt>
                <c:pt idx="9">
                  <c:v>0.19940111203640501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3-F644-9D65-D1B202DF36ED}"/>
            </c:ext>
          </c:extLst>
        </c:ser>
        <c:ser>
          <c:idx val="2"/>
          <c:order val="2"/>
          <c:tx>
            <c:strRef>
              <c:f>'Policy+final cost'!$D$15</c:f>
              <c:strCache>
                <c:ptCount val="1"/>
                <c:pt idx="0">
                  <c:v>S-Curve &amp; 10% LP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cost'!$B$16:$B$25</c:f>
              <c:numCache>
                <c:formatCode>0%</c:formatCode>
                <c:ptCount val="10"/>
                <c:pt idx="0">
                  <c:v>0.49844741357234101</c:v>
                </c:pt>
                <c:pt idx="1">
                  <c:v>0.498375912358967</c:v>
                </c:pt>
                <c:pt idx="2">
                  <c:v>0.23100670364453199</c:v>
                </c:pt>
                <c:pt idx="3">
                  <c:v>0.18409246345636701</c:v>
                </c:pt>
                <c:pt idx="4">
                  <c:v>0.13690080352655601</c:v>
                </c:pt>
                <c:pt idx="5">
                  <c:v>0.19789336021745499</c:v>
                </c:pt>
                <c:pt idx="6">
                  <c:v>0.172280163193054</c:v>
                </c:pt>
                <c:pt idx="7">
                  <c:v>0.10902693418010299</c:v>
                </c:pt>
                <c:pt idx="8">
                  <c:v>0.112450638863101</c:v>
                </c:pt>
                <c:pt idx="9">
                  <c:v>0.110062884123733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3-F644-9D65-D1B202DF36ED}"/>
            </c:ext>
          </c:extLst>
        </c:ser>
        <c:ser>
          <c:idx val="3"/>
          <c:order val="3"/>
          <c:tx>
            <c:strRef>
              <c:f>'Policy+final cost'!$C$40</c:f>
              <c:strCache>
                <c:ptCount val="1"/>
                <c:pt idx="0">
                  <c:v>Linear &amp; 5% LP 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cost'!$B$41:$B$50</c:f>
              <c:numCache>
                <c:formatCode>0%</c:formatCode>
                <c:ptCount val="10"/>
                <c:pt idx="0">
                  <c:v>0.176289715687693</c:v>
                </c:pt>
                <c:pt idx="1">
                  <c:v>0.21420339014591999</c:v>
                </c:pt>
                <c:pt idx="2">
                  <c:v>0.241860306385415</c:v>
                </c:pt>
                <c:pt idx="3">
                  <c:v>0.248418878181977</c:v>
                </c:pt>
                <c:pt idx="4">
                  <c:v>0.158649634044738</c:v>
                </c:pt>
                <c:pt idx="5">
                  <c:v>0.17842734907492799</c:v>
                </c:pt>
                <c:pt idx="6">
                  <c:v>0.16390875721508799</c:v>
                </c:pt>
                <c:pt idx="7">
                  <c:v>5.8906778184586797E-2</c:v>
                </c:pt>
                <c:pt idx="8">
                  <c:v>5.0137643375966698E-2</c:v>
                </c:pt>
                <c:pt idx="9">
                  <c:v>5.0434800324185097E-2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A3-F644-9D65-D1B202DF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85231"/>
        <c:axId val="740791135"/>
      </c:lineChart>
      <c:catAx>
        <c:axId val="117618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791135"/>
        <c:crosses val="autoZero"/>
        <c:auto val="1"/>
        <c:lblAlgn val="ctr"/>
        <c:lblOffset val="100"/>
        <c:noMultiLvlLbl val="0"/>
      </c:catAx>
      <c:valAx>
        <c:axId val="740791135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Annual Grant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618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854624600250212E-2"/>
          <c:y val="0.8724768869556363"/>
          <c:w val="0.91671347680256288"/>
          <c:h val="0.11110736967682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6792603044433"/>
          <c:y val="1.8635634613982651E-2"/>
          <c:w val="0.76271071863607209"/>
          <c:h val="0.79212493823560359"/>
        </c:manualLayout>
      </c:layout>
      <c:lineChart>
        <c:grouping val="standard"/>
        <c:varyColors val="0"/>
        <c:ser>
          <c:idx val="4"/>
          <c:order val="0"/>
          <c:tx>
            <c:strRef>
              <c:f>'Policy+final cost'!$D$2</c:f>
              <c:strCache>
                <c:ptCount val="1"/>
                <c:pt idx="0">
                  <c:v>S-Curve &amp; 5% 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cost'!$I$3:$I$12</c:f>
              <c:numCache>
                <c:formatCode>General</c:formatCode>
                <c:ptCount val="10"/>
                <c:pt idx="0">
                  <c:v>79.377484201236001</c:v>
                </c:pt>
                <c:pt idx="1">
                  <c:v>64.130744514067402</c:v>
                </c:pt>
                <c:pt idx="2">
                  <c:v>58.656943536640298</c:v>
                </c:pt>
                <c:pt idx="3">
                  <c:v>58.224621739496698</c:v>
                </c:pt>
                <c:pt idx="4">
                  <c:v>56.968226503234803</c:v>
                </c:pt>
                <c:pt idx="5">
                  <c:v>49.865292682283403</c:v>
                </c:pt>
                <c:pt idx="6">
                  <c:v>49.726286325982898</c:v>
                </c:pt>
                <c:pt idx="7">
                  <c:v>53.423209704886702</c:v>
                </c:pt>
                <c:pt idx="8">
                  <c:v>59.056809599865403</c:v>
                </c:pt>
                <c:pt idx="9">
                  <c:v>54.196725832048202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4-624F-B38B-7043F8D6EB09}"/>
            </c:ext>
          </c:extLst>
        </c:ser>
        <c:ser>
          <c:idx val="0"/>
          <c:order val="1"/>
          <c:tx>
            <c:strRef>
              <c:f>'Policy+final cost'!$D$27</c:f>
              <c:strCache>
                <c:ptCount val="1"/>
                <c:pt idx="0">
                  <c:v>S-Curve &amp; 2.5% LP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cost'!$I$28:$I$37</c:f>
              <c:numCache>
                <c:formatCode>General</c:formatCode>
                <c:ptCount val="10"/>
                <c:pt idx="0">
                  <c:v>79.7090820387549</c:v>
                </c:pt>
                <c:pt idx="1">
                  <c:v>67.981145899950803</c:v>
                </c:pt>
                <c:pt idx="2">
                  <c:v>51.928905975352997</c:v>
                </c:pt>
                <c:pt idx="3">
                  <c:v>54.459018571335903</c:v>
                </c:pt>
                <c:pt idx="4">
                  <c:v>53.286923569682699</c:v>
                </c:pt>
                <c:pt idx="5">
                  <c:v>50.626509611356802</c:v>
                </c:pt>
                <c:pt idx="6">
                  <c:v>47.240228013002699</c:v>
                </c:pt>
                <c:pt idx="7">
                  <c:v>50.814307391983</c:v>
                </c:pt>
                <c:pt idx="8">
                  <c:v>51.978841905368697</c:v>
                </c:pt>
                <c:pt idx="9">
                  <c:v>51.107598569427502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4-624F-B38B-7043F8D6EB09}"/>
            </c:ext>
          </c:extLst>
        </c:ser>
        <c:ser>
          <c:idx val="1"/>
          <c:order val="2"/>
          <c:tx>
            <c:strRef>
              <c:f>'Policy+final cost'!$D$15</c:f>
              <c:strCache>
                <c:ptCount val="1"/>
                <c:pt idx="0">
                  <c:v>S-Curve &amp; 10% LP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cost'!$I$16:$I$25</c:f>
              <c:numCache>
                <c:formatCode>General</c:formatCode>
                <c:ptCount val="10"/>
                <c:pt idx="0">
                  <c:v>79.065657999628002</c:v>
                </c:pt>
                <c:pt idx="1">
                  <c:v>67.099134593035004</c:v>
                </c:pt>
                <c:pt idx="2">
                  <c:v>59.745447040798503</c:v>
                </c:pt>
                <c:pt idx="3">
                  <c:v>60.370092446923202</c:v>
                </c:pt>
                <c:pt idx="4">
                  <c:v>59.296594601667302</c:v>
                </c:pt>
                <c:pt idx="5">
                  <c:v>52.256763390728104</c:v>
                </c:pt>
                <c:pt idx="6">
                  <c:v>50.742446100223503</c:v>
                </c:pt>
                <c:pt idx="7">
                  <c:v>56.109687849666102</c:v>
                </c:pt>
                <c:pt idx="8">
                  <c:v>55.847427134450797</c:v>
                </c:pt>
                <c:pt idx="9">
                  <c:v>56.678740151104002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C4-624F-B38B-7043F8D6EB09}"/>
            </c:ext>
          </c:extLst>
        </c:ser>
        <c:ser>
          <c:idx val="2"/>
          <c:order val="3"/>
          <c:tx>
            <c:strRef>
              <c:f>'Policy+final cost'!$C$40</c:f>
              <c:strCache>
                <c:ptCount val="1"/>
                <c:pt idx="0">
                  <c:v>Linear &amp; 5% LP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cost'!$E$41:$E$50</c:f>
              <c:numCache>
                <c:formatCode>General</c:formatCode>
                <c:ptCount val="10"/>
                <c:pt idx="0">
                  <c:v>73.013864869431401</c:v>
                </c:pt>
                <c:pt idx="1">
                  <c:v>63.676748555312301</c:v>
                </c:pt>
                <c:pt idx="2">
                  <c:v>59.193475635146299</c:v>
                </c:pt>
                <c:pt idx="3">
                  <c:v>56.522386462861903</c:v>
                </c:pt>
                <c:pt idx="4">
                  <c:v>57.313747222372697</c:v>
                </c:pt>
                <c:pt idx="5">
                  <c:v>51.556216756283199</c:v>
                </c:pt>
                <c:pt idx="6">
                  <c:v>42.522169436034503</c:v>
                </c:pt>
                <c:pt idx="7">
                  <c:v>55.077778801552903</c:v>
                </c:pt>
                <c:pt idx="8">
                  <c:v>56.30018377191</c:v>
                </c:pt>
                <c:pt idx="9">
                  <c:v>62.6384537848406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C4-624F-B38B-7043F8D6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85231"/>
        <c:axId val="740791135"/>
      </c:lineChart>
      <c:lineChart>
        <c:grouping val="standard"/>
        <c:varyColors val="0"/>
        <c:ser>
          <c:idx val="3"/>
          <c:order val="4"/>
          <c:tx>
            <c:strRef>
              <c:f>'Policy+final cost'!$I$40</c:f>
              <c:strCache>
                <c:ptCount val="1"/>
                <c:pt idx="0">
                  <c:v>Electricity Price (£/MWh)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cost'!$I$41:$I$50</c:f>
              <c:numCache>
                <c:formatCode>General</c:formatCode>
                <c:ptCount val="10"/>
                <c:pt idx="0">
                  <c:v>128.1</c:v>
                </c:pt>
                <c:pt idx="1">
                  <c:v>121</c:v>
                </c:pt>
                <c:pt idx="2">
                  <c:v>124</c:v>
                </c:pt>
                <c:pt idx="3">
                  <c:v>131</c:v>
                </c:pt>
                <c:pt idx="4">
                  <c:v>131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130</c:v>
                </c:pt>
                <c:pt idx="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C4-624F-B38B-7043F8D6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5087"/>
        <c:axId val="1515834304"/>
      </c:lineChart>
      <c:catAx>
        <c:axId val="117618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791135"/>
        <c:crosses val="autoZero"/>
        <c:auto val="1"/>
        <c:lblAlgn val="ctr"/>
        <c:lblOffset val="100"/>
        <c:noMultiLvlLbl val="0"/>
      </c:catAx>
      <c:valAx>
        <c:axId val="740791135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Electricity Subsidy (£/MWh)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6185231"/>
        <c:crosses val="autoZero"/>
        <c:crossBetween val="between"/>
      </c:valAx>
      <c:valAx>
        <c:axId val="1515834304"/>
        <c:scaling>
          <c:orientation val="minMax"/>
          <c:max val="135"/>
          <c:min val="7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Price with CCL - Electricity</a:t>
                </a:r>
                <a:r>
                  <a:rPr lang="en-GB" baseline="0"/>
                  <a:t> </a:t>
                </a:r>
                <a:r>
                  <a:rPr lang="en-GB"/>
                  <a:t>(£/MWh)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165087"/>
        <c:crosses val="max"/>
        <c:crossBetween val="between"/>
      </c:valAx>
      <c:catAx>
        <c:axId val="3916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83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181953343618372E-2"/>
          <c:y val="0.89026714620138836"/>
          <c:w val="0.91291110726678615"/>
          <c:h val="0.10201736693316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Total Market Share &amp; Cost to goverment and Industry VS Time </a:t>
            </a:r>
          </a:p>
        </c:rich>
      </c:tx>
      <c:layout>
        <c:manualLayout>
          <c:xMode val="edge"/>
          <c:yMode val="edge"/>
          <c:x val="0.1626132826310982"/>
          <c:y val="7.488756546028236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4"/>
          <c:tx>
            <c:strRef>
              <c:f>'Policy+final cost'!$F$40</c:f>
              <c:strCache>
                <c:ptCount val="1"/>
                <c:pt idx="0">
                  <c:v>Market share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cost'!$F$41:$F$50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4-C24C-AA17-273DD6DB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79487"/>
        <c:axId val="1102360287"/>
      </c:areaChart>
      <c:lineChart>
        <c:grouping val="standard"/>
        <c:varyColors val="0"/>
        <c:ser>
          <c:idx val="2"/>
          <c:order val="0"/>
          <c:tx>
            <c:strRef>
              <c:f>'Policy+final cost'!$G$2</c:f>
              <c:strCache>
                <c:ptCount val="1"/>
                <c:pt idx="0">
                  <c:v>Carbon Tax/10 (£/tCO2e)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cost'!$D$41:$D$50</c:f>
              <c:numCache>
                <c:formatCode>General</c:formatCode>
                <c:ptCount val="10"/>
                <c:pt idx="0">
                  <c:v>264.21535127643199</c:v>
                </c:pt>
                <c:pt idx="1">
                  <c:v>196.48527945225999</c:v>
                </c:pt>
                <c:pt idx="2">
                  <c:v>193.48580887637399</c:v>
                </c:pt>
                <c:pt idx="3">
                  <c:v>212.22624162706799</c:v>
                </c:pt>
                <c:pt idx="4">
                  <c:v>197.58649923432301</c:v>
                </c:pt>
                <c:pt idx="5">
                  <c:v>196.02804997825501</c:v>
                </c:pt>
                <c:pt idx="6">
                  <c:v>250.01761350515801</c:v>
                </c:pt>
                <c:pt idx="7">
                  <c:v>177.119110158529</c:v>
                </c:pt>
                <c:pt idx="8">
                  <c:v>203.10203799105901</c:v>
                </c:pt>
                <c:pt idx="9">
                  <c:v>155.711357091004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4-C24C-AA17-273DD6DBA85A}"/>
            </c:ext>
          </c:extLst>
        </c:ser>
        <c:ser>
          <c:idx val="3"/>
          <c:order val="1"/>
          <c:tx>
            <c:strRef>
              <c:f>'Policy+final cost'!$I$2</c:f>
              <c:strCache>
                <c:ptCount val="1"/>
                <c:pt idx="0">
                  <c:v>5% 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cost'!$E$41:$E$50</c:f>
              <c:numCache>
                <c:formatCode>General</c:formatCode>
                <c:ptCount val="10"/>
                <c:pt idx="0">
                  <c:v>73.013864869431401</c:v>
                </c:pt>
                <c:pt idx="1">
                  <c:v>63.676748555312301</c:v>
                </c:pt>
                <c:pt idx="2">
                  <c:v>59.193475635146299</c:v>
                </c:pt>
                <c:pt idx="3">
                  <c:v>56.522386462861903</c:v>
                </c:pt>
                <c:pt idx="4">
                  <c:v>57.313747222372697</c:v>
                </c:pt>
                <c:pt idx="5">
                  <c:v>51.556216756283199</c:v>
                </c:pt>
                <c:pt idx="6">
                  <c:v>42.522169436034503</c:v>
                </c:pt>
                <c:pt idx="7">
                  <c:v>55.077778801552903</c:v>
                </c:pt>
                <c:pt idx="8">
                  <c:v>56.30018377191</c:v>
                </c:pt>
                <c:pt idx="9">
                  <c:v>62.6384537848406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4-C24C-AA17-273DD6DB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564175"/>
        <c:axId val="1115863503"/>
      </c:lineChart>
      <c:lineChart>
        <c:grouping val="standard"/>
        <c:varyColors val="0"/>
        <c:ser>
          <c:idx val="0"/>
          <c:order val="2"/>
          <c:tx>
            <c:strRef>
              <c:f>'Policy+final cost'!$B$2</c:f>
              <c:strCache>
                <c:ptCount val="1"/>
                <c:pt idx="0">
                  <c:v>5% 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cost'!$B$41:$B$50</c:f>
              <c:numCache>
                <c:formatCode>0%</c:formatCode>
                <c:ptCount val="10"/>
                <c:pt idx="0">
                  <c:v>0.176289715687693</c:v>
                </c:pt>
                <c:pt idx="1">
                  <c:v>0.21420339014591999</c:v>
                </c:pt>
                <c:pt idx="2">
                  <c:v>0.241860306385415</c:v>
                </c:pt>
                <c:pt idx="3">
                  <c:v>0.248418878181977</c:v>
                </c:pt>
                <c:pt idx="4">
                  <c:v>0.158649634044738</c:v>
                </c:pt>
                <c:pt idx="5">
                  <c:v>0.17842734907492799</c:v>
                </c:pt>
                <c:pt idx="6">
                  <c:v>0.16390875721508799</c:v>
                </c:pt>
                <c:pt idx="7">
                  <c:v>5.8906778184586797E-2</c:v>
                </c:pt>
                <c:pt idx="8">
                  <c:v>5.0137643375966698E-2</c:v>
                </c:pt>
                <c:pt idx="9">
                  <c:v>5.0434800324185097E-2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4-C24C-AA17-273DD6DBA85A}"/>
            </c:ext>
          </c:extLst>
        </c:ser>
        <c:ser>
          <c:idx val="4"/>
          <c:order val="3"/>
          <c:tx>
            <c:strRef>
              <c:f>'Policy+final cost'!$D$2</c:f>
              <c:strCache>
                <c:ptCount val="1"/>
                <c:pt idx="0">
                  <c:v>S-Curve &amp; 5% 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cost'!$C$41:$C$50</c:f>
              <c:numCache>
                <c:formatCode>0%</c:formatCode>
                <c:ptCount val="10"/>
                <c:pt idx="0">
                  <c:v>0.16761003765310101</c:v>
                </c:pt>
                <c:pt idx="1">
                  <c:v>0.151964745993244</c:v>
                </c:pt>
                <c:pt idx="2">
                  <c:v>0.14814344931881601</c:v>
                </c:pt>
                <c:pt idx="3">
                  <c:v>0.16870507839136401</c:v>
                </c:pt>
                <c:pt idx="4">
                  <c:v>0.150842969756741</c:v>
                </c:pt>
                <c:pt idx="5">
                  <c:v>0.14113992826310201</c:v>
                </c:pt>
                <c:pt idx="6">
                  <c:v>0.148320250162707</c:v>
                </c:pt>
                <c:pt idx="7">
                  <c:v>0.153538136747014</c:v>
                </c:pt>
                <c:pt idx="8">
                  <c:v>0.15243189042840299</c:v>
                </c:pt>
                <c:pt idx="9">
                  <c:v>0.15757150775576301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4-C24C-AA17-273DD6DBA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579487"/>
        <c:axId val="1102360287"/>
      </c:lineChart>
      <c:catAx>
        <c:axId val="127656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863503"/>
        <c:crosses val="autoZero"/>
        <c:auto val="1"/>
        <c:lblAlgn val="ctr"/>
        <c:lblOffset val="100"/>
        <c:noMultiLvlLbl val="0"/>
      </c:catAx>
      <c:valAx>
        <c:axId val="11158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64175"/>
        <c:crosses val="autoZero"/>
        <c:crossBetween val="between"/>
      </c:valAx>
      <c:valAx>
        <c:axId val="110236028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79487"/>
        <c:crosses val="max"/>
        <c:crossBetween val="between"/>
      </c:valAx>
      <c:catAx>
        <c:axId val="127657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360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5007060114565"/>
          <c:y val="1.6739892175429965E-2"/>
          <c:w val="0.85040680234287114"/>
          <c:h val="0.79748299762094543"/>
        </c:manualLayout>
      </c:layout>
      <c:lineChart>
        <c:grouping val="standard"/>
        <c:varyColors val="0"/>
        <c:ser>
          <c:idx val="4"/>
          <c:order val="0"/>
          <c:tx>
            <c:strRef>
              <c:f>'Policy+final cost'!$D$2</c:f>
              <c:strCache>
                <c:ptCount val="1"/>
                <c:pt idx="0">
                  <c:v>S-Curve &amp; 5% 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cost'!$G$3:$G$12</c:f>
              <c:numCache>
                <c:formatCode>General</c:formatCode>
                <c:ptCount val="10"/>
                <c:pt idx="0">
                  <c:v>280.63378194314498</c:v>
                </c:pt>
                <c:pt idx="1">
                  <c:v>222.64938032745201</c:v>
                </c:pt>
                <c:pt idx="2">
                  <c:v>216.134373926438</c:v>
                </c:pt>
                <c:pt idx="3">
                  <c:v>205.924867552889</c:v>
                </c:pt>
                <c:pt idx="4">
                  <c:v>202.40093447484699</c:v>
                </c:pt>
                <c:pt idx="5">
                  <c:v>208.50883252700299</c:v>
                </c:pt>
                <c:pt idx="6">
                  <c:v>200.55704877663501</c:v>
                </c:pt>
                <c:pt idx="7">
                  <c:v>198.87908936765001</c:v>
                </c:pt>
                <c:pt idx="8">
                  <c:v>153.63742092982</c:v>
                </c:pt>
                <c:pt idx="9">
                  <c:v>155.77138532105499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A-E044-A278-45794BBCC72F}"/>
            </c:ext>
          </c:extLst>
        </c:ser>
        <c:ser>
          <c:idx val="0"/>
          <c:order val="1"/>
          <c:tx>
            <c:strRef>
              <c:f>'Policy+final cost'!$D$27</c:f>
              <c:strCache>
                <c:ptCount val="1"/>
                <c:pt idx="0">
                  <c:v>S-Curve &amp; 2.5% LP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cost'!$F$28:$F$37</c:f>
              <c:numCache>
                <c:formatCode>General</c:formatCode>
                <c:ptCount val="10"/>
                <c:pt idx="0">
                  <c:v>275.34218896180198</c:v>
                </c:pt>
                <c:pt idx="1">
                  <c:v>238.700478544926</c:v>
                </c:pt>
                <c:pt idx="2">
                  <c:v>276.08173103520801</c:v>
                </c:pt>
                <c:pt idx="3">
                  <c:v>225.286744148465</c:v>
                </c:pt>
                <c:pt idx="4">
                  <c:v>219.58322503333201</c:v>
                </c:pt>
                <c:pt idx="5">
                  <c:v>194.24057092728</c:v>
                </c:pt>
                <c:pt idx="6">
                  <c:v>204.62022898036801</c:v>
                </c:pt>
                <c:pt idx="7">
                  <c:v>172.36338601098601</c:v>
                </c:pt>
                <c:pt idx="8">
                  <c:v>171.08772571149399</c:v>
                </c:pt>
                <c:pt idx="9">
                  <c:v>169.52238697892199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A-E044-A278-45794BBCC72F}"/>
            </c:ext>
          </c:extLst>
        </c:ser>
        <c:ser>
          <c:idx val="1"/>
          <c:order val="2"/>
          <c:tx>
            <c:strRef>
              <c:f>'Policy+final cost'!$D$15</c:f>
              <c:strCache>
                <c:ptCount val="1"/>
                <c:pt idx="0">
                  <c:v>S-Curve &amp; 10% LP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cost'!$F$16:$F$25</c:f>
              <c:numCache>
                <c:formatCode>General</c:formatCode>
                <c:ptCount val="10"/>
                <c:pt idx="0">
                  <c:v>285.60168473927001</c:v>
                </c:pt>
                <c:pt idx="1">
                  <c:v>215.653339022572</c:v>
                </c:pt>
                <c:pt idx="2">
                  <c:v>205.15912519056599</c:v>
                </c:pt>
                <c:pt idx="3">
                  <c:v>210.45117552782901</c:v>
                </c:pt>
                <c:pt idx="4">
                  <c:v>200.461549326903</c:v>
                </c:pt>
                <c:pt idx="5">
                  <c:v>189.07293034190599</c:v>
                </c:pt>
                <c:pt idx="6">
                  <c:v>189.33512768253601</c:v>
                </c:pt>
                <c:pt idx="7">
                  <c:v>170.99708975215299</c:v>
                </c:pt>
                <c:pt idx="8">
                  <c:v>175.06240175630501</c:v>
                </c:pt>
                <c:pt idx="9">
                  <c:v>166.068886576984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A-E044-A278-45794BBCC72F}"/>
            </c:ext>
          </c:extLst>
        </c:ser>
        <c:ser>
          <c:idx val="2"/>
          <c:order val="3"/>
          <c:tx>
            <c:strRef>
              <c:f>'Policy+final cost'!$C$40</c:f>
              <c:strCache>
                <c:ptCount val="1"/>
                <c:pt idx="0">
                  <c:v>Linear &amp; 5% LP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'Policy+final cost'!$A$41:$A$50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cost'!$D$41:$D$50</c:f>
              <c:numCache>
                <c:formatCode>General</c:formatCode>
                <c:ptCount val="10"/>
                <c:pt idx="0">
                  <c:v>264.21535127643199</c:v>
                </c:pt>
                <c:pt idx="1">
                  <c:v>196.48527945225999</c:v>
                </c:pt>
                <c:pt idx="2">
                  <c:v>193.48580887637399</c:v>
                </c:pt>
                <c:pt idx="3">
                  <c:v>212.22624162706799</c:v>
                </c:pt>
                <c:pt idx="4">
                  <c:v>197.58649923432301</c:v>
                </c:pt>
                <c:pt idx="5">
                  <c:v>196.02804997825501</c:v>
                </c:pt>
                <c:pt idx="6">
                  <c:v>250.01761350515801</c:v>
                </c:pt>
                <c:pt idx="7">
                  <c:v>177.119110158529</c:v>
                </c:pt>
                <c:pt idx="8">
                  <c:v>203.10203799105901</c:v>
                </c:pt>
                <c:pt idx="9">
                  <c:v>155.711357091004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A-E044-A278-45794BBC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85231"/>
        <c:axId val="740791135"/>
      </c:lineChart>
      <c:catAx>
        <c:axId val="117618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0791135"/>
        <c:crosses val="autoZero"/>
        <c:auto val="1"/>
        <c:lblAlgn val="ctr"/>
        <c:lblOffset val="100"/>
        <c:noMultiLvlLbl val="0"/>
      </c:catAx>
      <c:valAx>
        <c:axId val="740791135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Carbon Tax (£/tCO2e)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618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222636721853287E-2"/>
          <c:y val="0.89798267153577727"/>
          <c:w val="0.88842358181297876"/>
          <c:h val="9.3653816657293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73191483133522E-2"/>
          <c:y val="2.3507124351234733E-2"/>
          <c:w val="0.79311749995294278"/>
          <c:h val="0.7880257191837382"/>
        </c:manualLayout>
      </c:layout>
      <c:areaChart>
        <c:grouping val="stacked"/>
        <c:varyColors val="0"/>
        <c:ser>
          <c:idx val="1"/>
          <c:order val="6"/>
          <c:tx>
            <c:strRef>
              <c:f>'Policy+final cost'!$S$2</c:f>
              <c:strCache>
                <c:ptCount val="1"/>
                <c:pt idx="0">
                  <c:v>Market Share: S-Curve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cost'!$S$3:$S$12</c:f>
              <c:numCache>
                <c:formatCode>General</c:formatCode>
                <c:ptCount val="10"/>
                <c:pt idx="0">
                  <c:v>2500000</c:v>
                </c:pt>
                <c:pt idx="1">
                  <c:v>12500000</c:v>
                </c:pt>
                <c:pt idx="2">
                  <c:v>35000000</c:v>
                </c:pt>
                <c:pt idx="3">
                  <c:v>75000000</c:v>
                </c:pt>
                <c:pt idx="4">
                  <c:v>125000000</c:v>
                </c:pt>
                <c:pt idx="5">
                  <c:v>175000000</c:v>
                </c:pt>
                <c:pt idx="6">
                  <c:v>215000000</c:v>
                </c:pt>
                <c:pt idx="7">
                  <c:v>237500000</c:v>
                </c:pt>
                <c:pt idx="8">
                  <c:v>247500000</c:v>
                </c:pt>
                <c:pt idx="9">
                  <c:v>250000000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C-3F49-92BD-1A4F28D1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79487"/>
        <c:axId val="1102360287"/>
      </c:areaChart>
      <c:barChart>
        <c:barDir val="col"/>
        <c:grouping val="stacked"/>
        <c:varyColors val="0"/>
        <c:ser>
          <c:idx val="5"/>
          <c:order val="4"/>
          <c:tx>
            <c:strRef>
              <c:f>'Policy+final cost'!$T$2</c:f>
              <c:strCache>
                <c:ptCount val="1"/>
                <c:pt idx="0">
                  <c:v>Government Cost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cost'!$T$3:$T$12</c:f>
              <c:numCache>
                <c:formatCode>General</c:formatCode>
                <c:ptCount val="10"/>
                <c:pt idx="0">
                  <c:v>1583248.002963</c:v>
                </c:pt>
                <c:pt idx="1">
                  <c:v>14272108.078843299</c:v>
                </c:pt>
                <c:pt idx="2">
                  <c:v>48217628.812400199</c:v>
                </c:pt>
                <c:pt idx="3">
                  <c:v>91467511.552529007</c:v>
                </c:pt>
                <c:pt idx="4">
                  <c:v>117672985.589</c:v>
                </c:pt>
                <c:pt idx="5">
                  <c:v>85874932.352483898</c:v>
                </c:pt>
                <c:pt idx="6">
                  <c:v>29524646.969765801</c:v>
                </c:pt>
                <c:pt idx="7">
                  <c:v>4210984.9049846996</c:v>
                </c:pt>
                <c:pt idx="8">
                  <c:v>158899.562797972</c:v>
                </c:pt>
                <c:pt idx="9">
                  <c:v>142125.19410627699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C-3F49-92BD-1A4F28D1249A}"/>
            </c:ext>
          </c:extLst>
        </c:ser>
        <c:ser>
          <c:idx val="6"/>
          <c:order val="5"/>
          <c:tx>
            <c:strRef>
              <c:f>'Policy+final cost'!$U$2</c:f>
              <c:strCache>
                <c:ptCount val="1"/>
                <c:pt idx="0">
                  <c:v>Industry Cost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'S-Curve '!$F$28:$F$37</c:f>
                <c:numCache>
                  <c:formatCode>General</c:formatCode>
                  <c:ptCount val="10"/>
                  <c:pt idx="0">
                    <c:v>-56129.054122941568</c:v>
                  </c:pt>
                  <c:pt idx="1">
                    <c:v>8115865.5697224066</c:v>
                  </c:pt>
                  <c:pt idx="2">
                    <c:v>9752340.4031109065</c:v>
                  </c:pt>
                  <c:pt idx="3">
                    <c:v>-991538.29583880305</c:v>
                  </c:pt>
                  <c:pt idx="4">
                    <c:v>-3512165.3289589882</c:v>
                  </c:pt>
                  <c:pt idx="5">
                    <c:v>-8127646.6785204411</c:v>
                  </c:pt>
                  <c:pt idx="6">
                    <c:v>-4259152.6018598005</c:v>
                  </c:pt>
                  <c:pt idx="7">
                    <c:v>-355995.49034341983</c:v>
                  </c:pt>
                  <c:pt idx="8">
                    <c:v>4748.7844981160015</c:v>
                  </c:pt>
                  <c:pt idx="9">
                    <c:v>502282.090265173</c:v>
                  </c:pt>
                </c:numCache>
              </c:numRef>
            </c:plus>
            <c:minus>
              <c:numRef>
                <c:f>'S-Curve '!$F$15:$F$24</c:f>
                <c:numCache>
                  <c:formatCode>General</c:formatCode>
                  <c:ptCount val="10"/>
                  <c:pt idx="0">
                    <c:v>313551.91454754397</c:v>
                  </c:pt>
                  <c:pt idx="1">
                    <c:v>-6972033.666629903</c:v>
                  </c:pt>
                  <c:pt idx="2">
                    <c:v>-6448851.0276631862</c:v>
                  </c:pt>
                  <c:pt idx="3">
                    <c:v>2569020.0284858942</c:v>
                  </c:pt>
                  <c:pt idx="4">
                    <c:v>12667521.233604014</c:v>
                  </c:pt>
                  <c:pt idx="5">
                    <c:v>10383941.205763221</c:v>
                  </c:pt>
                  <c:pt idx="6">
                    <c:v>-4193871.9222662002</c:v>
                  </c:pt>
                  <c:pt idx="7">
                    <c:v>-2304826.0478062406</c:v>
                  </c:pt>
                  <c:pt idx="8">
                    <c:v>16100.410147549002</c:v>
                  </c:pt>
                  <c:pt idx="9">
                    <c:v>-460583.70097379899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cost'!$U$3:$U$12</c:f>
              <c:numCache>
                <c:formatCode>General</c:formatCode>
                <c:ptCount val="10"/>
                <c:pt idx="0">
                  <c:v>7296257.5302060004</c:v>
                </c:pt>
                <c:pt idx="1">
                  <c:v>15910483.2769621</c:v>
                </c:pt>
                <c:pt idx="2">
                  <c:v>41543078.543430902</c:v>
                </c:pt>
                <c:pt idx="3">
                  <c:v>112320841.90674999</c:v>
                </c:pt>
                <c:pt idx="4">
                  <c:v>117479090.66875599</c:v>
                </c:pt>
                <c:pt idx="5">
                  <c:v>75341105.650528207</c:v>
                </c:pt>
                <c:pt idx="6">
                  <c:v>32690095.4328424</c:v>
                </c:pt>
                <c:pt idx="7">
                  <c:v>5129332.1237317398</c:v>
                </c:pt>
                <c:pt idx="8">
                  <c:v>271351.57751974399</c:v>
                </c:pt>
                <c:pt idx="9">
                  <c:v>225592.56526021601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C-3F49-92BD-1A4F28D1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579487"/>
        <c:axId val="1102360287"/>
      </c:barChart>
      <c:lineChart>
        <c:grouping val="standard"/>
        <c:varyColors val="0"/>
        <c:ser>
          <c:idx val="2"/>
          <c:order val="0"/>
          <c:tx>
            <c:strRef>
              <c:f>'Policy+final cost'!$G$2</c:f>
              <c:strCache>
                <c:ptCount val="1"/>
                <c:pt idx="0">
                  <c:v>Carbon Tax/10 (£/tCO2e)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cost'!$F$3:$F$12</c:f>
              <c:numCache>
                <c:formatCode>General</c:formatCode>
                <c:ptCount val="10"/>
                <c:pt idx="0">
                  <c:v>28.063378194314499</c:v>
                </c:pt>
                <c:pt idx="1">
                  <c:v>22.264938032745199</c:v>
                </c:pt>
                <c:pt idx="2">
                  <c:v>21.613437392643799</c:v>
                </c:pt>
                <c:pt idx="3">
                  <c:v>20.592486755288899</c:v>
                </c:pt>
                <c:pt idx="4">
                  <c:v>20.2400934474847</c:v>
                </c:pt>
                <c:pt idx="5">
                  <c:v>20.850883252700299</c:v>
                </c:pt>
                <c:pt idx="6">
                  <c:v>20.055704877663501</c:v>
                </c:pt>
                <c:pt idx="7">
                  <c:v>19.887908936765001</c:v>
                </c:pt>
                <c:pt idx="8">
                  <c:v>15.363742092981999</c:v>
                </c:pt>
                <c:pt idx="9">
                  <c:v>15.577138532105499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C-3F49-92BD-1A4F28D1249A}"/>
            </c:ext>
          </c:extLst>
        </c:ser>
        <c:ser>
          <c:idx val="3"/>
          <c:order val="1"/>
          <c:tx>
            <c:strRef>
              <c:f>'Policy+final cost'!$I$1</c:f>
              <c:strCache>
                <c:ptCount val="1"/>
                <c:pt idx="0">
                  <c:v>Electricity Subsidy (£/MWh)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cost'!$I$3:$I$12</c:f>
              <c:numCache>
                <c:formatCode>General</c:formatCode>
                <c:ptCount val="10"/>
                <c:pt idx="0">
                  <c:v>79.377484201236001</c:v>
                </c:pt>
                <c:pt idx="1">
                  <c:v>64.130744514067402</c:v>
                </c:pt>
                <c:pt idx="2">
                  <c:v>58.656943536640298</c:v>
                </c:pt>
                <c:pt idx="3">
                  <c:v>58.224621739496698</c:v>
                </c:pt>
                <c:pt idx="4">
                  <c:v>56.968226503234803</c:v>
                </c:pt>
                <c:pt idx="5">
                  <c:v>49.865292682283403</c:v>
                </c:pt>
                <c:pt idx="6">
                  <c:v>49.726286325982898</c:v>
                </c:pt>
                <c:pt idx="7">
                  <c:v>53.423209704886702</c:v>
                </c:pt>
                <c:pt idx="8">
                  <c:v>59.056809599865403</c:v>
                </c:pt>
                <c:pt idx="9">
                  <c:v>54.196725832048202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C-3F49-92BD-1A4F28D1249A}"/>
            </c:ext>
          </c:extLst>
        </c:ser>
        <c:ser>
          <c:idx val="0"/>
          <c:order val="2"/>
          <c:tx>
            <c:strRef>
              <c:f>'Policy+final cost'!$B$1</c:f>
              <c:strCache>
                <c:ptCount val="1"/>
                <c:pt idx="0">
                  <c:v>Annual Grant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cost'!$C$3:$C$12</c:f>
              <c:numCache>
                <c:formatCode>General</c:formatCode>
                <c:ptCount val="10"/>
                <c:pt idx="0">
                  <c:v>49.844948173055599</c:v>
                </c:pt>
                <c:pt idx="1">
                  <c:v>49.717680313933101</c:v>
                </c:pt>
                <c:pt idx="2">
                  <c:v>22.064737472611302</c:v>
                </c:pt>
                <c:pt idx="3">
                  <c:v>24.417246384780601</c:v>
                </c:pt>
                <c:pt idx="4">
                  <c:v>14.098705745676398</c:v>
                </c:pt>
                <c:pt idx="5">
                  <c:v>14.9272122382209</c:v>
                </c:pt>
                <c:pt idx="6">
                  <c:v>13.366867585950601</c:v>
                </c:pt>
                <c:pt idx="7">
                  <c:v>9.3823736084054001</c:v>
                </c:pt>
                <c:pt idx="8">
                  <c:v>10.359646077814901</c:v>
                </c:pt>
                <c:pt idx="9">
                  <c:v>13.2869622302448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CC-3F49-92BD-1A4F28D1249A}"/>
            </c:ext>
          </c:extLst>
        </c:ser>
        <c:ser>
          <c:idx val="4"/>
          <c:order val="3"/>
          <c:tx>
            <c:strRef>
              <c:f>'Policy+final cost'!$D$1</c:f>
              <c:strCache>
                <c:ptCount val="1"/>
                <c:pt idx="0">
                  <c:v>Gas Tax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cost'!$E$3:$E$12</c:f>
              <c:numCache>
                <c:formatCode>General</c:formatCode>
                <c:ptCount val="10"/>
                <c:pt idx="0">
                  <c:v>10.926169949393801</c:v>
                </c:pt>
                <c:pt idx="1">
                  <c:v>10.217121044101599</c:v>
                </c:pt>
                <c:pt idx="2">
                  <c:v>10.0188894957695</c:v>
                </c:pt>
                <c:pt idx="3">
                  <c:v>15.289755232540999</c:v>
                </c:pt>
                <c:pt idx="4">
                  <c:v>15.228321292774799</c:v>
                </c:pt>
                <c:pt idx="5">
                  <c:v>14.4986874704403</c:v>
                </c:pt>
                <c:pt idx="6">
                  <c:v>15.016838057571499</c:v>
                </c:pt>
                <c:pt idx="7">
                  <c:v>10.1775451898162</c:v>
                </c:pt>
                <c:pt idx="8">
                  <c:v>10.2124940126072</c:v>
                </c:pt>
                <c:pt idx="9">
                  <c:v>10.3044585736553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CC-3F49-92BD-1A4F28D1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564175"/>
        <c:axId val="1115863503"/>
      </c:lineChart>
      <c:catAx>
        <c:axId val="127656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863503"/>
        <c:crosses val="autoZero"/>
        <c:auto val="1"/>
        <c:lblAlgn val="ctr"/>
        <c:lblOffset val="100"/>
        <c:noMultiLvlLbl val="0"/>
      </c:catAx>
      <c:valAx>
        <c:axId val="111586350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Policy (%, £/tCO2e and £/MWh)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64175"/>
        <c:crosses val="autoZero"/>
        <c:crossBetween val="between"/>
      </c:valAx>
      <c:valAx>
        <c:axId val="1102360287"/>
        <c:scaling>
          <c:orientation val="minMax"/>
          <c:max val="25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Cost to Government &amp; Industry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79487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catAx>
        <c:axId val="127657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360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28711323371268E-2"/>
          <c:y val="0.89460445785626475"/>
          <c:w val="0.95103521935193625"/>
          <c:h val="9.1840034821486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9007281357776"/>
          <c:y val="2.3596555875874566E-2"/>
          <c:w val="0.77772282394951453"/>
          <c:h val="0.80741791293424758"/>
        </c:manualLayout>
      </c:layout>
      <c:areaChart>
        <c:grouping val="stacked"/>
        <c:varyColors val="0"/>
        <c:ser>
          <c:idx val="1"/>
          <c:order val="6"/>
          <c:tx>
            <c:strRef>
              <c:f>'Policy+final cost'!$S$15</c:f>
              <c:strCache>
                <c:ptCount val="1"/>
                <c:pt idx="0">
                  <c:v>Market Share: Linear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cost'!$S$16:$S$25</c:f>
              <c:numCache>
                <c:formatCode>General</c:formatCode>
                <c:ptCount val="10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>160000000</c:v>
                </c:pt>
                <c:pt idx="8">
                  <c:v>180000000</c:v>
                </c:pt>
                <c:pt idx="9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7-C949-B90F-38F2D52B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79487"/>
        <c:axId val="1102360287"/>
      </c:areaChart>
      <c:barChart>
        <c:barDir val="col"/>
        <c:grouping val="stacked"/>
        <c:varyColors val="0"/>
        <c:ser>
          <c:idx val="5"/>
          <c:order val="4"/>
          <c:tx>
            <c:strRef>
              <c:f>'Policy+final cost'!$T$2</c:f>
              <c:strCache>
                <c:ptCount val="1"/>
                <c:pt idx="0">
                  <c:v>Government Cost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cost'!$T$16:$T$25</c:f>
              <c:numCache>
                <c:formatCode>General</c:formatCode>
                <c:ptCount val="10"/>
                <c:pt idx="0">
                  <c:v>44414305.567090496</c:v>
                </c:pt>
                <c:pt idx="1">
                  <c:v>66811575.011730798</c:v>
                </c:pt>
                <c:pt idx="2">
                  <c:v>82606727.438309193</c:v>
                </c:pt>
                <c:pt idx="3">
                  <c:v>81642070.221723706</c:v>
                </c:pt>
                <c:pt idx="4">
                  <c:v>60306525.653771996</c:v>
                </c:pt>
                <c:pt idx="5">
                  <c:v>36517850.750442602</c:v>
                </c:pt>
                <c:pt idx="6">
                  <c:v>21078922.057684802</c:v>
                </c:pt>
                <c:pt idx="7">
                  <c:v>5059947.0102394996</c:v>
                </c:pt>
                <c:pt idx="8">
                  <c:v>1161217.8110633099</c:v>
                </c:pt>
                <c:pt idx="9">
                  <c:v>293771.31831189903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7-C949-B90F-38F2D52B2BA5}"/>
            </c:ext>
          </c:extLst>
        </c:ser>
        <c:ser>
          <c:idx val="6"/>
          <c:order val="5"/>
          <c:tx>
            <c:strRef>
              <c:f>'Policy+final cost'!$U$2</c:f>
              <c:strCache>
                <c:ptCount val="1"/>
                <c:pt idx="0">
                  <c:v>Industry Cost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cost'!$U$16:$U$25</c:f>
              <c:numCache>
                <c:formatCode>General</c:formatCode>
                <c:ptCount val="10"/>
                <c:pt idx="0">
                  <c:v>45524330.3675704</c:v>
                </c:pt>
                <c:pt idx="1">
                  <c:v>61537230.161014497</c:v>
                </c:pt>
                <c:pt idx="2">
                  <c:v>81819736.532102197</c:v>
                </c:pt>
                <c:pt idx="3">
                  <c:v>85067920.898580998</c:v>
                </c:pt>
                <c:pt idx="4">
                  <c:v>65496431.014949404</c:v>
                </c:pt>
                <c:pt idx="5">
                  <c:v>37038913.059402503</c:v>
                </c:pt>
                <c:pt idx="6">
                  <c:v>13009372.7555911</c:v>
                </c:pt>
                <c:pt idx="7">
                  <c:v>6187547.6203233004</c:v>
                </c:pt>
                <c:pt idx="8">
                  <c:v>1451617.09733532</c:v>
                </c:pt>
                <c:pt idx="9">
                  <c:v>554123.953211218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7-C949-B90F-38F2D52B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579487"/>
        <c:axId val="1102360287"/>
      </c:barChart>
      <c:lineChart>
        <c:grouping val="standard"/>
        <c:varyColors val="0"/>
        <c:ser>
          <c:idx val="2"/>
          <c:order val="0"/>
          <c:tx>
            <c:strRef>
              <c:f>'Policy+final cost'!$G$2</c:f>
              <c:strCache>
                <c:ptCount val="1"/>
                <c:pt idx="0">
                  <c:v>Carbon Tax/10 (£/tCO2e)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cost'!$K$41:$K$50</c:f>
              <c:numCache>
                <c:formatCode>General</c:formatCode>
                <c:ptCount val="10"/>
                <c:pt idx="0">
                  <c:v>26.4215351276432</c:v>
                </c:pt>
                <c:pt idx="1">
                  <c:v>19.648527945226</c:v>
                </c:pt>
                <c:pt idx="2">
                  <c:v>19.3485808876374</c:v>
                </c:pt>
                <c:pt idx="3">
                  <c:v>21.222624162706801</c:v>
                </c:pt>
                <c:pt idx="4">
                  <c:v>19.758649923432301</c:v>
                </c:pt>
                <c:pt idx="5">
                  <c:v>19.602804997825501</c:v>
                </c:pt>
                <c:pt idx="6">
                  <c:v>25.0017613505158</c:v>
                </c:pt>
                <c:pt idx="7">
                  <c:v>17.711911015852898</c:v>
                </c:pt>
                <c:pt idx="8">
                  <c:v>20.310203799105899</c:v>
                </c:pt>
                <c:pt idx="9">
                  <c:v>15.5711357091004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17-C949-B90F-38F2D52B2BA5}"/>
            </c:ext>
          </c:extLst>
        </c:ser>
        <c:ser>
          <c:idx val="3"/>
          <c:order val="1"/>
          <c:tx>
            <c:strRef>
              <c:f>'Policy+final cost'!$I$1</c:f>
              <c:strCache>
                <c:ptCount val="1"/>
                <c:pt idx="0">
                  <c:v>Electricity Subsidy (£/MWh)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cost'!$E$41:$E$50</c:f>
              <c:numCache>
                <c:formatCode>General</c:formatCode>
                <c:ptCount val="10"/>
                <c:pt idx="0">
                  <c:v>73.013864869431401</c:v>
                </c:pt>
                <c:pt idx="1">
                  <c:v>63.676748555312301</c:v>
                </c:pt>
                <c:pt idx="2">
                  <c:v>59.193475635146299</c:v>
                </c:pt>
                <c:pt idx="3">
                  <c:v>56.522386462861903</c:v>
                </c:pt>
                <c:pt idx="4">
                  <c:v>57.313747222372697</c:v>
                </c:pt>
                <c:pt idx="5">
                  <c:v>51.556216756283199</c:v>
                </c:pt>
                <c:pt idx="6">
                  <c:v>42.522169436034503</c:v>
                </c:pt>
                <c:pt idx="7">
                  <c:v>55.077778801552903</c:v>
                </c:pt>
                <c:pt idx="8">
                  <c:v>56.30018377191</c:v>
                </c:pt>
                <c:pt idx="9">
                  <c:v>62.6384537848406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17-C949-B90F-38F2D52B2BA5}"/>
            </c:ext>
          </c:extLst>
        </c:ser>
        <c:ser>
          <c:idx val="0"/>
          <c:order val="2"/>
          <c:tx>
            <c:strRef>
              <c:f>'Policy+final cost'!$B$1</c:f>
              <c:strCache>
                <c:ptCount val="1"/>
                <c:pt idx="0">
                  <c:v>Annual Grant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cost'!$G$41:$G$50</c:f>
              <c:numCache>
                <c:formatCode>General</c:formatCode>
                <c:ptCount val="10"/>
                <c:pt idx="0">
                  <c:v>17.628971568769298</c:v>
                </c:pt>
                <c:pt idx="1">
                  <c:v>21.420339014591999</c:v>
                </c:pt>
                <c:pt idx="2">
                  <c:v>24.186030638541499</c:v>
                </c:pt>
                <c:pt idx="3">
                  <c:v>24.841887818197701</c:v>
                </c:pt>
                <c:pt idx="4">
                  <c:v>15.8649634044738</c:v>
                </c:pt>
                <c:pt idx="5">
                  <c:v>17.842734907492801</c:v>
                </c:pt>
                <c:pt idx="6">
                  <c:v>16.390875721508799</c:v>
                </c:pt>
                <c:pt idx="7">
                  <c:v>5.8906778184586797</c:v>
                </c:pt>
                <c:pt idx="8">
                  <c:v>5.0137643375966698</c:v>
                </c:pt>
                <c:pt idx="9">
                  <c:v>5.0434800324185094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17-C949-B90F-38F2D52B2BA5}"/>
            </c:ext>
          </c:extLst>
        </c:ser>
        <c:ser>
          <c:idx val="4"/>
          <c:order val="3"/>
          <c:tx>
            <c:strRef>
              <c:f>'Policy+final cost'!$D$1</c:f>
              <c:strCache>
                <c:ptCount val="1"/>
                <c:pt idx="0">
                  <c:v>Gas Tax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cost'!$L$41:$L$50</c:f>
              <c:numCache>
                <c:formatCode>General</c:formatCode>
                <c:ptCount val="10"/>
                <c:pt idx="0">
                  <c:v>16.7610037653101</c:v>
                </c:pt>
                <c:pt idx="1">
                  <c:v>15.1964745993244</c:v>
                </c:pt>
                <c:pt idx="2">
                  <c:v>14.814344931881601</c:v>
                </c:pt>
                <c:pt idx="3">
                  <c:v>16.870507839136401</c:v>
                </c:pt>
                <c:pt idx="4">
                  <c:v>15.0842969756741</c:v>
                </c:pt>
                <c:pt idx="5">
                  <c:v>14.1139928263102</c:v>
                </c:pt>
                <c:pt idx="6">
                  <c:v>14.8320250162707</c:v>
                </c:pt>
                <c:pt idx="7">
                  <c:v>15.353813674701399</c:v>
                </c:pt>
                <c:pt idx="8">
                  <c:v>15.243189042840299</c:v>
                </c:pt>
                <c:pt idx="9">
                  <c:v>15.757150775576301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17-C949-B90F-38F2D52B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564175"/>
        <c:axId val="1115863503"/>
      </c:lineChart>
      <c:catAx>
        <c:axId val="127656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656619438182007"/>
              <c:y val="0.87428057749587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863503"/>
        <c:crosses val="autoZero"/>
        <c:auto val="1"/>
        <c:lblAlgn val="ctr"/>
        <c:lblOffset val="100"/>
        <c:noMultiLvlLbl val="0"/>
      </c:catAx>
      <c:valAx>
        <c:axId val="111586350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Policy (%, £/tCO2e and £/MWh)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64175"/>
        <c:crosses val="autoZero"/>
        <c:crossBetween val="between"/>
      </c:valAx>
      <c:valAx>
        <c:axId val="1102360287"/>
        <c:scaling>
          <c:orientation val="minMax"/>
          <c:max val="2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Cost to Government &amp; Industry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79487"/>
        <c:crosses val="max"/>
        <c:crossBetween val="between"/>
        <c:majorUnit val="50000000"/>
        <c:minorUnit val="5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catAx>
        <c:axId val="127657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360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705865384064863E-2"/>
          <c:y val="0.89606760726528267"/>
          <c:w val="0.95945189208281711"/>
          <c:h val="9.3345599875182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61728207985544"/>
          <c:y val="2.2004266784177374E-2"/>
          <c:w val="0.79311749995294278"/>
          <c:h val="0.7880257191837382"/>
        </c:manualLayout>
      </c:layout>
      <c:areaChart>
        <c:grouping val="stacked"/>
        <c:varyColors val="0"/>
        <c:ser>
          <c:idx val="1"/>
          <c:order val="2"/>
          <c:tx>
            <c:strRef>
              <c:f>'Policy+final cost'!$S$15</c:f>
              <c:strCache>
                <c:ptCount val="1"/>
                <c:pt idx="0">
                  <c:v>Market Share: Linear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cost'!$Q$3:$Q$12</c:f>
              <c:numCache>
                <c:formatCode>0%</c:formatCode>
                <c:ptCount val="10"/>
                <c:pt idx="0">
                  <c:v>0.01</c:v>
                </c:pt>
                <c:pt idx="1">
                  <c:v>0.05</c:v>
                </c:pt>
                <c:pt idx="2">
                  <c:v>0.14000000000000001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0.86</c:v>
                </c:pt>
                <c:pt idx="7">
                  <c:v>0.95</c:v>
                </c:pt>
                <c:pt idx="8">
                  <c:v>0.99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5-6247-9095-2DB2AA09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79487"/>
        <c:axId val="1102360287"/>
      </c:areaChart>
      <c:barChart>
        <c:barDir val="col"/>
        <c:grouping val="stacked"/>
        <c:varyColors val="0"/>
        <c:ser>
          <c:idx val="5"/>
          <c:order val="0"/>
          <c:tx>
            <c:strRef>
              <c:f>'Policy+final cost'!$T$2</c:f>
              <c:strCache>
                <c:ptCount val="1"/>
                <c:pt idx="0">
                  <c:v>Government Cost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cost'!$T$3:$T$12</c:f>
              <c:numCache>
                <c:formatCode>General</c:formatCode>
                <c:ptCount val="10"/>
                <c:pt idx="0">
                  <c:v>1583248.002963</c:v>
                </c:pt>
                <c:pt idx="1">
                  <c:v>14272108.078843299</c:v>
                </c:pt>
                <c:pt idx="2">
                  <c:v>48217628.812400199</c:v>
                </c:pt>
                <c:pt idx="3">
                  <c:v>91467511.552529007</c:v>
                </c:pt>
                <c:pt idx="4">
                  <c:v>117672985.589</c:v>
                </c:pt>
                <c:pt idx="5">
                  <c:v>85874932.352483898</c:v>
                </c:pt>
                <c:pt idx="6">
                  <c:v>29524646.969765801</c:v>
                </c:pt>
                <c:pt idx="7">
                  <c:v>4210984.9049846996</c:v>
                </c:pt>
                <c:pt idx="8">
                  <c:v>158899.562797972</c:v>
                </c:pt>
                <c:pt idx="9">
                  <c:v>142125.19410627699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5-6247-9095-2DB2AA0994FF}"/>
            </c:ext>
          </c:extLst>
        </c:ser>
        <c:ser>
          <c:idx val="6"/>
          <c:order val="1"/>
          <c:tx>
            <c:strRef>
              <c:f>'Policy+final cost'!$U$2</c:f>
              <c:strCache>
                <c:ptCount val="1"/>
                <c:pt idx="0">
                  <c:v>Industry Cost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'S-Curve '!$F$28:$F$37</c:f>
                <c:numCache>
                  <c:formatCode>General</c:formatCode>
                  <c:ptCount val="10"/>
                  <c:pt idx="0">
                    <c:v>-56129.054122941568</c:v>
                  </c:pt>
                  <c:pt idx="1">
                    <c:v>8115865.5697224066</c:v>
                  </c:pt>
                  <c:pt idx="2">
                    <c:v>9752340.4031109065</c:v>
                  </c:pt>
                  <c:pt idx="3">
                    <c:v>-991538.29583880305</c:v>
                  </c:pt>
                  <c:pt idx="4">
                    <c:v>-3512165.3289589882</c:v>
                  </c:pt>
                  <c:pt idx="5">
                    <c:v>-8127646.6785204411</c:v>
                  </c:pt>
                  <c:pt idx="6">
                    <c:v>-4259152.6018598005</c:v>
                  </c:pt>
                  <c:pt idx="7">
                    <c:v>-355995.49034341983</c:v>
                  </c:pt>
                  <c:pt idx="8">
                    <c:v>4748.7844981160015</c:v>
                  </c:pt>
                  <c:pt idx="9">
                    <c:v>502282.090265173</c:v>
                  </c:pt>
                </c:numCache>
              </c:numRef>
            </c:plus>
            <c:minus>
              <c:numRef>
                <c:f>'S-Curve '!$F$15:$F$24</c:f>
                <c:numCache>
                  <c:formatCode>General</c:formatCode>
                  <c:ptCount val="10"/>
                  <c:pt idx="0">
                    <c:v>313551.91454754397</c:v>
                  </c:pt>
                  <c:pt idx="1">
                    <c:v>-6972033.666629903</c:v>
                  </c:pt>
                  <c:pt idx="2">
                    <c:v>-6448851.0276631862</c:v>
                  </c:pt>
                  <c:pt idx="3">
                    <c:v>2569020.0284858942</c:v>
                  </c:pt>
                  <c:pt idx="4">
                    <c:v>12667521.233604014</c:v>
                  </c:pt>
                  <c:pt idx="5">
                    <c:v>10383941.205763221</c:v>
                  </c:pt>
                  <c:pt idx="6">
                    <c:v>-4193871.9222662002</c:v>
                  </c:pt>
                  <c:pt idx="7">
                    <c:v>-2304826.0478062406</c:v>
                  </c:pt>
                  <c:pt idx="8">
                    <c:v>16100.410147549002</c:v>
                  </c:pt>
                  <c:pt idx="9">
                    <c:v>-460583.70097379899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'Policy+final cost'!$A$3:$A$12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'Policy+final cost'!$U$3:$U$12</c:f>
              <c:numCache>
                <c:formatCode>General</c:formatCode>
                <c:ptCount val="10"/>
                <c:pt idx="0">
                  <c:v>7296257.5302060004</c:v>
                </c:pt>
                <c:pt idx="1">
                  <c:v>15910483.2769621</c:v>
                </c:pt>
                <c:pt idx="2">
                  <c:v>41543078.543430902</c:v>
                </c:pt>
                <c:pt idx="3">
                  <c:v>112320841.90674999</c:v>
                </c:pt>
                <c:pt idx="4">
                  <c:v>117479090.66875599</c:v>
                </c:pt>
                <c:pt idx="5">
                  <c:v>75341105.650528207</c:v>
                </c:pt>
                <c:pt idx="6">
                  <c:v>32690095.4328424</c:v>
                </c:pt>
                <c:pt idx="7">
                  <c:v>5129332.1237317398</c:v>
                </c:pt>
                <c:pt idx="8">
                  <c:v>271351.57751974399</c:v>
                </c:pt>
                <c:pt idx="9">
                  <c:v>225592.56526021601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5-6247-9095-2DB2AA09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564175"/>
        <c:axId val="1115863503"/>
      </c:barChart>
      <c:catAx>
        <c:axId val="127656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863503"/>
        <c:crosses val="autoZero"/>
        <c:auto val="1"/>
        <c:lblAlgn val="ctr"/>
        <c:lblOffset val="100"/>
        <c:noMultiLvlLbl val="0"/>
      </c:catAx>
      <c:valAx>
        <c:axId val="11158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Cost to Government &amp; Industry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6417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110236028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Market</a:t>
                </a:r>
                <a:r>
                  <a:rPr lang="en-GB" baseline="0"/>
                  <a:t>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79487"/>
        <c:crosses val="max"/>
        <c:crossBetween val="between"/>
      </c:valAx>
      <c:catAx>
        <c:axId val="127657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360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28711323371268E-2"/>
          <c:y val="0.89460445785626475"/>
          <c:w val="0.95103521935193625"/>
          <c:h val="9.1840034821486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2754981122089"/>
          <c:y val="1.8725999226174E-2"/>
          <c:w val="0.76706126311427025"/>
          <c:h val="0.826158563535096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MArket shares'!$C$1</c:f>
              <c:strCache>
                <c:ptCount val="1"/>
                <c:pt idx="0">
                  <c:v>Government Cost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'ALL MArket shares'!$A$16:$A$27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'ALL MArket shares'!$C$2:$C$13</c:f>
              <c:numCache>
                <c:formatCode>General</c:formatCode>
                <c:ptCount val="12"/>
                <c:pt idx="0">
                  <c:v>9495703.0726301596</c:v>
                </c:pt>
                <c:pt idx="1">
                  <c:v>21833493.2825392</c:v>
                </c:pt>
                <c:pt idx="2">
                  <c:v>52861444.119833402</c:v>
                </c:pt>
                <c:pt idx="3">
                  <c:v>84006037.640267</c:v>
                </c:pt>
                <c:pt idx="4">
                  <c:v>131444895.519683</c:v>
                </c:pt>
                <c:pt idx="5">
                  <c:v>175911803.8743</c:v>
                </c:pt>
                <c:pt idx="6">
                  <c:v>209379016.52407899</c:v>
                </c:pt>
                <c:pt idx="7">
                  <c:v>256997402.06432399</c:v>
                </c:pt>
                <c:pt idx="8">
                  <c:v>283314548.78846103</c:v>
                </c:pt>
                <c:pt idx="9">
                  <c:v>327218231.51961702</c:v>
                </c:pt>
                <c:pt idx="10">
                  <c:v>389172954.81524098</c:v>
                </c:pt>
                <c:pt idx="11">
                  <c:v>429835125.81838298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7-BD44-94FA-A54CE0584B48}"/>
            </c:ext>
          </c:extLst>
        </c:ser>
        <c:ser>
          <c:idx val="1"/>
          <c:order val="1"/>
          <c:tx>
            <c:strRef>
              <c:f>'ALL MArket shares'!$D$1</c:f>
              <c:strCache>
                <c:ptCount val="1"/>
                <c:pt idx="0">
                  <c:v>Industry Cost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'ALL MArket shares'!$A$16:$A$27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'ALL MArket shares'!$D$2:$D$13</c:f>
              <c:numCache>
                <c:formatCode>General</c:formatCode>
                <c:ptCount val="12"/>
                <c:pt idx="0">
                  <c:v>8359631.8431757595</c:v>
                </c:pt>
                <c:pt idx="1">
                  <c:v>21688854.991080798</c:v>
                </c:pt>
                <c:pt idx="2">
                  <c:v>42298036.904071301</c:v>
                </c:pt>
                <c:pt idx="3">
                  <c:v>89398425.051886305</c:v>
                </c:pt>
                <c:pt idx="4">
                  <c:v>127684508.199264</c:v>
                </c:pt>
                <c:pt idx="5">
                  <c:v>170146734.26216701</c:v>
                </c:pt>
                <c:pt idx="6">
                  <c:v>210630285.07104099</c:v>
                </c:pt>
                <c:pt idx="7">
                  <c:v>252157271.77210101</c:v>
                </c:pt>
                <c:pt idx="8">
                  <c:v>308124135.41815102</c:v>
                </c:pt>
                <c:pt idx="9">
                  <c:v>359686122.62627</c:v>
                </c:pt>
                <c:pt idx="10">
                  <c:v>384520670.94393301</c:v>
                </c:pt>
                <c:pt idx="11">
                  <c:v>436493086.497006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7-BD44-94FA-A54CE058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4839088"/>
        <c:axId val="1761619328"/>
      </c:barChart>
      <c:lineChart>
        <c:grouping val="standard"/>
        <c:varyColors val="0"/>
        <c:ser>
          <c:idx val="2"/>
          <c:order val="2"/>
          <c:tx>
            <c:strRef>
              <c:f>'ALL MArket shares'!$B$15</c:f>
              <c:strCache>
                <c:ptCount val="1"/>
                <c:pt idx="0">
                  <c:v>Annual Grant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MArket shares'!$A$16:$A$27</c:f>
              <c:numCache>
                <c:formatCode>0%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'ALL MArket shares'!$B$16:$B$27</c:f>
              <c:numCache>
                <c:formatCode>General</c:formatCode>
                <c:ptCount val="12"/>
                <c:pt idx="0">
                  <c:v>11.590320288698599</c:v>
                </c:pt>
                <c:pt idx="1">
                  <c:v>11.590345180730401</c:v>
                </c:pt>
                <c:pt idx="2">
                  <c:v>11.594345151310399</c:v>
                </c:pt>
                <c:pt idx="3">
                  <c:v>11.5620414041743</c:v>
                </c:pt>
                <c:pt idx="4">
                  <c:v>11.5903364185156</c:v>
                </c:pt>
                <c:pt idx="5">
                  <c:v>11.6181314292318</c:v>
                </c:pt>
                <c:pt idx="6">
                  <c:v>11.554936862734399</c:v>
                </c:pt>
                <c:pt idx="7">
                  <c:v>11.5759267125081</c:v>
                </c:pt>
                <c:pt idx="8">
                  <c:v>11.655954798571299</c:v>
                </c:pt>
                <c:pt idx="9">
                  <c:v>11.590167186148699</c:v>
                </c:pt>
                <c:pt idx="10">
                  <c:v>11.586129197404199</c:v>
                </c:pt>
                <c:pt idx="11">
                  <c:v>11.5902129331665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7-BD44-94FA-A54CE0584B48}"/>
            </c:ext>
          </c:extLst>
        </c:ser>
        <c:ser>
          <c:idx val="3"/>
          <c:order val="3"/>
          <c:tx>
            <c:strRef>
              <c:f>'ALL MArket shares'!$C$15</c:f>
              <c:strCache>
                <c:ptCount val="1"/>
                <c:pt idx="0">
                  <c:v>Gas Tax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'ALL MArket shares'!$C$16:$C$27</c:f>
              <c:numCache>
                <c:formatCode>General</c:formatCode>
                <c:ptCount val="12"/>
                <c:pt idx="0">
                  <c:v>10.3785019444911</c:v>
                </c:pt>
                <c:pt idx="1">
                  <c:v>10.3731103410916</c:v>
                </c:pt>
                <c:pt idx="2">
                  <c:v>10.4033879070981</c:v>
                </c:pt>
                <c:pt idx="3">
                  <c:v>10.384325585544801</c:v>
                </c:pt>
                <c:pt idx="4">
                  <c:v>10.375675507010101</c:v>
                </c:pt>
                <c:pt idx="5">
                  <c:v>10.403659845753401</c:v>
                </c:pt>
                <c:pt idx="6">
                  <c:v>10.400556866077</c:v>
                </c:pt>
                <c:pt idx="7">
                  <c:v>10.403488466964999</c:v>
                </c:pt>
                <c:pt idx="8">
                  <c:v>10.600789448955201</c:v>
                </c:pt>
                <c:pt idx="9">
                  <c:v>10.349281185045999</c:v>
                </c:pt>
                <c:pt idx="10">
                  <c:v>10.4043779685926</c:v>
                </c:pt>
                <c:pt idx="11">
                  <c:v>10.361435807687499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7-BD44-94FA-A54CE0584B48}"/>
            </c:ext>
          </c:extLst>
        </c:ser>
        <c:ser>
          <c:idx val="4"/>
          <c:order val="4"/>
          <c:tx>
            <c:strRef>
              <c:f>'ALL MArket shares'!$D$15</c:f>
              <c:strCache>
                <c:ptCount val="1"/>
                <c:pt idx="0">
                  <c:v>Electricity Subsidy (£/MWh)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'ALL MArket shares'!$E$16:$E$27</c:f>
              <c:numCache>
                <c:formatCode>General</c:formatCode>
                <c:ptCount val="12"/>
                <c:pt idx="0">
                  <c:v>75.043811120673894</c:v>
                </c:pt>
                <c:pt idx="1">
                  <c:v>74.654008015505198</c:v>
                </c:pt>
                <c:pt idx="2">
                  <c:v>75.173645553763308</c:v>
                </c:pt>
                <c:pt idx="3">
                  <c:v>74.081279922289596</c:v>
                </c:pt>
                <c:pt idx="4">
                  <c:v>74.816933102417508</c:v>
                </c:pt>
                <c:pt idx="5">
                  <c:v>75.163574189328102</c:v>
                </c:pt>
                <c:pt idx="6">
                  <c:v>74.831177361042904</c:v>
                </c:pt>
                <c:pt idx="7">
                  <c:v>75.139816134331497</c:v>
                </c:pt>
                <c:pt idx="8">
                  <c:v>74.012586361501803</c:v>
                </c:pt>
                <c:pt idx="9">
                  <c:v>74.126376891106503</c:v>
                </c:pt>
                <c:pt idx="10">
                  <c:v>75.1558884590942</c:v>
                </c:pt>
                <c:pt idx="11">
                  <c:v>74.635606671246805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7-BD44-94FA-A54CE0584B48}"/>
            </c:ext>
          </c:extLst>
        </c:ser>
        <c:ser>
          <c:idx val="5"/>
          <c:order val="5"/>
          <c:tx>
            <c:strRef>
              <c:f>'ALL MArket shares'!$F$15</c:f>
              <c:strCache>
                <c:ptCount val="1"/>
                <c:pt idx="0">
                  <c:v>Carbon Tax (£/tCO2e)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'ALL MArket shares'!$F$16:$F$27</c:f>
              <c:numCache>
                <c:formatCode>General</c:formatCode>
                <c:ptCount val="12"/>
                <c:pt idx="0">
                  <c:v>23.006000301423899</c:v>
                </c:pt>
                <c:pt idx="1">
                  <c:v>23.463740794443599</c:v>
                </c:pt>
                <c:pt idx="2">
                  <c:v>22.8442202458466</c:v>
                </c:pt>
                <c:pt idx="3">
                  <c:v>24.1380166645305</c:v>
                </c:pt>
                <c:pt idx="4">
                  <c:v>23.272310418124</c:v>
                </c:pt>
                <c:pt idx="5">
                  <c:v>22.848194046510301</c:v>
                </c:pt>
                <c:pt idx="6">
                  <c:v>23.257730249523298</c:v>
                </c:pt>
                <c:pt idx="7">
                  <c:v>22.889166795259001</c:v>
                </c:pt>
                <c:pt idx="8">
                  <c:v>24.115063379255599</c:v>
                </c:pt>
                <c:pt idx="9">
                  <c:v>24.089187588318602</c:v>
                </c:pt>
                <c:pt idx="10">
                  <c:v>22.8670428929675</c:v>
                </c:pt>
                <c:pt idx="11">
                  <c:v>23.489390545236098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7-BD44-94FA-A54CE058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565103"/>
        <c:axId val="1318864143"/>
      </c:lineChart>
      <c:catAx>
        <c:axId val="127656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Market Share of Eletric Boiler</a:t>
                </a:r>
              </a:p>
            </c:rich>
          </c:tx>
          <c:layout>
            <c:manualLayout>
              <c:xMode val="edge"/>
              <c:yMode val="edge"/>
              <c:x val="0.38816857408730382"/>
              <c:y val="0.88615003866671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864143"/>
        <c:crosses val="autoZero"/>
        <c:auto val="1"/>
        <c:lblAlgn val="ctr"/>
        <c:lblOffset val="100"/>
        <c:noMultiLvlLbl val="0"/>
      </c:catAx>
      <c:valAx>
        <c:axId val="131886414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Policy (%, £/tCO2e and £/MWh)</a:t>
                </a:r>
              </a:p>
            </c:rich>
          </c:tx>
          <c:layout>
            <c:manualLayout>
              <c:xMode val="edge"/>
              <c:yMode val="edge"/>
              <c:x val="9.9681412618559846E-3"/>
              <c:y val="0.33134922138126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65103"/>
        <c:crosses val="autoZero"/>
        <c:crossBetween val="between"/>
      </c:valAx>
      <c:valAx>
        <c:axId val="1761619328"/>
        <c:scaling>
          <c:orientation val="minMax"/>
          <c:max val="9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Cost to Goverrment &amp; industry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4839088"/>
        <c:crosses val="max"/>
        <c:crossBetween val="between"/>
        <c:minorUnit val="5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catAx>
        <c:axId val="96483908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6161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260735330972977E-2"/>
          <c:y val="0.92000192719054452"/>
          <c:w val="0.96197462606485284"/>
          <c:h val="6.2052684079882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Switching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'Switching Linear'!$J$2</c:f>
              <c:strCache>
                <c:ptCount val="1"/>
                <c:pt idx="0">
                  <c:v>Cluster_1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Linear'!$J$3:$J$12</c:f>
              <c:numCache>
                <c:formatCode>0%</c:formatCode>
                <c:ptCount val="10"/>
                <c:pt idx="0">
                  <c:v>0.95726495726495731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1.7094017094017096E-2</c:v>
                </c:pt>
                <c:pt idx="5">
                  <c:v>2.564102564102564E-2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C-EC42-8E80-9119A392DDFA}"/>
            </c:ext>
          </c:extLst>
        </c:ser>
        <c:ser>
          <c:idx val="1"/>
          <c:order val="1"/>
          <c:tx>
            <c:strRef>
              <c:f>'Switching Linear'!$K$2</c:f>
              <c:strCache>
                <c:ptCount val="1"/>
                <c:pt idx="0">
                  <c:v> Cluster_5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Linear'!$K$3:$K$12</c:f>
              <c:numCache>
                <c:formatCode>0%</c:formatCode>
                <c:ptCount val="10"/>
                <c:pt idx="0">
                  <c:v>0.50370370370370365</c:v>
                </c:pt>
                <c:pt idx="1">
                  <c:v>0</c:v>
                </c:pt>
                <c:pt idx="2">
                  <c:v>0</c:v>
                </c:pt>
                <c:pt idx="3">
                  <c:v>0.12962962962962962</c:v>
                </c:pt>
                <c:pt idx="4">
                  <c:v>0.18518518518518517</c:v>
                </c:pt>
                <c:pt idx="5">
                  <c:v>8.1481481481481488E-2</c:v>
                </c:pt>
                <c:pt idx="6">
                  <c:v>5.9259259259259262E-2</c:v>
                </c:pt>
                <c:pt idx="7">
                  <c:v>2.5925925925925925E-2</c:v>
                </c:pt>
                <c:pt idx="8">
                  <c:v>1.1111111111111112E-2</c:v>
                </c:pt>
                <c:pt idx="9">
                  <c:v>3.7037037037037038E-3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C-EC42-8E80-9119A392DDFA}"/>
            </c:ext>
          </c:extLst>
        </c:ser>
        <c:ser>
          <c:idx val="2"/>
          <c:order val="2"/>
          <c:tx>
            <c:strRef>
              <c:f>'Switching Linear'!$L$2</c:f>
              <c:strCache>
                <c:ptCount val="1"/>
                <c:pt idx="0">
                  <c:v>Cluster_9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Linear'!$L$3:$L$12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0.84090909090909094</c:v>
                </c:pt>
                <c:pt idx="4">
                  <c:v>0</c:v>
                </c:pt>
                <c:pt idx="5">
                  <c:v>0.15909090909090909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C-EC42-8E80-9119A392DDFA}"/>
            </c:ext>
          </c:extLst>
        </c:ser>
        <c:ser>
          <c:idx val="3"/>
          <c:order val="3"/>
          <c:tx>
            <c:strRef>
              <c:f>'Switching Linear'!$M$2</c:f>
              <c:strCache>
                <c:ptCount val="1"/>
                <c:pt idx="0">
                  <c:v>Cluster_15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Linear'!$M$3:$M$12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0.61904761904761907</c:v>
                </c:pt>
                <c:pt idx="5">
                  <c:v>0.19047619047619047</c:v>
                </c:pt>
                <c:pt idx="6">
                  <c:v>0.19047619047619047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C-EC42-8E80-9119A392DDFA}"/>
            </c:ext>
          </c:extLst>
        </c:ser>
        <c:ser>
          <c:idx val="4"/>
          <c:order val="4"/>
          <c:tx>
            <c:strRef>
              <c:f>'Switching Linear'!$N$2</c:f>
              <c:strCache>
                <c:ptCount val="1"/>
                <c:pt idx="0">
                  <c:v>Cluster_30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Linear'!$N$3:$N$12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0.41666666666666669</c:v>
                </c:pt>
                <c:pt idx="4">
                  <c:v>0.33333333333333331</c:v>
                </c:pt>
                <c:pt idx="5">
                  <c:v>0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4C-EC42-8E80-9119A392DDFA}"/>
            </c:ext>
          </c:extLst>
        </c:ser>
        <c:ser>
          <c:idx val="5"/>
          <c:order val="5"/>
          <c:tx>
            <c:strRef>
              <c:f>'Switching Linear'!$O$2</c:f>
              <c:strCache>
                <c:ptCount val="1"/>
                <c:pt idx="0">
                  <c:v>Cluster_60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Linear'!$O$3:$O$12</c:f>
              <c:numCache>
                <c:formatCode>0%</c:formatCode>
                <c:ptCount val="10"/>
                <c:pt idx="0">
                  <c:v>0</c:v>
                </c:pt>
                <c:pt idx="1">
                  <c:v>0.34615384615384615</c:v>
                </c:pt>
                <c:pt idx="2">
                  <c:v>0.46153846153846156</c:v>
                </c:pt>
                <c:pt idx="3">
                  <c:v>7.6923076923076927E-2</c:v>
                </c:pt>
                <c:pt idx="4">
                  <c:v>0</c:v>
                </c:pt>
                <c:pt idx="5">
                  <c:v>0.11538461538461539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4C-EC42-8E80-9119A392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285279"/>
        <c:axId val="1381618943"/>
      </c:barChart>
      <c:catAx>
        <c:axId val="145628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18943"/>
        <c:crosses val="autoZero"/>
        <c:auto val="1"/>
        <c:lblAlgn val="ctr"/>
        <c:lblOffset val="100"/>
        <c:noMultiLvlLbl val="0"/>
      </c:catAx>
      <c:valAx>
        <c:axId val="13816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Switch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8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Curve</a:t>
            </a:r>
            <a:r>
              <a:rPr lang="en-GB" baseline="0"/>
              <a:t> Switching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'Switching Linear'!$J$2</c:f>
              <c:strCache>
                <c:ptCount val="1"/>
                <c:pt idx="0">
                  <c:v>Cluster_1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Linear'!$J$19:$J$28</c:f>
              <c:numCache>
                <c:formatCode>0%</c:formatCode>
                <c:ptCount val="10"/>
                <c:pt idx="0">
                  <c:v>0.36752136752136755</c:v>
                </c:pt>
                <c:pt idx="1">
                  <c:v>0</c:v>
                </c:pt>
                <c:pt idx="2">
                  <c:v>0</c:v>
                </c:pt>
                <c:pt idx="3">
                  <c:v>0.11965811965811966</c:v>
                </c:pt>
                <c:pt idx="4">
                  <c:v>0.47863247863247865</c:v>
                </c:pt>
                <c:pt idx="5">
                  <c:v>3.4188034188034191E-2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6-1348-BB9E-F64D489DEC49}"/>
            </c:ext>
          </c:extLst>
        </c:ser>
        <c:ser>
          <c:idx val="1"/>
          <c:order val="1"/>
          <c:tx>
            <c:strRef>
              <c:f>'Switching Linear'!$K$2</c:f>
              <c:strCache>
                <c:ptCount val="1"/>
                <c:pt idx="0">
                  <c:v> Cluster_5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Linear'!$K$19:$K$28</c:f>
              <c:numCache>
                <c:formatCode>0%</c:formatCode>
                <c:ptCount val="10"/>
                <c:pt idx="0">
                  <c:v>0</c:v>
                </c:pt>
                <c:pt idx="1">
                  <c:v>1.8518518518518517E-2</c:v>
                </c:pt>
                <c:pt idx="2">
                  <c:v>0</c:v>
                </c:pt>
                <c:pt idx="3">
                  <c:v>0.38518518518518519</c:v>
                </c:pt>
                <c:pt idx="4">
                  <c:v>3.7037037037037038E-3</c:v>
                </c:pt>
                <c:pt idx="5">
                  <c:v>1.8518518518518517E-2</c:v>
                </c:pt>
                <c:pt idx="6">
                  <c:v>0.48518518518518516</c:v>
                </c:pt>
                <c:pt idx="7">
                  <c:v>8.1481481481481488E-2</c:v>
                </c:pt>
                <c:pt idx="8">
                  <c:v>3.7037037037037038E-3</c:v>
                </c:pt>
                <c:pt idx="9">
                  <c:v>3.7037037037037038E-3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6-1348-BB9E-F64D489DEC49}"/>
            </c:ext>
          </c:extLst>
        </c:ser>
        <c:ser>
          <c:idx val="2"/>
          <c:order val="2"/>
          <c:tx>
            <c:strRef>
              <c:f>'Switching Linear'!$L$2</c:f>
              <c:strCache>
                <c:ptCount val="1"/>
                <c:pt idx="0">
                  <c:v>Cluster_9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Linear'!$L$19:$L$28</c:f>
              <c:numCache>
                <c:formatCode>0%</c:formatCode>
                <c:ptCount val="10"/>
                <c:pt idx="0">
                  <c:v>0</c:v>
                </c:pt>
                <c:pt idx="1">
                  <c:v>6.8181818181818177E-2</c:v>
                </c:pt>
                <c:pt idx="2">
                  <c:v>0</c:v>
                </c:pt>
                <c:pt idx="3">
                  <c:v>0.93181818181818177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6-1348-BB9E-F64D489DEC49}"/>
            </c:ext>
          </c:extLst>
        </c:ser>
        <c:ser>
          <c:idx val="3"/>
          <c:order val="3"/>
          <c:tx>
            <c:strRef>
              <c:f>'Switching Linear'!$M$2</c:f>
              <c:strCache>
                <c:ptCount val="1"/>
                <c:pt idx="0">
                  <c:v>Cluster_15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Linear'!$M$19:$M$28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0.23809523809523808</c:v>
                </c:pt>
                <c:pt idx="4">
                  <c:v>0</c:v>
                </c:pt>
                <c:pt idx="5">
                  <c:v>0.76190476190476186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6-1348-BB9E-F64D489DEC49}"/>
            </c:ext>
          </c:extLst>
        </c:ser>
        <c:ser>
          <c:idx val="4"/>
          <c:order val="4"/>
          <c:tx>
            <c:strRef>
              <c:f>'Switching Linear'!$N$2</c:f>
              <c:strCache>
                <c:ptCount val="1"/>
                <c:pt idx="0">
                  <c:v>Cluster_30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Linear'!$N$19:$N$28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6-1348-BB9E-F64D489DEC49}"/>
            </c:ext>
          </c:extLst>
        </c:ser>
        <c:ser>
          <c:idx val="5"/>
          <c:order val="5"/>
          <c:tx>
            <c:strRef>
              <c:f>'Switching Linear'!$O$2</c:f>
              <c:strCache>
                <c:ptCount val="1"/>
                <c:pt idx="0">
                  <c:v>Cluster_60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Linear'!$O$19:$O$28</c:f>
              <c:numCache>
                <c:formatCode>0%</c:formatCode>
                <c:ptCount val="10"/>
                <c:pt idx="0">
                  <c:v>0</c:v>
                </c:pt>
                <c:pt idx="1">
                  <c:v>3.8461538461538464E-2</c:v>
                </c:pt>
                <c:pt idx="2">
                  <c:v>0.23076923076923078</c:v>
                </c:pt>
                <c:pt idx="3">
                  <c:v>0</c:v>
                </c:pt>
                <c:pt idx="4">
                  <c:v>0.65384615384615385</c:v>
                </c:pt>
                <c:pt idx="5">
                  <c:v>7.6923076923076927E-2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6-1348-BB9E-F64D489DE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285279"/>
        <c:axId val="1381618943"/>
      </c:barChart>
      <c:catAx>
        <c:axId val="145628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18943"/>
        <c:crosses val="autoZero"/>
        <c:auto val="1"/>
        <c:lblAlgn val="ctr"/>
        <c:lblOffset val="100"/>
        <c:noMultiLvlLbl val="0"/>
      </c:catAx>
      <c:valAx>
        <c:axId val="13816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Switch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8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75735882466294"/>
          <c:y val="1.3226707286113226E-2"/>
          <c:w val="0.64877760308032206"/>
          <c:h val="0.8843726073927125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'Switching Linear'!$K$1</c:f>
              <c:strCache>
                <c:ptCount val="1"/>
                <c:pt idx="0">
                  <c:v>1 MW Cluster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Linear'!$J$3:$J$12</c:f>
              <c:numCache>
                <c:formatCode>0%</c:formatCode>
                <c:ptCount val="10"/>
                <c:pt idx="0">
                  <c:v>0.95726495726495731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1.7094017094017096E-2</c:v>
                </c:pt>
                <c:pt idx="5">
                  <c:v>2.564102564102564E-2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7-3649-8F81-B13C626C7FD3}"/>
            </c:ext>
          </c:extLst>
        </c:ser>
        <c:ser>
          <c:idx val="1"/>
          <c:order val="1"/>
          <c:tx>
            <c:strRef>
              <c:f>'Switching Linear'!$L$1</c:f>
              <c:strCache>
                <c:ptCount val="1"/>
                <c:pt idx="0">
                  <c:v>5 MW Cluster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Linear'!$K$3:$K$12</c:f>
              <c:numCache>
                <c:formatCode>0%</c:formatCode>
                <c:ptCount val="10"/>
                <c:pt idx="0">
                  <c:v>0.50370370370370365</c:v>
                </c:pt>
                <c:pt idx="1">
                  <c:v>0</c:v>
                </c:pt>
                <c:pt idx="2">
                  <c:v>0</c:v>
                </c:pt>
                <c:pt idx="3">
                  <c:v>0.12962962962962962</c:v>
                </c:pt>
                <c:pt idx="4">
                  <c:v>0.18518518518518517</c:v>
                </c:pt>
                <c:pt idx="5">
                  <c:v>8.1481481481481488E-2</c:v>
                </c:pt>
                <c:pt idx="6">
                  <c:v>5.9259259259259262E-2</c:v>
                </c:pt>
                <c:pt idx="7">
                  <c:v>2.5925925925925925E-2</c:v>
                </c:pt>
                <c:pt idx="8">
                  <c:v>1.1111111111111112E-2</c:v>
                </c:pt>
                <c:pt idx="9">
                  <c:v>3.7037037037037038E-3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7-3649-8F81-B13C626C7FD3}"/>
            </c:ext>
          </c:extLst>
        </c:ser>
        <c:ser>
          <c:idx val="2"/>
          <c:order val="2"/>
          <c:tx>
            <c:strRef>
              <c:f>'Switching Linear'!$M$1</c:f>
              <c:strCache>
                <c:ptCount val="1"/>
                <c:pt idx="0">
                  <c:v>9 MW Cluster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Linear'!$L$3:$L$12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0.84090909090909094</c:v>
                </c:pt>
                <c:pt idx="4">
                  <c:v>0</c:v>
                </c:pt>
                <c:pt idx="5">
                  <c:v>0.15909090909090909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7-3649-8F81-B13C626C7FD3}"/>
            </c:ext>
          </c:extLst>
        </c:ser>
        <c:ser>
          <c:idx val="3"/>
          <c:order val="3"/>
          <c:tx>
            <c:strRef>
              <c:f>'Switching Linear'!$N$1</c:f>
              <c:strCache>
                <c:ptCount val="1"/>
                <c:pt idx="0">
                  <c:v>15 MW Cluster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Linear'!$M$3:$M$12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0.61904761904761907</c:v>
                </c:pt>
                <c:pt idx="5">
                  <c:v>0.19047619047619047</c:v>
                </c:pt>
                <c:pt idx="6">
                  <c:v>0.19047619047619047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7-3649-8F81-B13C626C7FD3}"/>
            </c:ext>
          </c:extLst>
        </c:ser>
        <c:ser>
          <c:idx val="4"/>
          <c:order val="4"/>
          <c:tx>
            <c:strRef>
              <c:f>'Switching Linear'!$O$1</c:f>
              <c:strCache>
                <c:ptCount val="1"/>
                <c:pt idx="0">
                  <c:v>30 MW Cluster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Linear'!$N$3:$N$12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0.41666666666666669</c:v>
                </c:pt>
                <c:pt idx="4">
                  <c:v>0.33333333333333331</c:v>
                </c:pt>
                <c:pt idx="5">
                  <c:v>0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7-3649-8F81-B13C626C7FD3}"/>
            </c:ext>
          </c:extLst>
        </c:ser>
        <c:ser>
          <c:idx val="5"/>
          <c:order val="5"/>
          <c:tx>
            <c:strRef>
              <c:f>'Switching Linear'!$P$1</c:f>
              <c:strCache>
                <c:ptCount val="1"/>
                <c:pt idx="0">
                  <c:v>60 MW Cluster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Linear'!$I$3:$I$12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Linear'!$O$3:$O$12</c:f>
              <c:numCache>
                <c:formatCode>0%</c:formatCode>
                <c:ptCount val="10"/>
                <c:pt idx="0">
                  <c:v>0</c:v>
                </c:pt>
                <c:pt idx="1">
                  <c:v>0.34615384615384615</c:v>
                </c:pt>
                <c:pt idx="2">
                  <c:v>0.46153846153846156</c:v>
                </c:pt>
                <c:pt idx="3">
                  <c:v>7.6923076923076927E-2</c:v>
                </c:pt>
                <c:pt idx="4">
                  <c:v>0</c:v>
                </c:pt>
                <c:pt idx="5">
                  <c:v>0.11538461538461539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87-3649-8F81-B13C626C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6285279"/>
        <c:axId val="1381618943"/>
        <c:axId val="1458805279"/>
      </c:bar3DChart>
      <c:catAx>
        <c:axId val="145628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Years</a:t>
                </a:r>
              </a:p>
            </c:rich>
          </c:tx>
          <c:layout>
            <c:manualLayout>
              <c:xMode val="edge"/>
              <c:yMode val="edge"/>
              <c:x val="0.29174768457459499"/>
              <c:y val="0.84100984800448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1618943"/>
        <c:crosses val="autoZero"/>
        <c:auto val="1"/>
        <c:lblAlgn val="ctr"/>
        <c:lblOffset val="100"/>
        <c:noMultiLvlLbl val="0"/>
      </c:catAx>
      <c:valAx>
        <c:axId val="13816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Percentage Switch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6285279"/>
        <c:crosses val="autoZero"/>
        <c:crossBetween val="between"/>
      </c:valAx>
      <c:serAx>
        <c:axId val="1458805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1618943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119088079280886"/>
          <c:y val="0.16264307931570762"/>
          <c:w val="0.20200738846714453"/>
          <c:h val="0.41071096885735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434630424057096"/>
          <c:y val="2.3798495833534845E-2"/>
          <c:w val="0.66707734118545947"/>
          <c:h val="0.8586514564370449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'Switching Linear'!$K$1</c:f>
              <c:strCache>
                <c:ptCount val="1"/>
                <c:pt idx="0">
                  <c:v>1 MW Cluster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Linear'!$J$19:$J$28</c:f>
              <c:numCache>
                <c:formatCode>0%</c:formatCode>
                <c:ptCount val="10"/>
                <c:pt idx="0">
                  <c:v>0.36752136752136755</c:v>
                </c:pt>
                <c:pt idx="1">
                  <c:v>0</c:v>
                </c:pt>
                <c:pt idx="2">
                  <c:v>0</c:v>
                </c:pt>
                <c:pt idx="3">
                  <c:v>0.11965811965811966</c:v>
                </c:pt>
                <c:pt idx="4">
                  <c:v>0.47863247863247865</c:v>
                </c:pt>
                <c:pt idx="5">
                  <c:v>3.4188034188034191E-2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1-AA4B-9160-E9FC70C70188}"/>
            </c:ext>
          </c:extLst>
        </c:ser>
        <c:ser>
          <c:idx val="1"/>
          <c:order val="1"/>
          <c:tx>
            <c:strRef>
              <c:f>'Switching Linear'!$L$1</c:f>
              <c:strCache>
                <c:ptCount val="1"/>
                <c:pt idx="0">
                  <c:v>5 MW Cluster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Linear'!$K$19:$K$28</c:f>
              <c:numCache>
                <c:formatCode>0%</c:formatCode>
                <c:ptCount val="10"/>
                <c:pt idx="0">
                  <c:v>0</c:v>
                </c:pt>
                <c:pt idx="1">
                  <c:v>1.8518518518518517E-2</c:v>
                </c:pt>
                <c:pt idx="2">
                  <c:v>0</c:v>
                </c:pt>
                <c:pt idx="3">
                  <c:v>0.38518518518518519</c:v>
                </c:pt>
                <c:pt idx="4">
                  <c:v>3.7037037037037038E-3</c:v>
                </c:pt>
                <c:pt idx="5">
                  <c:v>1.8518518518518517E-2</c:v>
                </c:pt>
                <c:pt idx="6">
                  <c:v>0.48518518518518516</c:v>
                </c:pt>
                <c:pt idx="7">
                  <c:v>8.1481481481481488E-2</c:v>
                </c:pt>
                <c:pt idx="8">
                  <c:v>3.7037037037037038E-3</c:v>
                </c:pt>
                <c:pt idx="9">
                  <c:v>3.7037037037037038E-3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1-AA4B-9160-E9FC70C70188}"/>
            </c:ext>
          </c:extLst>
        </c:ser>
        <c:ser>
          <c:idx val="2"/>
          <c:order val="2"/>
          <c:tx>
            <c:strRef>
              <c:f>'Switching Linear'!$M$1</c:f>
              <c:strCache>
                <c:ptCount val="1"/>
                <c:pt idx="0">
                  <c:v>9 MW Cluster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Linear'!$L$19:$L$28</c:f>
              <c:numCache>
                <c:formatCode>0%</c:formatCode>
                <c:ptCount val="10"/>
                <c:pt idx="0">
                  <c:v>0</c:v>
                </c:pt>
                <c:pt idx="1">
                  <c:v>6.8181818181818177E-2</c:v>
                </c:pt>
                <c:pt idx="2">
                  <c:v>0</c:v>
                </c:pt>
                <c:pt idx="3">
                  <c:v>0.93181818181818177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1-AA4B-9160-E9FC70C70188}"/>
            </c:ext>
          </c:extLst>
        </c:ser>
        <c:ser>
          <c:idx val="3"/>
          <c:order val="3"/>
          <c:tx>
            <c:strRef>
              <c:f>'Switching Linear'!$N$1</c:f>
              <c:strCache>
                <c:ptCount val="1"/>
                <c:pt idx="0">
                  <c:v>15 MW Cluster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Linear'!$M$19:$M$28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0.23809523809523808</c:v>
                </c:pt>
                <c:pt idx="4">
                  <c:v>0</c:v>
                </c:pt>
                <c:pt idx="5">
                  <c:v>0.76190476190476186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21-AA4B-9160-E9FC70C70188}"/>
            </c:ext>
          </c:extLst>
        </c:ser>
        <c:ser>
          <c:idx val="4"/>
          <c:order val="4"/>
          <c:tx>
            <c:strRef>
              <c:f>'Switching Linear'!$O$1</c:f>
              <c:strCache>
                <c:ptCount val="1"/>
                <c:pt idx="0">
                  <c:v>30 MW Cluster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Linear'!$N$19:$N$28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21-AA4B-9160-E9FC70C70188}"/>
            </c:ext>
          </c:extLst>
        </c:ser>
        <c:ser>
          <c:idx val="5"/>
          <c:order val="5"/>
          <c:tx>
            <c:strRef>
              <c:f>'Switching Linear'!$P$1</c:f>
              <c:strCache>
                <c:ptCount val="1"/>
                <c:pt idx="0">
                  <c:v>60 MW Cluster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'Switching Linear'!$I$19:$I$28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'Switching Linear'!$O$19:$O$28</c:f>
              <c:numCache>
                <c:formatCode>0%</c:formatCode>
                <c:ptCount val="10"/>
                <c:pt idx="0">
                  <c:v>0</c:v>
                </c:pt>
                <c:pt idx="1">
                  <c:v>3.8461538461538464E-2</c:v>
                </c:pt>
                <c:pt idx="2">
                  <c:v>0.23076923076923078</c:v>
                </c:pt>
                <c:pt idx="3">
                  <c:v>0</c:v>
                </c:pt>
                <c:pt idx="4">
                  <c:v>0.65384615384615385</c:v>
                </c:pt>
                <c:pt idx="5">
                  <c:v>7.6923076923076927E-2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21-AA4B-9160-E9FC70C7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6285279"/>
        <c:axId val="1381618943"/>
        <c:axId val="1458805279"/>
      </c:bar3DChart>
      <c:catAx>
        <c:axId val="145628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Years</a:t>
                </a:r>
              </a:p>
            </c:rich>
          </c:tx>
          <c:layout>
            <c:manualLayout>
              <c:xMode val="edge"/>
              <c:yMode val="edge"/>
              <c:x val="0.29206945893065644"/>
              <c:y val="0.81978841309496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1618943"/>
        <c:crosses val="autoZero"/>
        <c:auto val="1"/>
        <c:lblAlgn val="ctr"/>
        <c:lblOffset val="100"/>
        <c:noMultiLvlLbl val="0"/>
      </c:catAx>
      <c:valAx>
        <c:axId val="13816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Percentage Switch</a:t>
                </a:r>
              </a:p>
            </c:rich>
          </c:tx>
          <c:layout>
            <c:manualLayout>
              <c:xMode val="edge"/>
              <c:yMode val="edge"/>
              <c:x val="3.8853992003521141E-3"/>
              <c:y val="0.33568890057822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6285279"/>
        <c:crosses val="autoZero"/>
        <c:crossBetween val="between"/>
      </c:valAx>
      <c:serAx>
        <c:axId val="14588052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1618943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212244738561479"/>
          <c:y val="0.19768094416290777"/>
          <c:w val="0.15193455174345072"/>
          <c:h val="0.45081678816219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9053936164099"/>
          <c:y val="3.8427789533977193E-2"/>
          <c:w val="0.77025885940685956"/>
          <c:h val="0.76843844966667196"/>
        </c:manualLayout>
      </c:layout>
      <c:areaChart>
        <c:grouping val="stacked"/>
        <c:varyColors val="0"/>
        <c:ser>
          <c:idx val="6"/>
          <c:order val="6"/>
          <c:tx>
            <c:strRef>
              <c:f>'Cost reduction'!$C$30</c:f>
              <c:strCache>
                <c:ptCount val="1"/>
                <c:pt idx="0">
                  <c:v>S-Curve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cat>
            <c:numRef>
              <c:f>'Cost reduction'!$D$17:$N$17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reduction'!$D$30:$N$30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0.14000000000000001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0.86</c:v>
                </c:pt>
                <c:pt idx="8">
                  <c:v>0.95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A-7541-B6B2-5E1C03D15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518064"/>
        <c:axId val="185690992"/>
      </c:areaChart>
      <c:lineChart>
        <c:grouping val="standard"/>
        <c:varyColors val="0"/>
        <c:ser>
          <c:idx val="0"/>
          <c:order val="0"/>
          <c:tx>
            <c:strRef>
              <c:f>'Cost reduction'!$C$24</c:f>
              <c:strCache>
                <c:ptCount val="1"/>
                <c:pt idx="0">
                  <c:v>1 MW Cluster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'Cost reduction'!$D$17:$N$17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reduction'!$D$24:$N$24</c:f>
              <c:numCache>
                <c:formatCode>0%</c:formatCode>
                <c:ptCount val="11"/>
                <c:pt idx="0">
                  <c:v>1</c:v>
                </c:pt>
                <c:pt idx="1">
                  <c:v>0.8285649870487416</c:v>
                </c:pt>
                <c:pt idx="2">
                  <c:v>0.8285649870487416</c:v>
                </c:pt>
                <c:pt idx="3">
                  <c:v>0.8285649870487416</c:v>
                </c:pt>
                <c:pt idx="4">
                  <c:v>0.72613968995069544</c:v>
                </c:pt>
                <c:pt idx="5">
                  <c:v>0.59375977726145834</c:v>
                </c:pt>
                <c:pt idx="6">
                  <c:v>0.55399746123248694</c:v>
                </c:pt>
                <c:pt idx="7">
                  <c:v>0.55399746123248694</c:v>
                </c:pt>
                <c:pt idx="8">
                  <c:v>0.55399746123248694</c:v>
                </c:pt>
                <c:pt idx="9">
                  <c:v>0.55399746123248694</c:v>
                </c:pt>
                <c:pt idx="10">
                  <c:v>0.55399746123248694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A-7541-B6B2-5E1C03D155A7}"/>
            </c:ext>
          </c:extLst>
        </c:ser>
        <c:ser>
          <c:idx val="1"/>
          <c:order val="1"/>
          <c:tx>
            <c:strRef>
              <c:f>'Cost reduction'!$C$25</c:f>
              <c:strCache>
                <c:ptCount val="1"/>
                <c:pt idx="0">
                  <c:v>5 MW Cluster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'Cost reduction'!$D$17:$N$17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reduction'!$D$25:$N$25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0.92268083459058836</c:v>
                </c:pt>
                <c:pt idx="3">
                  <c:v>0.92268083459058836</c:v>
                </c:pt>
                <c:pt idx="4">
                  <c:v>0.73147558143301261</c:v>
                </c:pt>
                <c:pt idx="5">
                  <c:v>0.73147558143301261</c:v>
                </c:pt>
                <c:pt idx="6">
                  <c:v>0.67491849995924791</c:v>
                </c:pt>
                <c:pt idx="7">
                  <c:v>0.52891743037406358</c:v>
                </c:pt>
                <c:pt idx="8">
                  <c:v>0.37902868279194185</c:v>
                </c:pt>
                <c:pt idx="9">
                  <c:v>0.32475133283844426</c:v>
                </c:pt>
                <c:pt idx="10">
                  <c:v>0.32475133283844426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A-7541-B6B2-5E1C03D155A7}"/>
            </c:ext>
          </c:extLst>
        </c:ser>
        <c:ser>
          <c:idx val="2"/>
          <c:order val="2"/>
          <c:tx>
            <c:strRef>
              <c:f>'Cost reduction'!$C$26</c:f>
              <c:strCache>
                <c:ptCount val="1"/>
                <c:pt idx="0">
                  <c:v>9 MW Cluster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'Cost reduction'!$D$17:$N$17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reduction'!$D$26:$N$26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0.94655082264015922</c:v>
                </c:pt>
                <c:pt idx="3">
                  <c:v>0.94655082264015922</c:v>
                </c:pt>
                <c:pt idx="4">
                  <c:v>0.78614877934366589</c:v>
                </c:pt>
                <c:pt idx="5">
                  <c:v>0.78614877934366589</c:v>
                </c:pt>
                <c:pt idx="6">
                  <c:v>0.78614877934366589</c:v>
                </c:pt>
                <c:pt idx="7">
                  <c:v>0.78614877934366589</c:v>
                </c:pt>
                <c:pt idx="8">
                  <c:v>0.78614877934366589</c:v>
                </c:pt>
                <c:pt idx="9">
                  <c:v>0.78614877934366589</c:v>
                </c:pt>
                <c:pt idx="10">
                  <c:v>0.78614877934366589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A-7541-B6B2-5E1C03D155A7}"/>
            </c:ext>
          </c:extLst>
        </c:ser>
        <c:ser>
          <c:idx val="3"/>
          <c:order val="3"/>
          <c:tx>
            <c:strRef>
              <c:f>'Cost reduction'!$C$27</c:f>
              <c:strCache>
                <c:ptCount val="1"/>
                <c:pt idx="0">
                  <c:v>15 MW Cluster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'Cost reduction'!$D$17:$N$17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reduction'!$D$27:$N$27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0.92268083459058836</c:v>
                </c:pt>
                <c:pt idx="5">
                  <c:v>0.92268083459058836</c:v>
                </c:pt>
                <c:pt idx="6">
                  <c:v>0.80324032029537462</c:v>
                </c:pt>
                <c:pt idx="7">
                  <c:v>0.80324032029537462</c:v>
                </c:pt>
                <c:pt idx="8">
                  <c:v>0.80324032029537462</c:v>
                </c:pt>
                <c:pt idx="9">
                  <c:v>0.80324032029537462</c:v>
                </c:pt>
                <c:pt idx="10">
                  <c:v>0.80324032029537462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A-7541-B6B2-5E1C03D155A7}"/>
            </c:ext>
          </c:extLst>
        </c:ser>
        <c:ser>
          <c:idx val="4"/>
          <c:order val="4"/>
          <c:tx>
            <c:strRef>
              <c:f>'Cost reduction'!$C$28</c:f>
              <c:strCache>
                <c:ptCount val="1"/>
                <c:pt idx="0">
                  <c:v>30 MW Cluster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'Cost reduction'!$D$17:$N$17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reduction'!$D$28:$N$28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0.88316314568957377</c:v>
                </c:pt>
                <c:pt idx="7">
                  <c:v>0.88316314568957377</c:v>
                </c:pt>
                <c:pt idx="8">
                  <c:v>0.88316314568957377</c:v>
                </c:pt>
                <c:pt idx="9">
                  <c:v>0.88316314568957377</c:v>
                </c:pt>
                <c:pt idx="10">
                  <c:v>0.88316314568957377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2A-7541-B6B2-5E1C03D155A7}"/>
            </c:ext>
          </c:extLst>
        </c:ser>
        <c:ser>
          <c:idx val="5"/>
          <c:order val="5"/>
          <c:tx>
            <c:strRef>
              <c:f>'Cost reduction'!$C$29</c:f>
              <c:strCache>
                <c:ptCount val="1"/>
                <c:pt idx="0">
                  <c:v>60 MW Cluster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'Cost reduction'!$D$17:$N$17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reduction'!$D$29:$N$29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0.91430782676182798</c:v>
                </c:pt>
                <c:pt idx="4">
                  <c:v>0.91430782676182798</c:v>
                </c:pt>
                <c:pt idx="5">
                  <c:v>0.79354213466051393</c:v>
                </c:pt>
                <c:pt idx="6">
                  <c:v>0.76651117640116229</c:v>
                </c:pt>
                <c:pt idx="7">
                  <c:v>0.76651117640116229</c:v>
                </c:pt>
                <c:pt idx="8">
                  <c:v>0.76651117640116229</c:v>
                </c:pt>
                <c:pt idx="9">
                  <c:v>0.76651117640116229</c:v>
                </c:pt>
                <c:pt idx="10">
                  <c:v>0.76651117640116229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2A-7541-B6B2-5E1C03D15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20911"/>
        <c:axId val="1441141103"/>
      </c:lineChart>
      <c:catAx>
        <c:axId val="29312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1141103"/>
        <c:crosses val="autoZero"/>
        <c:auto val="1"/>
        <c:lblAlgn val="ctr"/>
        <c:lblOffset val="100"/>
        <c:noMultiLvlLbl val="0"/>
      </c:catAx>
      <c:valAx>
        <c:axId val="1441141103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Cost Reduction from Orginal Investment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120911"/>
        <c:crosses val="autoZero"/>
        <c:crossBetween val="between"/>
      </c:valAx>
      <c:valAx>
        <c:axId val="185690992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09518064"/>
        <c:crosses val="max"/>
        <c:crossBetween val="between"/>
      </c:valAx>
      <c:catAx>
        <c:axId val="120951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69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684251703604089E-2"/>
          <c:y val="0.89198336416816504"/>
          <c:w val="0.91031910423390938"/>
          <c:h val="9.2620175045148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reduction'!$C$41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reduction'!$E$41:$N$41</c:f>
              <c:numCache>
                <c:formatCode>0%</c:formatCode>
                <c:ptCount val="10"/>
                <c:pt idx="0">
                  <c:v>0.93303299153680697</c:v>
                </c:pt>
                <c:pt idx="1">
                  <c:v>0.67624333780624057</c:v>
                </c:pt>
                <c:pt idx="2">
                  <c:v>0.45135214839125992</c:v>
                </c:pt>
                <c:pt idx="3">
                  <c:v>0.31817358400702844</c:v>
                </c:pt>
                <c:pt idx="4">
                  <c:v>0.31817358400702844</c:v>
                </c:pt>
                <c:pt idx="5">
                  <c:v>0.31817358400702844</c:v>
                </c:pt>
                <c:pt idx="6">
                  <c:v>0.31817358400702844</c:v>
                </c:pt>
                <c:pt idx="7">
                  <c:v>0.31817358400702844</c:v>
                </c:pt>
                <c:pt idx="8">
                  <c:v>0.31817358400702844</c:v>
                </c:pt>
                <c:pt idx="9">
                  <c:v>0.31817358400702844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6-6245-BB3D-55015DEEC573}"/>
            </c:ext>
          </c:extLst>
        </c:ser>
        <c:ser>
          <c:idx val="1"/>
          <c:order val="1"/>
          <c:tx>
            <c:strRef>
              <c:f>'Cost reduction'!$C$42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reduction'!$E$42:$N$42</c:f>
              <c:numCache>
                <c:formatCode>0%</c:formatCode>
                <c:ptCount val="10"/>
                <c:pt idx="0">
                  <c:v>0.75327769492503804</c:v>
                </c:pt>
                <c:pt idx="1">
                  <c:v>0.75327769492503804</c:v>
                </c:pt>
                <c:pt idx="2">
                  <c:v>0.61185161282456346</c:v>
                </c:pt>
                <c:pt idx="3">
                  <c:v>0.37971513541863389</c:v>
                </c:pt>
                <c:pt idx="4">
                  <c:v>0.30842452867651782</c:v>
                </c:pt>
                <c:pt idx="5">
                  <c:v>0.22975953818687955</c:v>
                </c:pt>
                <c:pt idx="6">
                  <c:v>0.1502324485583417</c:v>
                </c:pt>
                <c:pt idx="7">
                  <c:v>0.13922212660018166</c:v>
                </c:pt>
                <c:pt idx="8">
                  <c:v>9.9768274271922003E-2</c:v>
                </c:pt>
                <c:pt idx="9" formatCode="0.000%">
                  <c:v>9.9768274271922003E-2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6-6245-BB3D-55015DEEC573}"/>
            </c:ext>
          </c:extLst>
        </c:ser>
        <c:ser>
          <c:idx val="2"/>
          <c:order val="2"/>
          <c:tx>
            <c:strRef>
              <c:f>'Cost reduction'!$C$43</c:f>
              <c:strCache>
                <c:ptCount val="1"/>
                <c:pt idx="0">
                  <c:v>Cluster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reduction'!$E$43:$N$43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0.6897974972783647</c:v>
                </c:pt>
                <c:pt idx="4">
                  <c:v>0.6436038224402354</c:v>
                </c:pt>
                <c:pt idx="5">
                  <c:v>0.6436038224402354</c:v>
                </c:pt>
                <c:pt idx="6">
                  <c:v>0.6436038224402354</c:v>
                </c:pt>
                <c:pt idx="7">
                  <c:v>0.6436038224402354</c:v>
                </c:pt>
                <c:pt idx="8">
                  <c:v>0.6436038224402354</c:v>
                </c:pt>
                <c:pt idx="9">
                  <c:v>0.6436038224402354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6-6245-BB3D-55015DEEC573}"/>
            </c:ext>
          </c:extLst>
        </c:ser>
        <c:ser>
          <c:idx val="3"/>
          <c:order val="3"/>
          <c:tx>
            <c:strRef>
              <c:f>'Cost reduction'!$C$44</c:f>
              <c:strCache>
                <c:ptCount val="1"/>
                <c:pt idx="0">
                  <c:v>Cluster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reduction'!$E$44:$N$44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0.73752724891279675</c:v>
                </c:pt>
                <c:pt idx="5">
                  <c:v>0.73752724891279675</c:v>
                </c:pt>
                <c:pt idx="6">
                  <c:v>0.73752724891279675</c:v>
                </c:pt>
                <c:pt idx="7">
                  <c:v>0.73752724891279675</c:v>
                </c:pt>
                <c:pt idx="8">
                  <c:v>0.73752724891279675</c:v>
                </c:pt>
                <c:pt idx="9">
                  <c:v>0.73752724891279675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6-6245-BB3D-55015DEEC573}"/>
            </c:ext>
          </c:extLst>
        </c:ser>
        <c:ser>
          <c:idx val="4"/>
          <c:order val="4"/>
          <c:tx>
            <c:strRef>
              <c:f>'Cost reduction'!$C$45</c:f>
              <c:strCache>
                <c:ptCount val="1"/>
                <c:pt idx="0">
                  <c:v>Cluster 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reduction'!$E$45:$N$45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0.77997714190430334</c:v>
                </c:pt>
                <c:pt idx="5">
                  <c:v>0.77997714190430334</c:v>
                </c:pt>
                <c:pt idx="6">
                  <c:v>0.77997714190430334</c:v>
                </c:pt>
                <c:pt idx="7">
                  <c:v>0.77997714190430334</c:v>
                </c:pt>
                <c:pt idx="8">
                  <c:v>0.77997714190430334</c:v>
                </c:pt>
                <c:pt idx="9">
                  <c:v>0.77997714190430334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D6-6245-BB3D-55015DEEC573}"/>
            </c:ext>
          </c:extLst>
        </c:ser>
        <c:ser>
          <c:idx val="5"/>
          <c:order val="5"/>
          <c:tx>
            <c:strRef>
              <c:f>'Cost reduction'!$C$46</c:f>
              <c:strCache>
                <c:ptCount val="1"/>
                <c:pt idx="0">
                  <c:v>Cluster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reduction'!$E$46:$N$46</c:f>
              <c:numCache>
                <c:formatCode>0%</c:formatCode>
                <c:ptCount val="10"/>
                <c:pt idx="0">
                  <c:v>1</c:v>
                </c:pt>
                <c:pt idx="1">
                  <c:v>0.93303299153680697</c:v>
                </c:pt>
                <c:pt idx="2">
                  <c:v>0.79432823472428116</c:v>
                </c:pt>
                <c:pt idx="3">
                  <c:v>0.79432823472428116</c:v>
                </c:pt>
                <c:pt idx="4">
                  <c:v>0.67624333780624113</c:v>
                </c:pt>
                <c:pt idx="5">
                  <c:v>0.53206382351520698</c:v>
                </c:pt>
                <c:pt idx="6">
                  <c:v>0.47670708385367183</c:v>
                </c:pt>
                <c:pt idx="7">
                  <c:v>0.47670708385367183</c:v>
                </c:pt>
                <c:pt idx="8">
                  <c:v>0.47670708385367183</c:v>
                </c:pt>
                <c:pt idx="9">
                  <c:v>0.47670708385367183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D6-6245-BB3D-55015DEE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20911"/>
        <c:axId val="1441141103"/>
      </c:lineChart>
      <c:catAx>
        <c:axId val="2931209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41103"/>
        <c:crosses val="autoZero"/>
        <c:auto val="1"/>
        <c:lblAlgn val="ctr"/>
        <c:lblOffset val="100"/>
        <c:noMultiLvlLbl val="0"/>
      </c:catAx>
      <c:valAx>
        <c:axId val="1441141103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2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 reduction'!$C$59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reduction'!$E$59:$N$59</c:f>
              <c:numCache>
                <c:formatCode>0%</c:formatCode>
                <c:ptCount val="10"/>
                <c:pt idx="0">
                  <c:v>0.95619445028813499</c:v>
                </c:pt>
                <c:pt idx="1">
                  <c:v>0.85076893621178928</c:v>
                </c:pt>
                <c:pt idx="2">
                  <c:v>0.85076893621178928</c:v>
                </c:pt>
                <c:pt idx="3">
                  <c:v>0.82178862300771138</c:v>
                </c:pt>
                <c:pt idx="4">
                  <c:v>0.82178862300771138</c:v>
                </c:pt>
                <c:pt idx="5">
                  <c:v>0.82178862300771138</c:v>
                </c:pt>
                <c:pt idx="6">
                  <c:v>0.82178862300771138</c:v>
                </c:pt>
                <c:pt idx="7">
                  <c:v>0.82178862300771138</c:v>
                </c:pt>
                <c:pt idx="8">
                  <c:v>0.82178862300771138</c:v>
                </c:pt>
                <c:pt idx="9">
                  <c:v>0.82178862300771138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9-D444-8F36-113BD43AEE44}"/>
            </c:ext>
          </c:extLst>
        </c:ser>
        <c:ser>
          <c:idx val="1"/>
          <c:order val="1"/>
          <c:tx>
            <c:strRef>
              <c:f>'Cost reduction'!$C$60</c:f>
              <c:strCache>
                <c:ptCount val="1"/>
                <c:pt idx="0">
                  <c:v>Cluster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reduction'!$E$60:$N$60</c:f>
              <c:numCache>
                <c:formatCode>0%</c:formatCode>
                <c:ptCount val="10"/>
                <c:pt idx="0">
                  <c:v>0.93976760195783204</c:v>
                </c:pt>
                <c:pt idx="1">
                  <c:v>0.90270577063875279</c:v>
                </c:pt>
                <c:pt idx="2">
                  <c:v>0.80688467778325257</c:v>
                </c:pt>
                <c:pt idx="3">
                  <c:v>0.72044261656040709</c:v>
                </c:pt>
                <c:pt idx="4">
                  <c:v>0.66117336891807488</c:v>
                </c:pt>
                <c:pt idx="5">
                  <c:v>0.62010719255057578</c:v>
                </c:pt>
                <c:pt idx="6">
                  <c:v>0.59898406511219515</c:v>
                </c:pt>
                <c:pt idx="7">
                  <c:v>0.55508537699268645</c:v>
                </c:pt>
                <c:pt idx="8">
                  <c:v>0.55508537699268645</c:v>
                </c:pt>
                <c:pt idx="9">
                  <c:v>0.55508537699268645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9-D444-8F36-113BD43AEE44}"/>
            </c:ext>
          </c:extLst>
        </c:ser>
        <c:ser>
          <c:idx val="2"/>
          <c:order val="2"/>
          <c:tx>
            <c:strRef>
              <c:f>'Cost reduction'!$C$61</c:f>
              <c:strCache>
                <c:ptCount val="1"/>
                <c:pt idx="0">
                  <c:v>Cluster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reduction'!$E$61:$N$61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0.93028964606070108</c:v>
                </c:pt>
                <c:pt idx="4">
                  <c:v>0.87089337418722967</c:v>
                </c:pt>
                <c:pt idx="5">
                  <c:v>0.87089337418722967</c:v>
                </c:pt>
                <c:pt idx="6">
                  <c:v>0.81843737782089754</c:v>
                </c:pt>
                <c:pt idx="7">
                  <c:v>0.81843737782089754</c:v>
                </c:pt>
                <c:pt idx="8">
                  <c:v>0.81843737782089754</c:v>
                </c:pt>
                <c:pt idx="9">
                  <c:v>0.81843737782089754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9-D444-8F36-113BD43AEE44}"/>
            </c:ext>
          </c:extLst>
        </c:ser>
        <c:ser>
          <c:idx val="3"/>
          <c:order val="3"/>
          <c:tx>
            <c:strRef>
              <c:f>'Cost reduction'!$C$62</c:f>
              <c:strCache>
                <c:ptCount val="1"/>
                <c:pt idx="0">
                  <c:v>Cluster 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reduction'!$E$62:$N$62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0.94406087628592339</c:v>
                </c:pt>
                <c:pt idx="4">
                  <c:v>0.90682973037383385</c:v>
                </c:pt>
                <c:pt idx="5">
                  <c:v>0.90682973037383385</c:v>
                </c:pt>
                <c:pt idx="6">
                  <c:v>0.87106687748103051</c:v>
                </c:pt>
                <c:pt idx="7">
                  <c:v>0.87106687748103051</c:v>
                </c:pt>
                <c:pt idx="8">
                  <c:v>0.87106687748103051</c:v>
                </c:pt>
                <c:pt idx="9">
                  <c:v>0.87106687748103051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9-D444-8F36-113BD43AEE44}"/>
            </c:ext>
          </c:extLst>
        </c:ser>
        <c:ser>
          <c:idx val="4"/>
          <c:order val="4"/>
          <c:tx>
            <c:strRef>
              <c:f>'Cost reduction'!$C$63</c:f>
              <c:strCache>
                <c:ptCount val="1"/>
                <c:pt idx="0">
                  <c:v>Cluster 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reduction'!$E$63:$N$63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0.94934212095051917</c:v>
                </c:pt>
                <c:pt idx="4">
                  <c:v>0.94934212095051917</c:v>
                </c:pt>
                <c:pt idx="5">
                  <c:v>0.94934212095051917</c:v>
                </c:pt>
                <c:pt idx="6">
                  <c:v>0.92362295704963149</c:v>
                </c:pt>
                <c:pt idx="7">
                  <c:v>0.92362295704963149</c:v>
                </c:pt>
                <c:pt idx="8">
                  <c:v>0.92362295704963149</c:v>
                </c:pt>
                <c:pt idx="9">
                  <c:v>0.92362295704963149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9-D444-8F36-113BD43AEE44}"/>
            </c:ext>
          </c:extLst>
        </c:ser>
        <c:ser>
          <c:idx val="5"/>
          <c:order val="5"/>
          <c:tx>
            <c:strRef>
              <c:f>'Cost reduction'!$C$64</c:f>
              <c:strCache>
                <c:ptCount val="1"/>
                <c:pt idx="0">
                  <c:v>Cluster 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'Cost reduction'!$E$17:$N$17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'Cost reduction'!$E$64:$N$64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0.936152926</c:v>
                </c:pt>
                <c:pt idx="5">
                  <c:v>0.88378535165719119</c:v>
                </c:pt>
                <c:pt idx="6">
                  <c:v>0.88378535165719119</c:v>
                </c:pt>
                <c:pt idx="7">
                  <c:v>0.88378535165719119</c:v>
                </c:pt>
                <c:pt idx="8">
                  <c:v>0.88378535165719119</c:v>
                </c:pt>
                <c:pt idx="9">
                  <c:v>0.88378535165719119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9-D444-8F36-113BD43AE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20911"/>
        <c:axId val="1441141103"/>
      </c:lineChart>
      <c:catAx>
        <c:axId val="2931209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141103"/>
        <c:crosses val="autoZero"/>
        <c:auto val="1"/>
        <c:lblAlgn val="ctr"/>
        <c:lblOffset val="100"/>
        <c:noMultiLvlLbl val="0"/>
      </c:catAx>
      <c:valAx>
        <c:axId val="1441141103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2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4410004854978"/>
          <c:y val="2.3954364920952497E-2"/>
          <c:w val="0.72777917337786113"/>
          <c:h val="0.79662582913379232"/>
        </c:manualLayout>
      </c:layout>
      <c:areaChart>
        <c:grouping val="stacked"/>
        <c:varyColors val="0"/>
        <c:ser>
          <c:idx val="6"/>
          <c:order val="6"/>
          <c:tx>
            <c:strRef>
              <c:f>'Cost reduction'!$AB$30</c:f>
              <c:strCache>
                <c:ptCount val="1"/>
                <c:pt idx="0">
                  <c:v>Linear Adoption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'Cost reduction'!$AC$23:$AM$23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reduction'!$AC$30:$AM$30</c:f>
              <c:numCache>
                <c:formatCode>General</c:formatCode>
                <c:ptCount val="11"/>
                <c:pt idx="0" formatCode="0%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D-7847-A0A5-2D7163FC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439152"/>
        <c:axId val="1392947344"/>
      </c:areaChart>
      <c:lineChart>
        <c:grouping val="standard"/>
        <c:varyColors val="0"/>
        <c:ser>
          <c:idx val="0"/>
          <c:order val="0"/>
          <c:tx>
            <c:strRef>
              <c:f>'Cost reduction'!$C$24</c:f>
              <c:strCache>
                <c:ptCount val="1"/>
                <c:pt idx="0">
                  <c:v>1 MW Cluster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'Cost reduction'!$AC$23:$AM$23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reduction'!$AC$24:$AM$24</c:f>
              <c:numCache>
                <c:formatCode>0%</c:formatCode>
                <c:ptCount val="11"/>
                <c:pt idx="0">
                  <c:v>1</c:v>
                </c:pt>
                <c:pt idx="1">
                  <c:v>0.78983995427947162</c:v>
                </c:pt>
                <c:pt idx="2">
                  <c:v>0.78983995427947162</c:v>
                </c:pt>
                <c:pt idx="3">
                  <c:v>0.78983995427947162</c:v>
                </c:pt>
                <c:pt idx="4">
                  <c:v>0.78983995427947162</c:v>
                </c:pt>
                <c:pt idx="5">
                  <c:v>0.76293510587488067</c:v>
                </c:pt>
                <c:pt idx="6">
                  <c:v>0.72215685208692526</c:v>
                </c:pt>
                <c:pt idx="7">
                  <c:v>0.72215685208692526</c:v>
                </c:pt>
                <c:pt idx="8">
                  <c:v>0.72215685208692526</c:v>
                </c:pt>
                <c:pt idx="9">
                  <c:v>0.72215685208692526</c:v>
                </c:pt>
                <c:pt idx="10">
                  <c:v>0.72215685208692526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D-7847-A0A5-2D7163FC9D09}"/>
            </c:ext>
          </c:extLst>
        </c:ser>
        <c:ser>
          <c:idx val="1"/>
          <c:order val="1"/>
          <c:tx>
            <c:strRef>
              <c:f>'Cost reduction'!$C$25</c:f>
              <c:strCache>
                <c:ptCount val="1"/>
                <c:pt idx="0">
                  <c:v>5 MW Cluster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'Cost reduction'!$AC$23:$AM$23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reduction'!$AC$25:$AM$25</c:f>
              <c:numCache>
                <c:formatCode>0%</c:formatCode>
                <c:ptCount val="11"/>
                <c:pt idx="0">
                  <c:v>1</c:v>
                </c:pt>
                <c:pt idx="1">
                  <c:v>0.78220944306788076</c:v>
                </c:pt>
                <c:pt idx="2">
                  <c:v>0.78220944306788076</c:v>
                </c:pt>
                <c:pt idx="3">
                  <c:v>0.78220944306788076</c:v>
                </c:pt>
                <c:pt idx="4">
                  <c:v>0.65481655756325663</c:v>
                </c:pt>
                <c:pt idx="5">
                  <c:v>0.53848195234193519</c:v>
                </c:pt>
                <c:pt idx="6">
                  <c:v>0.46137070800122815</c:v>
                </c:pt>
                <c:pt idx="7">
                  <c:v>0.40164652973880077</c:v>
                </c:pt>
                <c:pt idx="8">
                  <c:v>0.36440901891357752</c:v>
                </c:pt>
                <c:pt idx="9">
                  <c:v>0.31222522189829932</c:v>
                </c:pt>
                <c:pt idx="10">
                  <c:v>0.31222522189829932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D-7847-A0A5-2D7163FC9D09}"/>
            </c:ext>
          </c:extLst>
        </c:ser>
        <c:ser>
          <c:idx val="2"/>
          <c:order val="2"/>
          <c:tx>
            <c:strRef>
              <c:f>'Cost reduction'!$C$26</c:f>
              <c:strCache>
                <c:ptCount val="1"/>
                <c:pt idx="0">
                  <c:v>9 MW Cluster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'Cost reduction'!$AC$23:$AM$23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reduction'!$AC$26:$AM$26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0.83481436548461685</c:v>
                </c:pt>
                <c:pt idx="5">
                  <c:v>0.83481436548461685</c:v>
                </c:pt>
                <c:pt idx="6">
                  <c:v>0.75741693597862447</c:v>
                </c:pt>
                <c:pt idx="7">
                  <c:v>0.75741693597862447</c:v>
                </c:pt>
                <c:pt idx="8">
                  <c:v>0.75741693597862447</c:v>
                </c:pt>
                <c:pt idx="9">
                  <c:v>0.75741693597862447</c:v>
                </c:pt>
                <c:pt idx="10">
                  <c:v>0.75741693597862447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D-7847-A0A5-2D7163FC9D09}"/>
            </c:ext>
          </c:extLst>
        </c:ser>
        <c:ser>
          <c:idx val="3"/>
          <c:order val="3"/>
          <c:tx>
            <c:strRef>
              <c:f>'Cost reduction'!$C$27</c:f>
              <c:strCache>
                <c:ptCount val="1"/>
                <c:pt idx="0">
                  <c:v>15 MW Cluster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'Cost reduction'!$AC$23:$AM$23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reduction'!$AC$27:$AM$27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0.8796356706393289</c:v>
                </c:pt>
                <c:pt idx="6">
                  <c:v>0.82072910123909892</c:v>
                </c:pt>
                <c:pt idx="7">
                  <c:v>0.76576732857043173</c:v>
                </c:pt>
                <c:pt idx="8">
                  <c:v>0.76576732857043173</c:v>
                </c:pt>
                <c:pt idx="9">
                  <c:v>0.76576732857043173</c:v>
                </c:pt>
                <c:pt idx="10">
                  <c:v>0.76576732857043173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1D-7847-A0A5-2D7163FC9D09}"/>
            </c:ext>
          </c:extLst>
        </c:ser>
        <c:ser>
          <c:idx val="4"/>
          <c:order val="4"/>
          <c:tx>
            <c:strRef>
              <c:f>'Cost reduction'!$C$28</c:f>
              <c:strCache>
                <c:ptCount val="1"/>
                <c:pt idx="0">
                  <c:v>30 MW Cluster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'Cost reduction'!$AC$23:$AM$23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reduction'!$AC$28:$AM$28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0.92268083459058836</c:v>
                </c:pt>
                <c:pt idx="5">
                  <c:v>0.86089165933173484</c:v>
                </c:pt>
                <c:pt idx="6">
                  <c:v>0.86089165933173484</c:v>
                </c:pt>
                <c:pt idx="7">
                  <c:v>0.86089165933173484</c:v>
                </c:pt>
                <c:pt idx="8">
                  <c:v>0.86089165933173484</c:v>
                </c:pt>
                <c:pt idx="9">
                  <c:v>0.86089165933173484</c:v>
                </c:pt>
                <c:pt idx="10">
                  <c:v>0.86089165933173484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1D-7847-A0A5-2D7163FC9D09}"/>
            </c:ext>
          </c:extLst>
        </c:ser>
        <c:ser>
          <c:idx val="5"/>
          <c:order val="5"/>
          <c:tx>
            <c:strRef>
              <c:f>'Cost reduction'!$C$29</c:f>
              <c:strCache>
                <c:ptCount val="1"/>
                <c:pt idx="0">
                  <c:v>60 MW Cluster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'Cost reduction'!$AC$23:$AM$23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'Cost reduction'!$AC$29:$AM$29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0.89595845984076217</c:v>
                </c:pt>
                <c:pt idx="3">
                  <c:v>0.79127749180015317</c:v>
                </c:pt>
                <c:pt idx="4">
                  <c:v>0.76432367559029957</c:v>
                </c:pt>
                <c:pt idx="5">
                  <c:v>0.76432367559029957</c:v>
                </c:pt>
                <c:pt idx="6">
                  <c:v>0.72347120389334829</c:v>
                </c:pt>
                <c:pt idx="7">
                  <c:v>0.72347120389334829</c:v>
                </c:pt>
                <c:pt idx="8">
                  <c:v>0.72347120389334829</c:v>
                </c:pt>
                <c:pt idx="9">
                  <c:v>0.72347120389334829</c:v>
                </c:pt>
                <c:pt idx="10">
                  <c:v>0.72347120389334829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1D-7847-A0A5-2D7163FC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20911"/>
        <c:axId val="1441141103"/>
      </c:lineChart>
      <c:catAx>
        <c:axId val="29312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Years</a:t>
                </a:r>
              </a:p>
            </c:rich>
          </c:tx>
          <c:layout>
            <c:manualLayout>
              <c:xMode val="edge"/>
              <c:yMode val="edge"/>
              <c:x val="0.48190064223785206"/>
              <c:y val="0.8690418452638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41141103"/>
        <c:crosses val="autoZero"/>
        <c:auto val="1"/>
        <c:lblAlgn val="ctr"/>
        <c:lblOffset val="100"/>
        <c:noMultiLvlLbl val="0"/>
      </c:catAx>
      <c:valAx>
        <c:axId val="1441141103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Cost Reduction from Initial Investment</a:t>
                </a:r>
              </a:p>
            </c:rich>
          </c:tx>
          <c:layout>
            <c:manualLayout>
              <c:xMode val="edge"/>
              <c:yMode val="edge"/>
              <c:x val="2.8390708170345873E-2"/>
              <c:y val="0.13804259157690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3120911"/>
        <c:crosses val="autoZero"/>
        <c:crossBetween val="between"/>
      </c:valAx>
      <c:valAx>
        <c:axId val="139294734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Market Share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6439152"/>
        <c:crosses val="max"/>
        <c:crossBetween val="between"/>
      </c:valAx>
      <c:catAx>
        <c:axId val="97643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294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032710957821426E-2"/>
          <c:y val="0.9052166859911096"/>
          <c:w val="0.87063074412321184"/>
          <c:h val="8.725769607655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Emissions!$Q$27</c:f>
              <c:strCache>
                <c:ptCount val="1"/>
                <c:pt idx="0">
                  <c:v>Grid E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Emissions!$P$28:$P$38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Emissions!$Q$28:$Q$38</c:f>
              <c:numCache>
                <c:formatCode>General</c:formatCode>
                <c:ptCount val="11"/>
                <c:pt idx="0">
                  <c:v>0.187</c:v>
                </c:pt>
                <c:pt idx="1">
                  <c:v>0.14599999999999999</c:v>
                </c:pt>
                <c:pt idx="2">
                  <c:v>0.127</c:v>
                </c:pt>
                <c:pt idx="3">
                  <c:v>9.5000000000000001E-2</c:v>
                </c:pt>
                <c:pt idx="4">
                  <c:v>7.0000000000000007E-2</c:v>
                </c:pt>
                <c:pt idx="5">
                  <c:v>6.0999999999999999E-2</c:v>
                </c:pt>
                <c:pt idx="6">
                  <c:v>5.1999999999999998E-2</c:v>
                </c:pt>
                <c:pt idx="7">
                  <c:v>4.8000000000000001E-2</c:v>
                </c:pt>
                <c:pt idx="8">
                  <c:v>0.04</c:v>
                </c:pt>
                <c:pt idx="9">
                  <c:v>3.2000000000000001E-2</c:v>
                </c:pt>
                <c:pt idx="10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F-9943-87B1-D3F0ADF9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133263"/>
        <c:axId val="277149199"/>
      </c:barChart>
      <c:lineChart>
        <c:grouping val="standard"/>
        <c:varyColors val="0"/>
        <c:ser>
          <c:idx val="3"/>
          <c:order val="2"/>
          <c:tx>
            <c:strRef>
              <c:f>Emissions!$T$27</c:f>
              <c:strCache>
                <c:ptCount val="1"/>
                <c:pt idx="0">
                  <c:v>CO2 savings (t CO2e/yr)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Emissions!$P$28:$P$38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Emissions!$T$28:$T$38</c:f>
              <c:numCache>
                <c:formatCode>General</c:formatCode>
                <c:ptCount val="11"/>
                <c:pt idx="1">
                  <c:v>5160.7720822000001</c:v>
                </c:pt>
                <c:pt idx="2">
                  <c:v>38239.028803122252</c:v>
                </c:pt>
                <c:pt idx="3">
                  <c:v>191276.2897995199</c:v>
                </c:pt>
                <c:pt idx="4">
                  <c:v>664667.3769565468</c:v>
                </c:pt>
                <c:pt idx="5">
                  <c:v>1549306.4404544272</c:v>
                </c:pt>
                <c:pt idx="6">
                  <c:v>2811097.2952958168</c:v>
                </c:pt>
                <c:pt idx="7">
                  <c:v>4244791.0884806067</c:v>
                </c:pt>
                <c:pt idx="8">
                  <c:v>5846330.6167546827</c:v>
                </c:pt>
                <c:pt idx="9">
                  <c:v>7603136.5776732452</c:v>
                </c:pt>
                <c:pt idx="10">
                  <c:v>9495979.7912876718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F-9943-87B1-D3F0ADF9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33263"/>
        <c:axId val="277149199"/>
      </c:lineChart>
      <c:lineChart>
        <c:grouping val="standard"/>
        <c:varyColors val="0"/>
        <c:ser>
          <c:idx val="2"/>
          <c:order val="1"/>
          <c:tx>
            <c:strRef>
              <c:f>Emissions!$S$27</c:f>
              <c:strCache>
                <c:ptCount val="1"/>
                <c:pt idx="0">
                  <c:v>CO2 abatement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Emissions!$P$28:$P$38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Emissions!$S$28:$S$38</c:f>
              <c:numCache>
                <c:formatCode>General</c:formatCode>
                <c:ptCount val="11"/>
                <c:pt idx="1">
                  <c:v>5160.7720822000001</c:v>
                </c:pt>
                <c:pt idx="2">
                  <c:v>33078.256720922254</c:v>
                </c:pt>
                <c:pt idx="3">
                  <c:v>153037.26099639764</c:v>
                </c:pt>
                <c:pt idx="4">
                  <c:v>473391.08715702686</c:v>
                </c:pt>
                <c:pt idx="5">
                  <c:v>884639.06349788047</c:v>
                </c:pt>
                <c:pt idx="6">
                  <c:v>1261790.8548413895</c:v>
                </c:pt>
                <c:pt idx="7">
                  <c:v>1433693.7931847894</c:v>
                </c:pt>
                <c:pt idx="8">
                  <c:v>1601539.5282740758</c:v>
                </c:pt>
                <c:pt idx="9">
                  <c:v>1756805.9609185625</c:v>
                </c:pt>
                <c:pt idx="10">
                  <c:v>1892843.2136144275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F-9943-87B1-D3F0ADF9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35456"/>
        <c:axId val="593353424"/>
      </c:lineChart>
      <c:catAx>
        <c:axId val="100713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49199"/>
        <c:crosses val="autoZero"/>
        <c:auto val="1"/>
        <c:lblAlgn val="ctr"/>
        <c:lblOffset val="100"/>
        <c:noMultiLvlLbl val="0"/>
      </c:catAx>
      <c:valAx>
        <c:axId val="2771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33263"/>
        <c:crosses val="autoZero"/>
        <c:crossBetween val="between"/>
      </c:valAx>
      <c:valAx>
        <c:axId val="59335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35456"/>
        <c:crosses val="max"/>
        <c:crossBetween val="between"/>
      </c:valAx>
      <c:catAx>
        <c:axId val="5980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35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Emissions!$T$54</c:f>
              <c:strCache>
                <c:ptCount val="1"/>
                <c:pt idx="0">
                  <c:v>CO2 savings (t CO2e/yr) Linear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Emissions!$P$28:$P$38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Emissions!$T$55:$T$65</c:f>
              <c:numCache>
                <c:formatCode>General</c:formatCode>
                <c:ptCount val="11"/>
                <c:pt idx="0">
                  <c:v>0</c:v>
                </c:pt>
                <c:pt idx="1">
                  <c:v>51727.936000000002</c:v>
                </c:pt>
                <c:pt idx="2" formatCode="#,##0.00">
                  <c:v>168993.94032576575</c:v>
                </c:pt>
                <c:pt idx="3">
                  <c:v>382644.09372413391</c:v>
                </c:pt>
                <c:pt idx="4">
                  <c:v>662050.90533293923</c:v>
                </c:pt>
                <c:pt idx="5">
                  <c:v>947762.87959109806</c:v>
                </c:pt>
                <c:pt idx="6">
                  <c:v>1269325.650633422</c:v>
                </c:pt>
                <c:pt idx="7">
                  <c:v>1593064.3597339566</c:v>
                </c:pt>
                <c:pt idx="8">
                  <c:v>2028549.579331778</c:v>
                </c:pt>
                <c:pt idx="9">
                  <c:v>2602601.9807452857</c:v>
                </c:pt>
                <c:pt idx="10">
                  <c:v>3308686.6487413198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B-E246-9D07-B2A80C3CB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33263"/>
        <c:axId val="277149199"/>
      </c:lineChart>
      <c:lineChart>
        <c:grouping val="standard"/>
        <c:varyColors val="0"/>
        <c:ser>
          <c:idx val="2"/>
          <c:order val="0"/>
          <c:tx>
            <c:strRef>
              <c:f>Emissions!$S$54</c:f>
              <c:strCache>
                <c:ptCount val="1"/>
                <c:pt idx="0">
                  <c:v>CO2 abatement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Emissions!$P$28:$P$38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Emissions!$S$55:$S$65</c:f>
              <c:numCache>
                <c:formatCode>General</c:formatCode>
                <c:ptCount val="11"/>
                <c:pt idx="0">
                  <c:v>0</c:v>
                </c:pt>
                <c:pt idx="1">
                  <c:v>51727.936000000002</c:v>
                </c:pt>
                <c:pt idx="2" formatCode="#,##0.00">
                  <c:v>117266.00432576575</c:v>
                </c:pt>
                <c:pt idx="3" formatCode="#,##0.00">
                  <c:v>213650.15339836816</c:v>
                </c:pt>
                <c:pt idx="4" formatCode="#,##0.00">
                  <c:v>279406.81160880532</c:v>
                </c:pt>
                <c:pt idx="5" formatCode="#,##0.00">
                  <c:v>285711.97425815888</c:v>
                </c:pt>
                <c:pt idx="6" formatCode="#,##0.00">
                  <c:v>321562.7710423239</c:v>
                </c:pt>
                <c:pt idx="7" formatCode="#,##0.00">
                  <c:v>323738.70910053473</c:v>
                </c:pt>
                <c:pt idx="8" formatCode="#,##0.00">
                  <c:v>435485.2195978213</c:v>
                </c:pt>
                <c:pt idx="9" formatCode="#,##0.00">
                  <c:v>574052.40141350799</c:v>
                </c:pt>
                <c:pt idx="10" formatCode="#,##0.00">
                  <c:v>706084.66799603379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B-E246-9D07-B2A80C3CB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35456"/>
        <c:axId val="593353424"/>
      </c:lineChart>
      <c:catAx>
        <c:axId val="100713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49199"/>
        <c:crosses val="autoZero"/>
        <c:auto val="1"/>
        <c:lblAlgn val="ctr"/>
        <c:lblOffset val="100"/>
        <c:noMultiLvlLbl val="0"/>
      </c:catAx>
      <c:valAx>
        <c:axId val="2771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33263"/>
        <c:crosses val="autoZero"/>
        <c:crossBetween val="between"/>
      </c:valAx>
      <c:valAx>
        <c:axId val="59335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35456"/>
        <c:crosses val="max"/>
        <c:crossBetween val="between"/>
      </c:valAx>
      <c:catAx>
        <c:axId val="5980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35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0973266192077"/>
          <c:y val="6.5343711622475889E-2"/>
          <c:w val="0.73382726033131862"/>
          <c:h val="0.758815715742921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'S-Curve 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'S-Curve '!$A$2:$A$12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'S-Curve '!$A$3:$A$12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F-774E-8B0C-EBF68610B95B}"/>
            </c:ext>
          </c:extLst>
        </c:ser>
        <c:ser>
          <c:idx val="2"/>
          <c:order val="2"/>
          <c:tx>
            <c:strRef>
              <c:f>'S-Curve '!$C$1</c:f>
              <c:strCache>
                <c:ptCount val="1"/>
                <c:pt idx="0">
                  <c:v>Government Cost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'S-Curve '!$A$2:$A$12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'S-Curve '!$C$2:$C$12</c:f>
              <c:numCache>
                <c:formatCode>General</c:formatCode>
                <c:ptCount val="11"/>
                <c:pt idx="1">
                  <c:v>1583248.002963</c:v>
                </c:pt>
                <c:pt idx="2">
                  <c:v>14272108.078843299</c:v>
                </c:pt>
                <c:pt idx="3">
                  <c:v>48217628.812400199</c:v>
                </c:pt>
                <c:pt idx="4">
                  <c:v>91467511.552529007</c:v>
                </c:pt>
                <c:pt idx="5">
                  <c:v>117672985.589</c:v>
                </c:pt>
                <c:pt idx="6">
                  <c:v>85874932.352483898</c:v>
                </c:pt>
                <c:pt idx="7">
                  <c:v>29524646.969765801</c:v>
                </c:pt>
                <c:pt idx="8">
                  <c:v>4210984.9049846996</c:v>
                </c:pt>
                <c:pt idx="9">
                  <c:v>158899.562797972</c:v>
                </c:pt>
                <c:pt idx="10">
                  <c:v>142125.19410627699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F-774E-8B0C-EBF68610B95B}"/>
            </c:ext>
          </c:extLst>
        </c:ser>
        <c:ser>
          <c:idx val="3"/>
          <c:order val="3"/>
          <c:tx>
            <c:strRef>
              <c:f>'S-Curve '!$D$1</c:f>
              <c:strCache>
                <c:ptCount val="1"/>
                <c:pt idx="0">
                  <c:v>Industry Cost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'S-Curve '!$F$15:$F$24</c:f>
                <c:numCache>
                  <c:formatCode>General</c:formatCode>
                  <c:ptCount val="10"/>
                  <c:pt idx="0">
                    <c:v>313551.91454754397</c:v>
                  </c:pt>
                  <c:pt idx="1">
                    <c:v>-6972033.666629903</c:v>
                  </c:pt>
                  <c:pt idx="2">
                    <c:v>-6448851.0276631862</c:v>
                  </c:pt>
                  <c:pt idx="3">
                    <c:v>2569020.0284858942</c:v>
                  </c:pt>
                  <c:pt idx="4">
                    <c:v>12667521.233604014</c:v>
                  </c:pt>
                  <c:pt idx="5">
                    <c:v>10383941.205763221</c:v>
                  </c:pt>
                  <c:pt idx="6">
                    <c:v>-4193871.9222662002</c:v>
                  </c:pt>
                  <c:pt idx="7">
                    <c:v>-2304826.0478062406</c:v>
                  </c:pt>
                  <c:pt idx="8">
                    <c:v>16100.410147549002</c:v>
                  </c:pt>
                  <c:pt idx="9">
                    <c:v>-460583.70097379899</c:v>
                  </c:pt>
                </c:numCache>
              </c:numRef>
            </c:plus>
            <c:minus>
              <c:numRef>
                <c:f>'S-Curve '!$F$28:$F$36</c:f>
                <c:numCache>
                  <c:formatCode>General</c:formatCode>
                  <c:ptCount val="9"/>
                  <c:pt idx="0">
                    <c:v>-56129.054122941568</c:v>
                  </c:pt>
                  <c:pt idx="1">
                    <c:v>8115865.5697224066</c:v>
                  </c:pt>
                  <c:pt idx="2">
                    <c:v>9752340.4031109065</c:v>
                  </c:pt>
                  <c:pt idx="3">
                    <c:v>-991538.29583880305</c:v>
                  </c:pt>
                  <c:pt idx="4">
                    <c:v>-3512165.3289589882</c:v>
                  </c:pt>
                  <c:pt idx="5">
                    <c:v>-8127646.6785204411</c:v>
                  </c:pt>
                  <c:pt idx="6">
                    <c:v>-4259152.6018598005</c:v>
                  </c:pt>
                  <c:pt idx="7">
                    <c:v>-355995.49034341983</c:v>
                  </c:pt>
                  <c:pt idx="8">
                    <c:v>4748.7844981160015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'S-Curve '!$A$2:$A$12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'S-Curve '!$D$2:$D$12</c:f>
              <c:numCache>
                <c:formatCode>General</c:formatCode>
                <c:ptCount val="11"/>
                <c:pt idx="1">
                  <c:v>7296257.5302060004</c:v>
                </c:pt>
                <c:pt idx="2">
                  <c:v>15910483.2769621</c:v>
                </c:pt>
                <c:pt idx="3">
                  <c:v>41543078.543430902</c:v>
                </c:pt>
                <c:pt idx="4">
                  <c:v>112320841.90674999</c:v>
                </c:pt>
                <c:pt idx="5">
                  <c:v>117479090.66875599</c:v>
                </c:pt>
                <c:pt idx="6">
                  <c:v>75341105.650528207</c:v>
                </c:pt>
                <c:pt idx="7">
                  <c:v>32690095.4328424</c:v>
                </c:pt>
                <c:pt idx="8">
                  <c:v>5129332.1237317398</c:v>
                </c:pt>
                <c:pt idx="9">
                  <c:v>271351.57751974399</c:v>
                </c:pt>
                <c:pt idx="10">
                  <c:v>225592.56526021601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F-774E-8B0C-EBF68610B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6564175"/>
        <c:axId val="1115863503"/>
      </c:barChart>
      <c:lineChart>
        <c:grouping val="standard"/>
        <c:varyColors val="0"/>
        <c:ser>
          <c:idx val="1"/>
          <c:order val="1"/>
          <c:tx>
            <c:strRef>
              <c:f>'S-Curve '!$B$1</c:f>
              <c:strCache>
                <c:ptCount val="1"/>
                <c:pt idx="0">
                  <c:v>Market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'S-Curve '!$A$2:$A$12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'S-Curve '!$B$2:$B$12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0.14000000000000001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0.86</c:v>
                </c:pt>
                <c:pt idx="8">
                  <c:v>0.95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0F-774E-8B0C-EBF68610B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579487"/>
        <c:axId val="1102360287"/>
      </c:lineChart>
      <c:catAx>
        <c:axId val="127656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5863503"/>
        <c:crosses val="autoZero"/>
        <c:auto val="1"/>
        <c:lblAlgn val="ctr"/>
        <c:lblOffset val="100"/>
        <c:noMultiLvlLbl val="0"/>
      </c:catAx>
      <c:valAx>
        <c:axId val="1115863503"/>
        <c:scaling>
          <c:orientation val="minMax"/>
          <c:max val="25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Cost (£)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6417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110236028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79487"/>
        <c:crosses val="max"/>
        <c:crossBetween val="between"/>
      </c:valAx>
      <c:catAx>
        <c:axId val="127657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23602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8.5906379481409598E-2"/>
          <c:y val="0.93773368945176983"/>
          <c:w val="0.86446791140958179"/>
          <c:h val="5.4804220467938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Emissions!$Q$27</c:f>
              <c:strCache>
                <c:ptCount val="1"/>
                <c:pt idx="0">
                  <c:v>Grid 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Emissions!$P$29:$P$38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Emissions!$Q$29:$Q$38</c:f>
              <c:numCache>
                <c:formatCode>General</c:formatCode>
                <c:ptCount val="10"/>
                <c:pt idx="0">
                  <c:v>0.14599999999999999</c:v>
                </c:pt>
                <c:pt idx="1">
                  <c:v>0.127</c:v>
                </c:pt>
                <c:pt idx="2">
                  <c:v>9.5000000000000001E-2</c:v>
                </c:pt>
                <c:pt idx="3">
                  <c:v>7.0000000000000007E-2</c:v>
                </c:pt>
                <c:pt idx="4">
                  <c:v>6.0999999999999999E-2</c:v>
                </c:pt>
                <c:pt idx="5">
                  <c:v>5.1999999999999998E-2</c:v>
                </c:pt>
                <c:pt idx="6">
                  <c:v>4.8000000000000001E-2</c:v>
                </c:pt>
                <c:pt idx="7">
                  <c:v>0.04</c:v>
                </c:pt>
                <c:pt idx="8">
                  <c:v>3.2000000000000001E-2</c:v>
                </c:pt>
                <c:pt idx="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1-E140-ADAF-C3A44C81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33263"/>
        <c:axId val="277149199"/>
      </c:lineChart>
      <c:lineChart>
        <c:grouping val="standard"/>
        <c:varyColors val="0"/>
        <c:ser>
          <c:idx val="2"/>
          <c:order val="0"/>
          <c:tx>
            <c:strRef>
              <c:f>Emissions!$E$55</c:f>
              <c:strCache>
                <c:ptCount val="1"/>
                <c:pt idx="0">
                  <c:v>CO2 savings (t CO2e/yr) S Curve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Emissions!$P$29:$P$38</c:f>
              <c:numCache>
                <c:formatCode>General</c:formatCode>
                <c:ptCount val="1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</c:numCache>
            </c:numRef>
          </c:cat>
          <c:val>
            <c:numRef>
              <c:f>Emissions!$T$29:$T$38</c:f>
              <c:numCache>
                <c:formatCode>General</c:formatCode>
                <c:ptCount val="10"/>
                <c:pt idx="0">
                  <c:v>5160.7720822000001</c:v>
                </c:pt>
                <c:pt idx="1">
                  <c:v>38239.028803122252</c:v>
                </c:pt>
                <c:pt idx="2">
                  <c:v>191276.2897995199</c:v>
                </c:pt>
                <c:pt idx="3">
                  <c:v>664667.3769565468</c:v>
                </c:pt>
                <c:pt idx="4">
                  <c:v>1549306.4404544272</c:v>
                </c:pt>
                <c:pt idx="5">
                  <c:v>2811097.2952958168</c:v>
                </c:pt>
                <c:pt idx="6">
                  <c:v>4244791.0884806067</c:v>
                </c:pt>
                <c:pt idx="7">
                  <c:v>5846330.6167546827</c:v>
                </c:pt>
                <c:pt idx="8">
                  <c:v>7603136.5776732452</c:v>
                </c:pt>
                <c:pt idx="9">
                  <c:v>9495979.7912876718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1-E140-ADAF-C3A44C81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419599"/>
        <c:axId val="598545536"/>
      </c:lineChart>
      <c:catAx>
        <c:axId val="100713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7149199"/>
        <c:crosses val="autoZero"/>
        <c:auto val="1"/>
        <c:lblAlgn val="ctr"/>
        <c:lblOffset val="100"/>
        <c:noMultiLvlLbl val="0"/>
      </c:catAx>
      <c:valAx>
        <c:axId val="2771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Grid Emissiosn Factor (t CO2e/MWh)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7133263"/>
        <c:crosses val="autoZero"/>
        <c:crossBetween val="between"/>
      </c:valAx>
      <c:valAx>
        <c:axId val="598545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CO2 reduction (t CO2e/yr)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1419599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catAx>
        <c:axId val="145141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854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836026706558445E-2"/>
          <c:y val="0.91024607575960725"/>
          <c:w val="0.90058913037183308"/>
          <c:h val="8.742318112470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4627096278553"/>
          <c:y val="2.9383483637791395E-2"/>
          <c:w val="0.73549994776782157"/>
          <c:h val="0.78272019253657887"/>
        </c:manualLayout>
      </c:layout>
      <c:lineChart>
        <c:grouping val="standard"/>
        <c:varyColors val="0"/>
        <c:ser>
          <c:idx val="1"/>
          <c:order val="0"/>
          <c:tx>
            <c:strRef>
              <c:f>Emissions!$Q$27</c:f>
              <c:strCache>
                <c:ptCount val="1"/>
                <c:pt idx="0">
                  <c:v>Grid E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Emissions!$P$28:$P$38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Emissions!$Q$28:$Q$38</c:f>
              <c:numCache>
                <c:formatCode>General</c:formatCode>
                <c:ptCount val="11"/>
                <c:pt idx="0">
                  <c:v>0.187</c:v>
                </c:pt>
                <c:pt idx="1">
                  <c:v>0.14599999999999999</c:v>
                </c:pt>
                <c:pt idx="2">
                  <c:v>0.127</c:v>
                </c:pt>
                <c:pt idx="3">
                  <c:v>9.5000000000000001E-2</c:v>
                </c:pt>
                <c:pt idx="4">
                  <c:v>7.0000000000000007E-2</c:v>
                </c:pt>
                <c:pt idx="5">
                  <c:v>6.0999999999999999E-2</c:v>
                </c:pt>
                <c:pt idx="6">
                  <c:v>5.1999999999999998E-2</c:v>
                </c:pt>
                <c:pt idx="7">
                  <c:v>4.8000000000000001E-2</c:v>
                </c:pt>
                <c:pt idx="8">
                  <c:v>0.04</c:v>
                </c:pt>
                <c:pt idx="9">
                  <c:v>3.2000000000000001E-2</c:v>
                </c:pt>
                <c:pt idx="10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5-B64B-954C-828A66AC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33263"/>
        <c:axId val="277149199"/>
      </c:lineChart>
      <c:lineChart>
        <c:grouping val="standard"/>
        <c:varyColors val="0"/>
        <c:ser>
          <c:idx val="2"/>
          <c:order val="1"/>
          <c:tx>
            <c:strRef>
              <c:f>Emissions!$S$27</c:f>
              <c:strCache>
                <c:ptCount val="1"/>
                <c:pt idx="0">
                  <c:v>CO2 abatement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Emissions!$B$69:$B$79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Emissions!$C$2:$C$12</c:f>
              <c:numCache>
                <c:formatCode>General</c:formatCode>
                <c:ptCount val="11"/>
                <c:pt idx="0">
                  <c:v>1764591.2</c:v>
                </c:pt>
                <c:pt idx="1">
                  <c:v>1764591.2</c:v>
                </c:pt>
                <c:pt idx="2">
                  <c:v>1764591.2</c:v>
                </c:pt>
                <c:pt idx="3">
                  <c:v>1764591.2</c:v>
                </c:pt>
                <c:pt idx="4">
                  <c:v>1764591.2</c:v>
                </c:pt>
                <c:pt idx="5">
                  <c:v>1764591.2</c:v>
                </c:pt>
                <c:pt idx="6">
                  <c:v>1764591.2</c:v>
                </c:pt>
                <c:pt idx="7">
                  <c:v>1764591.2</c:v>
                </c:pt>
                <c:pt idx="8">
                  <c:v>1764591.2</c:v>
                </c:pt>
                <c:pt idx="9">
                  <c:v>1764591.2</c:v>
                </c:pt>
                <c:pt idx="10">
                  <c:v>1764591.2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5-B64B-954C-828A66AC2286}"/>
            </c:ext>
          </c:extLst>
        </c:ser>
        <c:ser>
          <c:idx val="0"/>
          <c:order val="2"/>
          <c:tx>
            <c:strRef>
              <c:f>Emissions!$V$55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Emissions!$B$69:$B$79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Emissions!$U$14:$U$26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5-B64B-954C-828A66AC2286}"/>
            </c:ext>
          </c:extLst>
        </c:ser>
        <c:ser>
          <c:idx val="3"/>
          <c:order val="3"/>
          <c:tx>
            <c:strRef>
              <c:f>Emissions!$D$1</c:f>
              <c:strCache>
                <c:ptCount val="1"/>
                <c:pt idx="0">
                  <c:v>CCS recommendation 2035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Emissions!$B$69:$B$79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Emissions!$D$2:$D$12</c:f>
              <c:numCache>
                <c:formatCode>General</c:formatCode>
                <c:ptCount val="11"/>
                <c:pt idx="0">
                  <c:v>776420.12800000003</c:v>
                </c:pt>
                <c:pt idx="1">
                  <c:v>776420.12800000003</c:v>
                </c:pt>
                <c:pt idx="2">
                  <c:v>776420.12800000003</c:v>
                </c:pt>
                <c:pt idx="3">
                  <c:v>776420.12800000003</c:v>
                </c:pt>
                <c:pt idx="4">
                  <c:v>776420.12800000003</c:v>
                </c:pt>
                <c:pt idx="5">
                  <c:v>776420.12800000003</c:v>
                </c:pt>
                <c:pt idx="6">
                  <c:v>776420.12800000003</c:v>
                </c:pt>
                <c:pt idx="7">
                  <c:v>776420.12800000003</c:v>
                </c:pt>
                <c:pt idx="8">
                  <c:v>776420.12800000003</c:v>
                </c:pt>
                <c:pt idx="9">
                  <c:v>776420.12800000003</c:v>
                </c:pt>
                <c:pt idx="10">
                  <c:v>776420.12800000003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65-B64B-954C-828A66AC2286}"/>
            </c:ext>
          </c:extLst>
        </c:ser>
        <c:ser>
          <c:idx val="4"/>
          <c:order val="4"/>
          <c:tx>
            <c:strRef>
              <c:f>Emissions!$E$1</c:f>
              <c:strCache>
                <c:ptCount val="1"/>
                <c:pt idx="0">
                  <c:v>UK Industry Goal 2035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Emissions!$B$69:$B$79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Emissions!$E$2:$E$12</c:f>
              <c:numCache>
                <c:formatCode>General</c:formatCode>
                <c:ptCount val="11"/>
                <c:pt idx="0">
                  <c:v>588197.06666666665</c:v>
                </c:pt>
                <c:pt idx="1">
                  <c:v>588197.06666666665</c:v>
                </c:pt>
                <c:pt idx="2">
                  <c:v>588197.06666666665</c:v>
                </c:pt>
                <c:pt idx="3">
                  <c:v>588197.06666666665</c:v>
                </c:pt>
                <c:pt idx="4">
                  <c:v>588197.06666666665</c:v>
                </c:pt>
                <c:pt idx="5">
                  <c:v>588197.06666666665</c:v>
                </c:pt>
                <c:pt idx="6">
                  <c:v>588197.06666666665</c:v>
                </c:pt>
                <c:pt idx="7">
                  <c:v>588197.06666666665</c:v>
                </c:pt>
                <c:pt idx="8">
                  <c:v>588197.06666666665</c:v>
                </c:pt>
                <c:pt idx="9">
                  <c:v>588197.06666666665</c:v>
                </c:pt>
                <c:pt idx="10">
                  <c:v>588197.06666666665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5-B64B-954C-828A66AC2286}"/>
            </c:ext>
          </c:extLst>
        </c:ser>
        <c:ser>
          <c:idx val="5"/>
          <c:order val="5"/>
          <c:tx>
            <c:strRef>
              <c:f>Emissions!$AF$69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Emissions!$B$69:$B$79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Emissions!$R$69:$R$79</c:f>
              <c:numCache>
                <c:formatCode>General</c:formatCode>
                <c:ptCount val="11"/>
                <c:pt idx="0">
                  <c:v>1765838.7916384863</c:v>
                </c:pt>
                <c:pt idx="1">
                  <c:v>1760790.7959623893</c:v>
                </c:pt>
                <c:pt idx="2">
                  <c:v>1732393.4210468552</c:v>
                </c:pt>
                <c:pt idx="3">
                  <c:v>1633496.8517651455</c:v>
                </c:pt>
                <c:pt idx="4">
                  <c:v>1417469.508288068</c:v>
                </c:pt>
                <c:pt idx="5">
                  <c:v>1146355.6720718332</c:v>
                </c:pt>
                <c:pt idx="6">
                  <c:v>844147.71800283354</c:v>
                </c:pt>
                <c:pt idx="7">
                  <c:v>603763.31554109021</c:v>
                </c:pt>
                <c:pt idx="8">
                  <c:v>416507.62802777404</c:v>
                </c:pt>
                <c:pt idx="9">
                  <c:v>291286.62502071436</c:v>
                </c:pt>
                <c:pt idx="10">
                  <c:v>215931.37397753276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65-B64B-954C-828A66AC2286}"/>
            </c:ext>
          </c:extLst>
        </c:ser>
        <c:ser>
          <c:idx val="6"/>
          <c:order val="6"/>
          <c:tx>
            <c:strRef>
              <c:f>Emissions!#REF!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Emissions!$B$69:$B$79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Emissions!$H$69:$H$79</c:f>
              <c:numCache>
                <c:formatCode>General</c:formatCode>
                <c:ptCount val="11"/>
                <c:pt idx="0">
                  <c:v>1765838.79163849</c:v>
                </c:pt>
                <c:pt idx="1">
                  <c:v>1715358.8348775168</c:v>
                </c:pt>
                <c:pt idx="2">
                  <c:v>1632057.3092719624</c:v>
                </c:pt>
                <c:pt idx="3">
                  <c:v>1482248.9204813277</c:v>
                </c:pt>
                <c:pt idx="4">
                  <c:v>1301346.4138379283</c:v>
                </c:pt>
                <c:pt idx="5">
                  <c:v>1146355.6720718332</c:v>
                </c:pt>
                <c:pt idx="6">
                  <c:v>975817.87137935543</c:v>
                </c:pt>
                <c:pt idx="7">
                  <c:v>819963.40411734988</c:v>
                </c:pt>
                <c:pt idx="8">
                  <c:v>629559.91701893928</c:v>
                </c:pt>
                <c:pt idx="9">
                  <c:v>425336.82198596641</c:v>
                </c:pt>
                <c:pt idx="10">
                  <c:v>215931.37397753276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65-B64B-954C-828A66AC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35456"/>
        <c:axId val="593353424"/>
      </c:lineChart>
      <c:catAx>
        <c:axId val="100713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7149199"/>
        <c:crosses val="autoZero"/>
        <c:auto val="1"/>
        <c:lblAlgn val="ctr"/>
        <c:lblOffset val="100"/>
        <c:noMultiLvlLbl val="0"/>
      </c:catAx>
      <c:valAx>
        <c:axId val="2771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Grid Emissiosn Factor (t CO2e/MWh)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7133263"/>
        <c:crosses val="autoZero"/>
        <c:crossBetween val="between"/>
      </c:valAx>
      <c:valAx>
        <c:axId val="593353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Yearly  GHG emissions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035456"/>
        <c:crosses val="max"/>
        <c:crossBetween val="between"/>
      </c:valAx>
      <c:catAx>
        <c:axId val="5980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35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220824654646333E-2"/>
          <c:y val="0.88339979890573384"/>
          <c:w val="0.95347493907700509"/>
          <c:h val="0.1033332027526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40677278378358"/>
          <c:y val="1.6193645029933632E-2"/>
          <c:w val="0.82855986643569191"/>
          <c:h val="0.77041840199805112"/>
        </c:manualLayout>
      </c:layout>
      <c:lineChart>
        <c:grouping val="standard"/>
        <c:varyColors val="0"/>
        <c:ser>
          <c:idx val="0"/>
          <c:order val="0"/>
          <c:tx>
            <c:strRef>
              <c:f>Emissions!$R$68</c:f>
              <c:strCache>
                <c:ptCount val="1"/>
                <c:pt idx="0">
                  <c:v>S-Curve CO2 yearly reduction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Emissions!$P$28:$P$38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Emissions!$R$69:$R$79</c:f>
              <c:numCache>
                <c:formatCode>General</c:formatCode>
                <c:ptCount val="11"/>
                <c:pt idx="0">
                  <c:v>1765838.7916384863</c:v>
                </c:pt>
                <c:pt idx="1">
                  <c:v>1760790.7959623893</c:v>
                </c:pt>
                <c:pt idx="2">
                  <c:v>1732393.4210468552</c:v>
                </c:pt>
                <c:pt idx="3">
                  <c:v>1633496.8517651455</c:v>
                </c:pt>
                <c:pt idx="4">
                  <c:v>1417469.508288068</c:v>
                </c:pt>
                <c:pt idx="5">
                  <c:v>1146355.6720718332</c:v>
                </c:pt>
                <c:pt idx="6">
                  <c:v>844147.71800283354</c:v>
                </c:pt>
                <c:pt idx="7">
                  <c:v>603763.31554109021</c:v>
                </c:pt>
                <c:pt idx="8">
                  <c:v>416507.62802777404</c:v>
                </c:pt>
                <c:pt idx="9">
                  <c:v>291286.62502071436</c:v>
                </c:pt>
                <c:pt idx="10">
                  <c:v>215931.37397753276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6-4040-829D-C536B231A645}"/>
            </c:ext>
          </c:extLst>
        </c:ser>
        <c:ser>
          <c:idx val="2"/>
          <c:order val="1"/>
          <c:tx>
            <c:strRef>
              <c:f>Emissions!$H$68</c:f>
              <c:strCache>
                <c:ptCount val="1"/>
                <c:pt idx="0">
                  <c:v>Linear Adoption Yearly CO2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Emissions!$P$28:$P$38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Emissions!$H$69:$H$79</c:f>
              <c:numCache>
                <c:formatCode>General</c:formatCode>
                <c:ptCount val="11"/>
                <c:pt idx="0">
                  <c:v>1765838.79163849</c:v>
                </c:pt>
                <c:pt idx="1">
                  <c:v>1715358.8348775168</c:v>
                </c:pt>
                <c:pt idx="2">
                  <c:v>1632057.3092719624</c:v>
                </c:pt>
                <c:pt idx="3">
                  <c:v>1482248.9204813277</c:v>
                </c:pt>
                <c:pt idx="4">
                  <c:v>1301346.4138379283</c:v>
                </c:pt>
                <c:pt idx="5">
                  <c:v>1146355.6720718332</c:v>
                </c:pt>
                <c:pt idx="6">
                  <c:v>975817.87137935543</c:v>
                </c:pt>
                <c:pt idx="7">
                  <c:v>819963.40411734988</c:v>
                </c:pt>
                <c:pt idx="8">
                  <c:v>629559.91701893928</c:v>
                </c:pt>
                <c:pt idx="9">
                  <c:v>425336.82198596641</c:v>
                </c:pt>
                <c:pt idx="10">
                  <c:v>215931.37397753276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6-4040-829D-C536B231A645}"/>
            </c:ext>
          </c:extLst>
        </c:ser>
        <c:ser>
          <c:idx val="3"/>
          <c:order val="2"/>
          <c:tx>
            <c:strRef>
              <c:f>Emissions!$C$1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Emissions!$P$28:$P$38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Emissions!$C$2:$C$12</c:f>
              <c:numCache>
                <c:formatCode>General</c:formatCode>
                <c:ptCount val="11"/>
                <c:pt idx="0">
                  <c:v>1764591.2</c:v>
                </c:pt>
                <c:pt idx="1">
                  <c:v>1764591.2</c:v>
                </c:pt>
                <c:pt idx="2">
                  <c:v>1764591.2</c:v>
                </c:pt>
                <c:pt idx="3">
                  <c:v>1764591.2</c:v>
                </c:pt>
                <c:pt idx="4">
                  <c:v>1764591.2</c:v>
                </c:pt>
                <c:pt idx="5">
                  <c:v>1764591.2</c:v>
                </c:pt>
                <c:pt idx="6">
                  <c:v>1764591.2</c:v>
                </c:pt>
                <c:pt idx="7">
                  <c:v>1764591.2</c:v>
                </c:pt>
                <c:pt idx="8">
                  <c:v>1764591.2</c:v>
                </c:pt>
                <c:pt idx="9">
                  <c:v>1764591.2</c:v>
                </c:pt>
                <c:pt idx="10">
                  <c:v>1764591.2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6-4040-829D-C536B231A645}"/>
            </c:ext>
          </c:extLst>
        </c:ser>
        <c:ser>
          <c:idx val="4"/>
          <c:order val="3"/>
          <c:tx>
            <c:strRef>
              <c:f>Emissions!$D$1</c:f>
              <c:strCache>
                <c:ptCount val="1"/>
                <c:pt idx="0">
                  <c:v>CCS recommendation 2035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Emissions!$P$28:$P$38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Emissions!$D$2:$D$12</c:f>
              <c:numCache>
                <c:formatCode>General</c:formatCode>
                <c:ptCount val="11"/>
                <c:pt idx="0">
                  <c:v>776420.12800000003</c:v>
                </c:pt>
                <c:pt idx="1">
                  <c:v>776420.12800000003</c:v>
                </c:pt>
                <c:pt idx="2">
                  <c:v>776420.12800000003</c:v>
                </c:pt>
                <c:pt idx="3">
                  <c:v>776420.12800000003</c:v>
                </c:pt>
                <c:pt idx="4">
                  <c:v>776420.12800000003</c:v>
                </c:pt>
                <c:pt idx="5">
                  <c:v>776420.12800000003</c:v>
                </c:pt>
                <c:pt idx="6">
                  <c:v>776420.12800000003</c:v>
                </c:pt>
                <c:pt idx="7">
                  <c:v>776420.12800000003</c:v>
                </c:pt>
                <c:pt idx="8">
                  <c:v>776420.12800000003</c:v>
                </c:pt>
                <c:pt idx="9">
                  <c:v>776420.12800000003</c:v>
                </c:pt>
                <c:pt idx="10">
                  <c:v>776420.12800000003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6-4040-829D-C536B231A645}"/>
            </c:ext>
          </c:extLst>
        </c:ser>
        <c:ser>
          <c:idx val="5"/>
          <c:order val="4"/>
          <c:tx>
            <c:strRef>
              <c:f>Emissions!$E$1</c:f>
              <c:strCache>
                <c:ptCount val="1"/>
                <c:pt idx="0">
                  <c:v>UK Industry Goal 2035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Emissions!$P$28:$P$38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Emissions!$E$2:$E$12</c:f>
              <c:numCache>
                <c:formatCode>General</c:formatCode>
                <c:ptCount val="11"/>
                <c:pt idx="0">
                  <c:v>588197.06666666665</c:v>
                </c:pt>
                <c:pt idx="1">
                  <c:v>588197.06666666665</c:v>
                </c:pt>
                <c:pt idx="2">
                  <c:v>588197.06666666665</c:v>
                </c:pt>
                <c:pt idx="3">
                  <c:v>588197.06666666665</c:v>
                </c:pt>
                <c:pt idx="4">
                  <c:v>588197.06666666665</c:v>
                </c:pt>
                <c:pt idx="5">
                  <c:v>588197.06666666665</c:v>
                </c:pt>
                <c:pt idx="6">
                  <c:v>588197.06666666665</c:v>
                </c:pt>
                <c:pt idx="7">
                  <c:v>588197.06666666665</c:v>
                </c:pt>
                <c:pt idx="8">
                  <c:v>588197.06666666665</c:v>
                </c:pt>
                <c:pt idx="9">
                  <c:v>588197.06666666665</c:v>
                </c:pt>
                <c:pt idx="10">
                  <c:v>588197.06666666665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6-4040-829D-C536B231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161104"/>
        <c:axId val="1723985840"/>
      </c:lineChart>
      <c:catAx>
        <c:axId val="173216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3985840"/>
        <c:crosses val="autoZero"/>
        <c:auto val="1"/>
        <c:lblAlgn val="ctr"/>
        <c:lblOffset val="100"/>
        <c:noMultiLvlLbl val="0"/>
      </c:catAx>
      <c:valAx>
        <c:axId val="1723985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CO2 Yearly emissions (t CO2e/yr)</a:t>
                </a:r>
              </a:p>
            </c:rich>
          </c:tx>
          <c:layout>
            <c:manualLayout>
              <c:xMode val="edge"/>
              <c:yMode val="edge"/>
              <c:x val="2.4645125129977418E-2"/>
              <c:y val="0.20109258426791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216110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722633440937825E-2"/>
          <c:y val="0.89125384274291941"/>
          <c:w val="0.94217126912831783"/>
          <c:h val="9.7983662990792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0671379407169"/>
          <c:y val="2.2122274185828534E-2"/>
          <c:w val="0.82168378514628992"/>
          <c:h val="0.78272219713793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'Validation Cost of heating diff'!$B$19</c:f>
              <c:strCache>
                <c:ptCount val="1"/>
                <c:pt idx="0">
                  <c:v>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'Validation Cost of heating diff'!$C$18:$F$18</c:f>
              <c:strCache>
                <c:ptCount val="4"/>
                <c:pt idx="0">
                  <c:v>Natural Gas Boiler</c:v>
                </c:pt>
                <c:pt idx="1">
                  <c:v>Electric Boiler</c:v>
                </c:pt>
                <c:pt idx="2">
                  <c:v>After Policies Natural Gas Boiler</c:v>
                </c:pt>
                <c:pt idx="3">
                  <c:v>After Policies Switch Electric Boiler</c:v>
                </c:pt>
              </c:strCache>
            </c:strRef>
          </c:cat>
          <c:val>
            <c:numRef>
              <c:f>'Validation Cost of heating diff'!$C$19:$F$19</c:f>
              <c:numCache>
                <c:formatCode>"£"#,##0.00</c:formatCode>
                <c:ptCount val="4"/>
                <c:pt idx="0">
                  <c:v>8613.4270385584532</c:v>
                </c:pt>
                <c:pt idx="1">
                  <c:v>15052.99210163705</c:v>
                </c:pt>
                <c:pt idx="2">
                  <c:v>8613.4270385584532</c:v>
                </c:pt>
                <c:pt idx="3">
                  <c:v>10377.696616881321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F-3547-B865-FE83F36E8ECF}"/>
            </c:ext>
          </c:extLst>
        </c:ser>
        <c:ser>
          <c:idx val="1"/>
          <c:order val="1"/>
          <c:tx>
            <c:strRef>
              <c:f>'Validation Cost of heating diff'!$B$20</c:f>
              <c:strCache>
                <c:ptCount val="1"/>
                <c:pt idx="0">
                  <c:v>VO&amp;M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'Validation Cost of heating diff'!$C$18:$F$18</c:f>
              <c:strCache>
                <c:ptCount val="4"/>
                <c:pt idx="0">
                  <c:v>Natural Gas Boiler</c:v>
                </c:pt>
                <c:pt idx="1">
                  <c:v>Electric Boiler</c:v>
                </c:pt>
                <c:pt idx="2">
                  <c:v>After Policies Natural Gas Boiler</c:v>
                </c:pt>
                <c:pt idx="3">
                  <c:v>After Policies Switch Electric Boiler</c:v>
                </c:pt>
              </c:strCache>
            </c:strRef>
          </c:cat>
          <c:val>
            <c:numRef>
              <c:f>'Validation Cost of heating diff'!$C$20:$F$20</c:f>
              <c:numCache>
                <c:formatCode>"£"#,##0.00</c:formatCode>
                <c:ptCount val="4"/>
                <c:pt idx="0">
                  <c:v>92400</c:v>
                </c:pt>
                <c:pt idx="1">
                  <c:v>322560</c:v>
                </c:pt>
                <c:pt idx="2">
                  <c:v>92400</c:v>
                </c:pt>
                <c:pt idx="3">
                  <c:v>122528.73981288527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F-3547-B865-FE83F36E8ECF}"/>
            </c:ext>
          </c:extLst>
        </c:ser>
        <c:ser>
          <c:idx val="2"/>
          <c:order val="2"/>
          <c:tx>
            <c:strRef>
              <c:f>'Validation Cost of heating diff'!$B$21</c:f>
              <c:strCache>
                <c:ptCount val="1"/>
                <c:pt idx="0">
                  <c:v>Fixed O&amp;M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'Validation Cost of heating diff'!$C$18:$F$18</c:f>
              <c:strCache>
                <c:ptCount val="4"/>
                <c:pt idx="0">
                  <c:v>Natural Gas Boiler</c:v>
                </c:pt>
                <c:pt idx="1">
                  <c:v>Electric Boiler</c:v>
                </c:pt>
                <c:pt idx="2">
                  <c:v>After Policies Natural Gas Boiler</c:v>
                </c:pt>
                <c:pt idx="3">
                  <c:v>After Policies Switch Electric Boiler</c:v>
                </c:pt>
              </c:strCache>
            </c:strRef>
          </c:cat>
          <c:val>
            <c:numRef>
              <c:f>'Validation Cost of heating diff'!$C$21:$F$21</c:f>
              <c:numCache>
                <c:formatCode>"£"#,##0.00</c:formatCode>
                <c:ptCount val="4"/>
                <c:pt idx="0">
                  <c:v>3168.3708248125431</c:v>
                </c:pt>
                <c:pt idx="1">
                  <c:v>1875.9355385519398</c:v>
                </c:pt>
                <c:pt idx="2">
                  <c:v>3168.3708248125431</c:v>
                </c:pt>
                <c:pt idx="3">
                  <c:v>1875.9355385519398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F-3547-B865-FE83F36E8ECF}"/>
            </c:ext>
          </c:extLst>
        </c:ser>
        <c:ser>
          <c:idx val="3"/>
          <c:order val="3"/>
          <c:tx>
            <c:strRef>
              <c:f>'Validation Cost of heating diff'!$B$22</c:f>
              <c:strCache>
                <c:ptCount val="1"/>
                <c:pt idx="0">
                  <c:v>carbon tax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'Validation Cost of heating diff'!$C$18:$F$18</c:f>
              <c:strCache>
                <c:ptCount val="4"/>
                <c:pt idx="0">
                  <c:v>Natural Gas Boiler</c:v>
                </c:pt>
                <c:pt idx="1">
                  <c:v>Electric Boiler</c:v>
                </c:pt>
                <c:pt idx="2">
                  <c:v>After Policies Natural Gas Boiler</c:v>
                </c:pt>
                <c:pt idx="3">
                  <c:v>After Policies Switch Electric Boiler</c:v>
                </c:pt>
              </c:strCache>
            </c:strRef>
          </c:cat>
          <c:val>
            <c:numRef>
              <c:f>'Validation Cost of heating diff'!$C$22:$F$22</c:f>
              <c:numCache>
                <c:formatCode>General</c:formatCode>
                <c:ptCount val="4"/>
                <c:pt idx="2" formatCode="&quot;£&quot;#,##0.00">
                  <c:v>144480.37376048099</c:v>
                </c:pt>
                <c:pt idx="3" formatCode="&quot;£&quot;#,##0.00">
                  <c:v>103957.97818301863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F-3547-B865-FE83F36E8ECF}"/>
            </c:ext>
          </c:extLst>
        </c:ser>
        <c:ser>
          <c:idx val="4"/>
          <c:order val="4"/>
          <c:tx>
            <c:strRef>
              <c:f>'Validation Cost of heating diff'!$B$23</c:f>
              <c:strCache>
                <c:ptCount val="1"/>
                <c:pt idx="0">
                  <c:v>gas tax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'Validation Cost of heating diff'!$C$18:$F$18</c:f>
              <c:strCache>
                <c:ptCount val="4"/>
                <c:pt idx="0">
                  <c:v>Natural Gas Boiler</c:v>
                </c:pt>
                <c:pt idx="1">
                  <c:v>Electric Boiler</c:v>
                </c:pt>
                <c:pt idx="2">
                  <c:v>After Policies Natural Gas Boiler</c:v>
                </c:pt>
                <c:pt idx="3">
                  <c:v>After Policies Switch Electric Boiler</c:v>
                </c:pt>
              </c:strCache>
            </c:strRef>
          </c:cat>
          <c:val>
            <c:numRef>
              <c:f>'Validation Cost of heating diff'!$C$23:$F$23</c:f>
              <c:numCache>
                <c:formatCode>General</c:formatCode>
                <c:ptCount val="4"/>
                <c:pt idx="2" formatCode="&quot;£&quot;#,##0.00">
                  <c:v>10095.781033239866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7F-3547-B865-FE83F36E8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6844143"/>
        <c:axId val="1126683759"/>
      </c:barChart>
      <c:catAx>
        <c:axId val="17268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6683759"/>
        <c:crosses val="autoZero"/>
        <c:auto val="1"/>
        <c:lblAlgn val="ctr"/>
        <c:lblOffset val="100"/>
        <c:noMultiLvlLbl val="0"/>
      </c:catAx>
      <c:valAx>
        <c:axId val="11266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684414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29573026317225"/>
          <c:y val="0.94723814854335542"/>
          <c:w val="0.74546764029305757"/>
          <c:h val="4.474887624891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'Validation Cost of heating diff'!$B$19</c:f>
              <c:strCache>
                <c:ptCount val="1"/>
                <c:pt idx="0">
                  <c:v>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'Validation Cost of heating diff'!$K$18:$L$18</c:f>
              <c:strCache>
                <c:ptCount val="2"/>
                <c:pt idx="0">
                  <c:v>After Switch Natural Gas Boiler</c:v>
                </c:pt>
                <c:pt idx="1">
                  <c:v>After Switch  Electric Boiler 2</c:v>
                </c:pt>
              </c:strCache>
            </c:strRef>
          </c:cat>
          <c:val>
            <c:numRef>
              <c:f>'Validation Cost of heating diff'!$K$19:$L$19</c:f>
              <c:numCache>
                <c:formatCode>"£"#,##0.00</c:formatCode>
                <c:ptCount val="2"/>
                <c:pt idx="0">
                  <c:v>640319.08982249291</c:v>
                </c:pt>
                <c:pt idx="1">
                  <c:v>136387.86212434078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D-2840-9349-92C86DA72D05}"/>
            </c:ext>
          </c:extLst>
        </c:ser>
        <c:ser>
          <c:idx val="1"/>
          <c:order val="1"/>
          <c:tx>
            <c:strRef>
              <c:f>'Validation Cost of heating diff'!$B$20</c:f>
              <c:strCache>
                <c:ptCount val="1"/>
                <c:pt idx="0">
                  <c:v>VO&amp;M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'Validation Cost of heating diff'!$K$18:$L$18</c:f>
              <c:strCache>
                <c:ptCount val="2"/>
                <c:pt idx="0">
                  <c:v>After Switch Natural Gas Boiler</c:v>
                </c:pt>
                <c:pt idx="1">
                  <c:v>After Switch  Electric Boiler 2</c:v>
                </c:pt>
              </c:strCache>
            </c:strRef>
          </c:cat>
          <c:val>
            <c:numRef>
              <c:f>'Validation Cost of heating diff'!$K$20:$L$20</c:f>
              <c:numCache>
                <c:formatCode>"£"#,##0.00</c:formatCode>
                <c:ptCount val="2"/>
                <c:pt idx="0">
                  <c:v>6868983</c:v>
                </c:pt>
                <c:pt idx="1">
                  <c:v>9108742.7574256714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D-2840-9349-92C86DA72D05}"/>
            </c:ext>
          </c:extLst>
        </c:ser>
        <c:ser>
          <c:idx val="2"/>
          <c:order val="2"/>
          <c:tx>
            <c:strRef>
              <c:f>'Validation Cost of heating diff'!$B$21</c:f>
              <c:strCache>
                <c:ptCount val="1"/>
                <c:pt idx="0">
                  <c:v>Fixed O&amp;M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'Validation Cost of heating diff'!$K$18:$L$18</c:f>
              <c:strCache>
                <c:ptCount val="2"/>
                <c:pt idx="0">
                  <c:v>After Switch Natural Gas Boiler</c:v>
                </c:pt>
                <c:pt idx="1">
                  <c:v>After Switch  Electric Boiler 2</c:v>
                </c:pt>
              </c:strCache>
            </c:strRef>
          </c:cat>
          <c:val>
            <c:numRef>
              <c:f>'Validation Cost of heating diff'!$K$21:$L$21</c:f>
              <c:numCache>
                <c:formatCode>"£"#,##0.00</c:formatCode>
                <c:ptCount val="2"/>
                <c:pt idx="0">
                  <c:v>235535.55555555556</c:v>
                </c:pt>
                <c:pt idx="1">
                  <c:v>24654.29921799562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D-2840-9349-92C86DA72D05}"/>
            </c:ext>
          </c:extLst>
        </c:ser>
        <c:ser>
          <c:idx val="3"/>
          <c:order val="3"/>
          <c:tx>
            <c:strRef>
              <c:f>'Validation Cost of heating diff'!$B$22</c:f>
              <c:strCache>
                <c:ptCount val="1"/>
                <c:pt idx="0">
                  <c:v>carbon tax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'Validation Cost of heating diff'!$K$18:$L$18</c:f>
              <c:strCache>
                <c:ptCount val="2"/>
                <c:pt idx="0">
                  <c:v>After Switch Natural Gas Boiler</c:v>
                </c:pt>
                <c:pt idx="1">
                  <c:v>After Switch  Electric Boiler 2</c:v>
                </c:pt>
              </c:strCache>
            </c:strRef>
          </c:cat>
          <c:val>
            <c:numRef>
              <c:f>'Validation Cost of heating diff'!$K$22:$L$22</c:f>
              <c:numCache>
                <c:formatCode>"£"#,##0.00</c:formatCode>
                <c:ptCount val="2"/>
                <c:pt idx="0">
                  <c:v>10740619.385220671</c:v>
                </c:pt>
                <c:pt idx="1">
                  <c:v>7728198.9702762524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7D-2840-9349-92C86DA72D05}"/>
            </c:ext>
          </c:extLst>
        </c:ser>
        <c:ser>
          <c:idx val="4"/>
          <c:order val="4"/>
          <c:tx>
            <c:strRef>
              <c:f>'Validation Cost of heating diff'!$B$23</c:f>
              <c:strCache>
                <c:ptCount val="1"/>
                <c:pt idx="0">
                  <c:v>gas tax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'Validation Cost of heating diff'!$K$18:$L$18</c:f>
              <c:strCache>
                <c:ptCount val="2"/>
                <c:pt idx="0">
                  <c:v>After Switch Natural Gas Boiler</c:v>
                </c:pt>
                <c:pt idx="1">
                  <c:v>After Switch  Electric Boiler 2</c:v>
                </c:pt>
              </c:strCache>
            </c:strRef>
          </c:cat>
          <c:val>
            <c:numRef>
              <c:f>'Validation Cost of heating diff'!$K$23:$L$23</c:f>
              <c:numCache>
                <c:formatCode>General</c:formatCode>
                <c:ptCount val="2"/>
                <c:pt idx="0" formatCode="&quot;£&quot;#,##0.00">
                  <c:v>750516.75637496822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7D-2840-9349-92C86DA7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6844143"/>
        <c:axId val="1126683759"/>
      </c:barChart>
      <c:catAx>
        <c:axId val="17268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6683759"/>
        <c:crosses val="autoZero"/>
        <c:auto val="1"/>
        <c:lblAlgn val="ctr"/>
        <c:lblOffset val="100"/>
        <c:noMultiLvlLbl val="0"/>
      </c:catAx>
      <c:valAx>
        <c:axId val="11266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684414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0671379407169"/>
          <c:y val="2.2122274185828534E-2"/>
          <c:w val="0.82168378514628992"/>
          <c:h val="0.78272219713793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'Validation Cost of heating diff'!$B$60</c:f>
              <c:strCache>
                <c:ptCount val="1"/>
                <c:pt idx="0">
                  <c:v>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'Validation Cost of heating diff'!$C$18:$F$18</c:f>
              <c:strCache>
                <c:ptCount val="4"/>
                <c:pt idx="0">
                  <c:v>Natural Gas Boiler</c:v>
                </c:pt>
                <c:pt idx="1">
                  <c:v>Electric Boiler</c:v>
                </c:pt>
                <c:pt idx="2">
                  <c:v>After Policies Natural Gas Boiler</c:v>
                </c:pt>
                <c:pt idx="3">
                  <c:v>After Policies Switch Electric Boiler</c:v>
                </c:pt>
              </c:strCache>
            </c:strRef>
          </c:cat>
          <c:val>
            <c:numRef>
              <c:f>'Validation Cost of heating diff'!$C$60:$F$60</c:f>
              <c:numCache>
                <c:formatCode>General</c:formatCode>
                <c:ptCount val="4"/>
                <c:pt idx="0">
                  <c:v>8613.4270385584532</c:v>
                </c:pt>
                <c:pt idx="1">
                  <c:v>15052.99210163705</c:v>
                </c:pt>
                <c:pt idx="2">
                  <c:v>8613.4270385584532</c:v>
                </c:pt>
                <c:pt idx="3">
                  <c:v>10377.696616881321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4-3645-8AD0-E205F027A4AE}"/>
            </c:ext>
          </c:extLst>
        </c:ser>
        <c:ser>
          <c:idx val="1"/>
          <c:order val="1"/>
          <c:tx>
            <c:strRef>
              <c:f>'Validation Cost of heating diff'!$B$61</c:f>
              <c:strCache>
                <c:ptCount val="1"/>
                <c:pt idx="0">
                  <c:v>VO&amp;M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'Validation Cost of heating diff'!$C$18:$F$18</c:f>
              <c:strCache>
                <c:ptCount val="4"/>
                <c:pt idx="0">
                  <c:v>Natural Gas Boiler</c:v>
                </c:pt>
                <c:pt idx="1">
                  <c:v>Electric Boiler</c:v>
                </c:pt>
                <c:pt idx="2">
                  <c:v>After Policies Natural Gas Boiler</c:v>
                </c:pt>
                <c:pt idx="3">
                  <c:v>After Policies Switch Electric Boiler</c:v>
                </c:pt>
              </c:strCache>
            </c:strRef>
          </c:cat>
          <c:val>
            <c:numRef>
              <c:f>'Validation Cost of heating diff'!$C$61:$F$61</c:f>
              <c:numCache>
                <c:formatCode>General</c:formatCode>
                <c:ptCount val="4"/>
                <c:pt idx="0">
                  <c:v>92400</c:v>
                </c:pt>
                <c:pt idx="1">
                  <c:v>322560</c:v>
                </c:pt>
                <c:pt idx="2">
                  <c:v>92400</c:v>
                </c:pt>
                <c:pt idx="3">
                  <c:v>122528.73981288527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4-3645-8AD0-E205F027A4AE}"/>
            </c:ext>
          </c:extLst>
        </c:ser>
        <c:ser>
          <c:idx val="2"/>
          <c:order val="2"/>
          <c:tx>
            <c:strRef>
              <c:f>'Validation Cost of heating diff'!$B$62</c:f>
              <c:strCache>
                <c:ptCount val="1"/>
                <c:pt idx="0">
                  <c:v>Fixed O&amp;M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'Validation Cost of heating diff'!$C$18:$F$18</c:f>
              <c:strCache>
                <c:ptCount val="4"/>
                <c:pt idx="0">
                  <c:v>Natural Gas Boiler</c:v>
                </c:pt>
                <c:pt idx="1">
                  <c:v>Electric Boiler</c:v>
                </c:pt>
                <c:pt idx="2">
                  <c:v>After Policies Natural Gas Boiler</c:v>
                </c:pt>
                <c:pt idx="3">
                  <c:v>After Policies Switch Electric Boiler</c:v>
                </c:pt>
              </c:strCache>
            </c:strRef>
          </c:cat>
          <c:val>
            <c:numRef>
              <c:f>'Validation Cost of heating diff'!$C$62:$F$62</c:f>
              <c:numCache>
                <c:formatCode>General</c:formatCode>
                <c:ptCount val="4"/>
                <c:pt idx="0">
                  <c:v>3168.3708248125431</c:v>
                </c:pt>
                <c:pt idx="1">
                  <c:v>1875.9355385519398</c:v>
                </c:pt>
                <c:pt idx="2">
                  <c:v>3168.3708248125431</c:v>
                </c:pt>
                <c:pt idx="3">
                  <c:v>1875.9355385519398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4-3645-8AD0-E205F027A4AE}"/>
            </c:ext>
          </c:extLst>
        </c:ser>
        <c:ser>
          <c:idx val="3"/>
          <c:order val="3"/>
          <c:tx>
            <c:strRef>
              <c:f>'Validation Cost of heating diff'!$B$63</c:f>
              <c:strCache>
                <c:ptCount val="1"/>
                <c:pt idx="0">
                  <c:v>carbon tax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'Validation Cost of heating diff'!$C$18:$F$18</c:f>
              <c:strCache>
                <c:ptCount val="4"/>
                <c:pt idx="0">
                  <c:v>Natural Gas Boiler</c:v>
                </c:pt>
                <c:pt idx="1">
                  <c:v>Electric Boiler</c:v>
                </c:pt>
                <c:pt idx="2">
                  <c:v>After Policies Natural Gas Boiler</c:v>
                </c:pt>
                <c:pt idx="3">
                  <c:v>After Policies Switch Electric Boiler</c:v>
                </c:pt>
              </c:strCache>
            </c:strRef>
          </c:cat>
          <c:val>
            <c:numRef>
              <c:f>'Validation Cost of heating diff'!$C$63:$F$63</c:f>
              <c:numCache>
                <c:formatCode>General</c:formatCode>
                <c:ptCount val="4"/>
                <c:pt idx="2">
                  <c:v>144480.37376048099</c:v>
                </c:pt>
                <c:pt idx="3">
                  <c:v>103957.97818301863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94-3645-8AD0-E205F027A4AE}"/>
            </c:ext>
          </c:extLst>
        </c:ser>
        <c:ser>
          <c:idx val="4"/>
          <c:order val="4"/>
          <c:tx>
            <c:strRef>
              <c:f>'Validation Cost of heating diff'!$B$64</c:f>
              <c:strCache>
                <c:ptCount val="1"/>
                <c:pt idx="0">
                  <c:v>gas tax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'Validation Cost of heating diff'!$C$18:$F$18</c:f>
              <c:strCache>
                <c:ptCount val="4"/>
                <c:pt idx="0">
                  <c:v>Natural Gas Boiler</c:v>
                </c:pt>
                <c:pt idx="1">
                  <c:v>Electric Boiler</c:v>
                </c:pt>
                <c:pt idx="2">
                  <c:v>After Policies Natural Gas Boiler</c:v>
                </c:pt>
                <c:pt idx="3">
                  <c:v>After Policies Switch Electric Boiler</c:v>
                </c:pt>
              </c:strCache>
            </c:strRef>
          </c:cat>
          <c:val>
            <c:numRef>
              <c:f>'Validation Cost of heating diff'!$C$64:$F$64</c:f>
              <c:numCache>
                <c:formatCode>General</c:formatCode>
                <c:ptCount val="4"/>
                <c:pt idx="2">
                  <c:v>10095.781033239866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4-3645-8AD0-E205F027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6844143"/>
        <c:axId val="1126683759"/>
      </c:barChart>
      <c:catAx>
        <c:axId val="17268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6683759"/>
        <c:crosses val="autoZero"/>
        <c:auto val="1"/>
        <c:lblAlgn val="ctr"/>
        <c:lblOffset val="100"/>
        <c:noMultiLvlLbl val="0"/>
      </c:catAx>
      <c:valAx>
        <c:axId val="11266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684414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29573026317225"/>
          <c:y val="0.94723814854335542"/>
          <c:w val="0.74645123105198619"/>
          <c:h val="4.5347123828080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03227145150544"/>
          <c:y val="0.17171296296296298"/>
          <c:w val="0.81445455240425046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'S-Curve '!$A$42:$A$43</c:f>
              <c:strCache>
                <c:ptCount val="2"/>
                <c:pt idx="0">
                  <c:v>2.5LP S Curve</c:v>
                </c:pt>
                <c:pt idx="1">
                  <c:v>10LP S Curve</c:v>
                </c:pt>
              </c:strCache>
            </c:strRef>
          </c:cat>
          <c:val>
            <c:numRef>
              <c:f>'S-Curve '!$B$42:$B$43</c:f>
              <c:numCache>
                <c:formatCode>General</c:formatCode>
                <c:ptCount val="2"/>
                <c:pt idx="0">
                  <c:v>379907609.50675821</c:v>
                </c:pt>
                <c:pt idx="1">
                  <c:v>418297873.10806906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8-4441-AD58-B5600CD4A3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'S-Curve '!$A$42:$A$43</c:f>
              <c:strCache>
                <c:ptCount val="2"/>
                <c:pt idx="0">
                  <c:v>2.5LP S Curve</c:v>
                </c:pt>
                <c:pt idx="1">
                  <c:v>10LP S Curve</c:v>
                </c:pt>
              </c:strCache>
            </c:strRef>
          </c:cat>
          <c:val>
            <c:numRef>
              <c:f>'S-Curve '!$C$42:$C$43</c:f>
              <c:numCache>
                <c:formatCode>General</c:formatCode>
                <c:ptCount val="2"/>
                <c:pt idx="0">
                  <c:v>422497300.18705541</c:v>
                </c:pt>
                <c:pt idx="1">
                  <c:v>377464458.76058358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8-4441-AD58-B5600CD4A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0056767"/>
        <c:axId val="967797871"/>
      </c:barChart>
      <c:catAx>
        <c:axId val="12800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97871"/>
        <c:crosses val="autoZero"/>
        <c:auto val="1"/>
        <c:lblAlgn val="ctr"/>
        <c:lblOffset val="100"/>
        <c:noMultiLvlLbl val="0"/>
      </c:catAx>
      <c:valAx>
        <c:axId val="967797871"/>
        <c:scaling>
          <c:orientation val="minMax"/>
          <c:max val="805000000.000000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 to Goverment and Industry VS S Curve &amp; Linear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71835327845004"/>
          <c:y val="0.16770886404794214"/>
          <c:w val="0.79176853581923834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'S-Curve '!$A$42:$A$44</c:f>
              <c:strCache>
                <c:ptCount val="3"/>
                <c:pt idx="0">
                  <c:v>2.5LP S Curve</c:v>
                </c:pt>
                <c:pt idx="1">
                  <c:v>10LP S Curve</c:v>
                </c:pt>
                <c:pt idx="2">
                  <c:v>5LP Linear</c:v>
                </c:pt>
              </c:strCache>
            </c:strRef>
          </c:cat>
          <c:val>
            <c:numRef>
              <c:f>'S-Curve '!$E$42:$E$44</c:f>
              <c:numCache>
                <c:formatCode>General</c:formatCode>
                <c:ptCount val="3"/>
                <c:pt idx="0">
                  <c:v>161216038.00301212</c:v>
                </c:pt>
                <c:pt idx="1">
                  <c:v>795762331.86865258</c:v>
                </c:pt>
                <c:pt idx="2">
                  <c:v>797580136.30044913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E44C-9B77-BD8C1DB88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0056767"/>
        <c:axId val="967797871"/>
      </c:barChart>
      <c:catAx>
        <c:axId val="128005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 Curve and Linear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97871"/>
        <c:crosses val="autoZero"/>
        <c:auto val="1"/>
        <c:lblAlgn val="ctr"/>
        <c:lblOffset val="100"/>
        <c:noMultiLvlLbl val="0"/>
      </c:catAx>
      <c:valAx>
        <c:axId val="967797871"/>
        <c:scaling>
          <c:orientation val="minMax"/>
          <c:max val="802999999.999999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Cost</a:t>
                </a:r>
              </a:p>
            </c:rich>
          </c:tx>
          <c:layout>
            <c:manualLayout>
              <c:xMode val="edge"/>
              <c:yMode val="edge"/>
              <c:x val="1.1116192163825842E-2"/>
              <c:y val="0.45391070880934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5676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'S-Curve '!$A$42:$A$44</c:f>
              <c:strCache>
                <c:ptCount val="3"/>
                <c:pt idx="0">
                  <c:v>2.5LP S Curve</c:v>
                </c:pt>
                <c:pt idx="1">
                  <c:v>10LP S Curve</c:v>
                </c:pt>
                <c:pt idx="2">
                  <c:v>5LP Linear</c:v>
                </c:pt>
              </c:strCache>
            </c:strRef>
          </c:cat>
          <c:val>
            <c:numRef>
              <c:f>'S-Curve '!$B$42:$B$44</c:f>
              <c:numCache>
                <c:formatCode>General</c:formatCode>
                <c:ptCount val="3"/>
                <c:pt idx="0">
                  <c:v>379907609.50675821</c:v>
                </c:pt>
                <c:pt idx="1">
                  <c:v>418297873.10806906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2-5A49-B965-9BBD419216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'S-Curve '!$A$42:$A$44</c:f>
              <c:strCache>
                <c:ptCount val="3"/>
                <c:pt idx="0">
                  <c:v>2.5LP S Curve</c:v>
                </c:pt>
                <c:pt idx="1">
                  <c:v>10LP S Curve</c:v>
                </c:pt>
                <c:pt idx="2">
                  <c:v>5LP Linear</c:v>
                </c:pt>
              </c:strCache>
            </c:strRef>
          </c:cat>
          <c:val>
            <c:numRef>
              <c:f>'S-Curve '!$C$42:$C$44</c:f>
              <c:numCache>
                <c:formatCode>General</c:formatCode>
                <c:ptCount val="3"/>
                <c:pt idx="0">
                  <c:v>422497300.18705541</c:v>
                </c:pt>
                <c:pt idx="1">
                  <c:v>377464458.76058358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2-5A49-B965-9BBD4192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966079"/>
        <c:axId val="15661151"/>
      </c:barChart>
      <c:catAx>
        <c:axId val="10219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151"/>
        <c:crosses val="autoZero"/>
        <c:auto val="1"/>
        <c:lblAlgn val="ctr"/>
        <c:lblOffset val="100"/>
        <c:noMultiLvlLbl val="0"/>
      </c:catAx>
      <c:valAx>
        <c:axId val="156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2338592814811"/>
          <c:y val="9.1563269615337034E-2"/>
          <c:w val="0.71431586554703119"/>
          <c:h val="0.7228070079151880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#REF!$A$3:$A$12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#REF!$A$1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#REF!$A$2:$A$12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F8-2B48-828E-2369981F4D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#REF!$B$2:$B$12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#REF!$B$1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#REF!$A$2:$A$12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F8-2B48-828E-2369981F4DD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#REF!$C$2:$C$12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#REF!$C$1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#REF!$A$2:$A$12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5F8-2B48-828E-2369981F4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1579263"/>
        <c:axId val="1291691199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#REF!$F$17:$F$27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#REF!$D$1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5F8-2B48-828E-2369981F4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587615"/>
        <c:axId val="1269132255"/>
      </c:lineChart>
      <c:catAx>
        <c:axId val="128157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1691199"/>
        <c:crosses val="autoZero"/>
        <c:auto val="1"/>
        <c:lblAlgn val="ctr"/>
        <c:lblOffset val="100"/>
        <c:noMultiLvlLbl val="0"/>
      </c:catAx>
      <c:valAx>
        <c:axId val="12916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Cost (£)</a:t>
                </a:r>
              </a:p>
            </c:rich>
          </c:tx>
          <c:layout>
            <c:manualLayout>
              <c:xMode val="edge"/>
              <c:yMode val="edge"/>
              <c:x val="2.2129594477359311E-2"/>
              <c:y val="0.38073806235555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15792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126913225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1587615"/>
        <c:crosses val="max"/>
        <c:crossBetween val="between"/>
      </c:valAx>
      <c:catAx>
        <c:axId val="1281587615"/>
        <c:scaling>
          <c:orientation val="minMax"/>
        </c:scaling>
        <c:delete val="1"/>
        <c:axPos val="b"/>
        <c:majorTickMark val="out"/>
        <c:minorTickMark val="none"/>
        <c:tickLblPos val="nextTo"/>
        <c:crossAx val="1269132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9.9696001230196354E-2"/>
          <c:y val="0.91740917291672486"/>
          <c:w val="0.81129049734063785"/>
          <c:h val="6.3717913152464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6776666939814"/>
          <c:y val="8.6919449062902318E-2"/>
          <c:w val="0.82478713561144079"/>
          <c:h val="0.732109321345437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'[1]ALL MArket share'!$C$1</c:f>
              <c:strCache>
                <c:ptCount val="1"/>
                <c:pt idx="0">
                  <c:v>Government 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'[1]ALL MArket share'!$A$16:$A$27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'[1]ALL MArket share'!$C$2:$C$13</c:f>
              <c:numCache>
                <c:formatCode>General</c:formatCode>
                <c:ptCount val="12"/>
                <c:pt idx="0">
                  <c:v>9495703.0726301596</c:v>
                </c:pt>
                <c:pt idx="1">
                  <c:v>21833493.2825392</c:v>
                </c:pt>
                <c:pt idx="2">
                  <c:v>52861444.119833402</c:v>
                </c:pt>
                <c:pt idx="3">
                  <c:v>84006037.640267</c:v>
                </c:pt>
                <c:pt idx="4">
                  <c:v>131444895.519683</c:v>
                </c:pt>
                <c:pt idx="5">
                  <c:v>175911803.8743</c:v>
                </c:pt>
                <c:pt idx="6">
                  <c:v>209379016.52407899</c:v>
                </c:pt>
                <c:pt idx="7">
                  <c:v>256997402.06432399</c:v>
                </c:pt>
                <c:pt idx="8">
                  <c:v>283314548.78846103</c:v>
                </c:pt>
                <c:pt idx="9">
                  <c:v>327218231.51961702</c:v>
                </c:pt>
                <c:pt idx="10">
                  <c:v>389172954.81524098</c:v>
                </c:pt>
                <c:pt idx="11">
                  <c:v>429835125.81838298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C-2041-A1FA-2EF0A4A0257A}"/>
            </c:ext>
          </c:extLst>
        </c:ser>
        <c:ser>
          <c:idx val="1"/>
          <c:order val="1"/>
          <c:tx>
            <c:strRef>
              <c:f>'[1]ALL MArket share'!$D$1</c:f>
              <c:strCache>
                <c:ptCount val="1"/>
                <c:pt idx="0">
                  <c:v>Industry Cost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'[1]ALL MArket share'!$A$16:$A$27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'[1]ALL MArket share'!$D$2:$D$13</c:f>
              <c:numCache>
                <c:formatCode>General</c:formatCode>
                <c:ptCount val="12"/>
                <c:pt idx="0">
                  <c:v>8359631.8431757595</c:v>
                </c:pt>
                <c:pt idx="1">
                  <c:v>21688854.991080798</c:v>
                </c:pt>
                <c:pt idx="2">
                  <c:v>42298036.904071301</c:v>
                </c:pt>
                <c:pt idx="3">
                  <c:v>89398425.051886305</c:v>
                </c:pt>
                <c:pt idx="4">
                  <c:v>127684508.199264</c:v>
                </c:pt>
                <c:pt idx="5">
                  <c:v>170146734.26216701</c:v>
                </c:pt>
                <c:pt idx="6">
                  <c:v>210630285.07104099</c:v>
                </c:pt>
                <c:pt idx="7">
                  <c:v>252157271.77210101</c:v>
                </c:pt>
                <c:pt idx="8">
                  <c:v>308124135.41815102</c:v>
                </c:pt>
                <c:pt idx="9">
                  <c:v>359686122.62627</c:v>
                </c:pt>
                <c:pt idx="10">
                  <c:v>384520670.94393301</c:v>
                </c:pt>
                <c:pt idx="11">
                  <c:v>436493086.497006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C-2041-A1FA-2EF0A4A0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6565103"/>
        <c:axId val="1318864143"/>
      </c:barChart>
      <c:catAx>
        <c:axId val="127656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Market Share of Eletric Boiler</a:t>
                </a:r>
              </a:p>
            </c:rich>
          </c:tx>
          <c:layout>
            <c:manualLayout>
              <c:xMode val="edge"/>
              <c:yMode val="edge"/>
              <c:x val="0.32323662388304514"/>
              <c:y val="0.89756388490720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864143"/>
        <c:crosses val="autoZero"/>
        <c:auto val="1"/>
        <c:lblAlgn val="ctr"/>
        <c:lblOffset val="100"/>
        <c:noMultiLvlLbl val="0"/>
      </c:catAx>
      <c:valAx>
        <c:axId val="1318864143"/>
        <c:scaling>
          <c:orientation val="minMax"/>
          <c:max val="9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Cost (£)</a:t>
                </a:r>
              </a:p>
            </c:rich>
          </c:tx>
          <c:layout>
            <c:manualLayout>
              <c:xMode val="edge"/>
              <c:yMode val="edge"/>
              <c:x val="1.1283814975810316E-2"/>
              <c:y val="0.3246674975570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656510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28591055438812"/>
          <c:y val="0.91391122919630507"/>
          <c:w val="0.56763205272203687"/>
          <c:h val="8.4213333199588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9633870596201"/>
          <c:y val="1.7002127271835973E-2"/>
          <c:w val="0.85325627615967969"/>
          <c:h val="0.8877520625875600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'S-Curve '!$A$44:$A$46</c:f>
              <c:strCache>
                <c:ptCount val="3"/>
                <c:pt idx="0">
                  <c:v>5LP Linear</c:v>
                </c:pt>
                <c:pt idx="1">
                  <c:v>5LP S Curve</c:v>
                </c:pt>
                <c:pt idx="2">
                  <c:v>1 Year 100% adoption </c:v>
                </c:pt>
              </c:strCache>
            </c:strRef>
          </c:cat>
          <c:val>
            <c:numRef>
              <c:f>'S-Curve '!$E$44:$E$46</c:f>
              <c:numCache>
                <c:formatCode>General</c:formatCode>
                <c:ptCount val="3"/>
                <c:pt idx="0">
                  <c:v>797580136.30044913</c:v>
                </c:pt>
                <c:pt idx="1">
                  <c:v>801332300.29586136</c:v>
                </c:pt>
                <c:pt idx="2">
                  <c:v>866328212.31538892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A-7246-881B-FC318183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0056767"/>
        <c:axId val="967797871"/>
      </c:barChart>
      <c:catAx>
        <c:axId val="128005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Electric Boielr Adoption and learning Parameter</a:t>
                </a:r>
              </a:p>
            </c:rich>
          </c:tx>
          <c:layout>
            <c:manualLayout>
              <c:xMode val="edge"/>
              <c:yMode val="edge"/>
              <c:x val="0.25356196091537292"/>
              <c:y val="0.94391252267796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7797871"/>
        <c:crosses val="autoZero"/>
        <c:auto val="1"/>
        <c:lblAlgn val="ctr"/>
        <c:lblOffset val="100"/>
        <c:noMultiLvlLbl val="0"/>
      </c:catAx>
      <c:valAx>
        <c:axId val="967797871"/>
        <c:scaling>
          <c:orientation val="minMax"/>
          <c:max val="869999999.999999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Cost</a:t>
                </a:r>
              </a:p>
            </c:rich>
          </c:tx>
          <c:layout>
            <c:manualLayout>
              <c:xMode val="edge"/>
              <c:yMode val="edge"/>
              <c:x val="1.1116192163825842E-2"/>
              <c:y val="0.45391070880934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005676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411655</xdr:colOff>
      <xdr:row>31</xdr:row>
      <xdr:rowOff>87586</xdr:rowOff>
    </xdr:from>
    <xdr:ext cx="3473355" cy="2947881"/>
    <xdr:pic>
      <xdr:nvPicPr>
        <xdr:cNvPr id="2" name="Picture 1">
          <a:extLst>
            <a:ext uri="{FF2B5EF4-FFF2-40B4-BE49-F238E27FC236}">
              <a16:creationId xmlns:a16="http://schemas.microsoft.com/office/drawing/2014/main" id="{D49DB886-015B-DB44-9FAC-AB9B5AD1C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4896" y="3196896"/>
          <a:ext cx="3473355" cy="2947881"/>
        </a:xfrm>
        <a:prstGeom prst="rect">
          <a:avLst/>
        </a:prstGeom>
      </xdr:spPr>
    </xdr:pic>
    <xdr:clientData/>
  </xdr:oneCellAnchor>
  <xdr:oneCellAnchor>
    <xdr:from>
      <xdr:col>5</xdr:col>
      <xdr:colOff>331953</xdr:colOff>
      <xdr:row>44</xdr:row>
      <xdr:rowOff>157656</xdr:rowOff>
    </xdr:from>
    <xdr:ext cx="4680003" cy="1763013"/>
    <xdr:pic>
      <xdr:nvPicPr>
        <xdr:cNvPr id="3" name="Picture 2">
          <a:extLst>
            <a:ext uri="{FF2B5EF4-FFF2-40B4-BE49-F238E27FC236}">
              <a16:creationId xmlns:a16="http://schemas.microsoft.com/office/drawing/2014/main" id="{18283731-D4F4-974F-AC37-A1B44E93E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5194" y="5885794"/>
          <a:ext cx="4680003" cy="1763013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91295</xdr:colOff>
      <xdr:row>5</xdr:row>
      <xdr:rowOff>4479</xdr:rowOff>
    </xdr:from>
    <xdr:to>
      <xdr:col>22</xdr:col>
      <xdr:colOff>500975</xdr:colOff>
      <xdr:row>32</xdr:row>
      <xdr:rowOff>115803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1265-A37B-D44E-8918-587400581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604631</xdr:colOff>
      <xdr:row>32</xdr:row>
      <xdr:rowOff>145911</xdr:rowOff>
    </xdr:from>
    <xdr:to>
      <xdr:col>23</xdr:col>
      <xdr:colOff>542963</xdr:colOff>
      <xdr:row>53</xdr:row>
      <xdr:rowOff>51189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6C88C-57EA-D84F-A40D-DBDF25B24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339587</xdr:colOff>
      <xdr:row>55</xdr:row>
      <xdr:rowOff>16565</xdr:rowOff>
    </xdr:from>
    <xdr:to>
      <xdr:col>23</xdr:col>
      <xdr:colOff>287444</xdr:colOff>
      <xdr:row>75</xdr:row>
      <xdr:rowOff>100886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B70BA-682F-714F-9E71-D6CBF2E09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208139</xdr:colOff>
      <xdr:row>2</xdr:row>
      <xdr:rowOff>61644</xdr:rowOff>
    </xdr:from>
    <xdr:to>
      <xdr:col>47</xdr:col>
      <xdr:colOff>315812</xdr:colOff>
      <xdr:row>29</xdr:row>
      <xdr:rowOff>183015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F7530-E233-8341-81A2-94DBDC905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111125</xdr:colOff>
      <xdr:row>0</xdr:row>
      <xdr:rowOff>0</xdr:rowOff>
    </xdr:from>
    <xdr:to>
      <xdr:col>23</xdr:col>
      <xdr:colOff>913028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F1DFF0-FA26-DE4B-93E9-C2B4B19C5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335221</xdr:colOff>
      <xdr:row>42</xdr:row>
      <xdr:rowOff>104027</xdr:rowOff>
    </xdr:from>
    <xdr:to>
      <xdr:col>51</xdr:col>
      <xdr:colOff>468786</xdr:colOff>
      <xdr:row>70</xdr:row>
      <xdr:rowOff>10947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B498E9-C0CB-5F40-B80A-9FC08843B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492254</xdr:colOff>
      <xdr:row>39</xdr:row>
      <xdr:rowOff>72609</xdr:rowOff>
    </xdr:from>
    <xdr:to>
      <xdr:col>27</xdr:col>
      <xdr:colOff>152040</xdr:colOff>
      <xdr:row>65</xdr:row>
      <xdr:rowOff>71905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C6DFEB-F45A-7C42-99E3-EEB62B36F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685800</xdr:colOff>
      <xdr:row>81</xdr:row>
      <xdr:rowOff>161925</xdr:rowOff>
    </xdr:from>
    <xdr:to>
      <xdr:col>25</xdr:col>
      <xdr:colOff>1059161</xdr:colOff>
      <xdr:row>112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35952B-2C5C-4049-9282-E6DAF560F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316268</xdr:colOff>
      <xdr:row>80</xdr:row>
      <xdr:rowOff>131266</xdr:rowOff>
    </xdr:from>
    <xdr:to>
      <xdr:col>6</xdr:col>
      <xdr:colOff>282713</xdr:colOff>
      <xdr:row>107</xdr:row>
      <xdr:rowOff>186359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BEEC9E-2469-864F-ADF0-7E9D1C2FE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1197429</xdr:colOff>
      <xdr:row>26</xdr:row>
      <xdr:rowOff>285296</xdr:rowOff>
    </xdr:from>
    <xdr:to>
      <xdr:col>7</xdr:col>
      <xdr:colOff>925287</xdr:colOff>
      <xdr:row>56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8E4CA-E127-1C43-8B46-12EDBE45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1224322</xdr:colOff>
      <xdr:row>16</xdr:row>
      <xdr:rowOff>297958</xdr:rowOff>
    </xdr:from>
    <xdr:to>
      <xdr:col>16</xdr:col>
      <xdr:colOff>362857</xdr:colOff>
      <xdr:row>36</xdr:row>
      <xdr:rowOff>18142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303BE0-2D96-A84B-BFDE-4284B48F2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72735</xdr:rowOff>
    </xdr:from>
    <xdr:to>
      <xdr:col>7</xdr:col>
      <xdr:colOff>697864</xdr:colOff>
      <xdr:row>100</xdr:row>
      <xdr:rowOff>144931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3539B2-1E73-034C-8E93-7732B17CF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523531</xdr:colOff>
      <xdr:row>29</xdr:row>
      <xdr:rowOff>165478</xdr:rowOff>
    </xdr:from>
    <xdr:to>
      <xdr:col>11</xdr:col>
      <xdr:colOff>381708</xdr:colOff>
      <xdr:row>60</xdr:row>
      <xdr:rowOff>7793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8AF89-40AE-C344-AA2E-9B65437CD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389032</xdr:colOff>
      <xdr:row>0</xdr:row>
      <xdr:rowOff>83698</xdr:rowOff>
    </xdr:from>
    <xdr:to>
      <xdr:col>27</xdr:col>
      <xdr:colOff>34392</xdr:colOff>
      <xdr:row>57</xdr:row>
      <xdr:rowOff>37353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B05AA-042D-B447-8C71-753F67764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284094</xdr:colOff>
      <xdr:row>2</xdr:row>
      <xdr:rowOff>88544</xdr:rowOff>
    </xdr:from>
    <xdr:to>
      <xdr:col>25</xdr:col>
      <xdr:colOff>590827</xdr:colOff>
      <xdr:row>24</xdr:row>
      <xdr:rowOff>96630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541FD-BBEB-784D-93C3-D6CCEC0D9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769111</xdr:colOff>
      <xdr:row>51</xdr:row>
      <xdr:rowOff>117288</xdr:rowOff>
    </xdr:from>
    <xdr:to>
      <xdr:col>12</xdr:col>
      <xdr:colOff>473075</xdr:colOff>
      <xdr:row>75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D182A7-7C89-D546-8ED3-66D85D043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550458</xdr:colOff>
      <xdr:row>30</xdr:row>
      <xdr:rowOff>119078</xdr:rowOff>
    </xdr:from>
    <xdr:to>
      <xdr:col>16</xdr:col>
      <xdr:colOff>0</xdr:colOff>
      <xdr:row>51</xdr:row>
      <xdr:rowOff>81616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CAFE788-11C1-B64A-B7A0-B38D5FB10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569912</xdr:colOff>
      <xdr:row>52</xdr:row>
      <xdr:rowOff>134937</xdr:rowOff>
    </xdr:from>
    <xdr:to>
      <xdr:col>7</xdr:col>
      <xdr:colOff>268287</xdr:colOff>
      <xdr:row>67</xdr:row>
      <xdr:rowOff>169862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5B93D1-A8DD-5141-B9E1-F658B1B2A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193260</xdr:colOff>
      <xdr:row>2</xdr:row>
      <xdr:rowOff>163399</xdr:rowOff>
    </xdr:from>
    <xdr:to>
      <xdr:col>17</xdr:col>
      <xdr:colOff>309216</xdr:colOff>
      <xdr:row>24</xdr:row>
      <xdr:rowOff>157369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1DAAD-0C22-9140-9F78-1874DA916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19738</xdr:colOff>
      <xdr:row>36</xdr:row>
      <xdr:rowOff>10215</xdr:rowOff>
    </xdr:from>
    <xdr:to>
      <xdr:col>26</xdr:col>
      <xdr:colOff>370115</xdr:colOff>
      <xdr:row>62</xdr:row>
      <xdr:rowOff>30389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0C8A15-F895-214B-A541-44C8495A9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130793</xdr:colOff>
      <xdr:row>66</xdr:row>
      <xdr:rowOff>61633</xdr:rowOff>
    </xdr:from>
    <xdr:to>
      <xdr:col>26</xdr:col>
      <xdr:colOff>128972</xdr:colOff>
      <xdr:row>90</xdr:row>
      <xdr:rowOff>185372</xdr:rowOff>
    </xdr:to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5EF60D1C-7B15-8946-9481-83226A1A7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136071</xdr:colOff>
      <xdr:row>3</xdr:row>
      <xdr:rowOff>94343</xdr:rowOff>
    </xdr:from>
    <xdr:to>
      <xdr:col>16</xdr:col>
      <xdr:colOff>136769</xdr:colOff>
      <xdr:row>30</xdr:row>
      <xdr:rowOff>78154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E54A5-FD1D-E941-9696-357565317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177179</xdr:colOff>
      <xdr:row>84</xdr:row>
      <xdr:rowOff>14319</xdr:rowOff>
    </xdr:from>
    <xdr:to>
      <xdr:col>33</xdr:col>
      <xdr:colOff>66539</xdr:colOff>
      <xdr:row>116</xdr:row>
      <xdr:rowOff>77004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E8936-1F72-1649-9F01-0623C223B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46950</xdr:colOff>
      <xdr:row>55</xdr:row>
      <xdr:rowOff>129320</xdr:rowOff>
    </xdr:from>
    <xdr:to>
      <xdr:col>15</xdr:col>
      <xdr:colOff>391539</xdr:colOff>
      <xdr:row>79</xdr:row>
      <xdr:rowOff>54293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7AB94-5FC4-9844-875D-C00BCD421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23684</xdr:colOff>
      <xdr:row>53</xdr:row>
      <xdr:rowOff>14382</xdr:rowOff>
    </xdr:from>
    <xdr:to>
      <xdr:col>30</xdr:col>
      <xdr:colOff>51828</xdr:colOff>
      <xdr:row>80</xdr:row>
      <xdr:rowOff>57883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B8F2C-EF02-5046-803B-4EE60B578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164244</xdr:colOff>
      <xdr:row>55</xdr:row>
      <xdr:rowOff>69387</xdr:rowOff>
    </xdr:from>
    <xdr:to>
      <xdr:col>7</xdr:col>
      <xdr:colOff>515616</xdr:colOff>
      <xdr:row>82</xdr:row>
      <xdr:rowOff>87637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4BA14-1B6A-2647-BB91-4FBB81559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90202</xdr:colOff>
      <xdr:row>82</xdr:row>
      <xdr:rowOff>24826</xdr:rowOff>
    </xdr:from>
    <xdr:to>
      <xdr:col>20</xdr:col>
      <xdr:colOff>1030767</xdr:colOff>
      <xdr:row>114</xdr:row>
      <xdr:rowOff>101574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E4896F-B72C-CB47-9AAC-7CABEDCCF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315789</xdr:colOff>
      <xdr:row>52</xdr:row>
      <xdr:rowOff>188092</xdr:rowOff>
    </xdr:from>
    <xdr:to>
      <xdr:col>21</xdr:col>
      <xdr:colOff>367000</xdr:colOff>
      <xdr:row>80</xdr:row>
      <xdr:rowOff>19995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8241B5-C056-9A4C-9A77-F7982718B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366081</xdr:colOff>
      <xdr:row>1</xdr:row>
      <xdr:rowOff>98212</xdr:rowOff>
    </xdr:from>
    <xdr:to>
      <xdr:col>36</xdr:col>
      <xdr:colOff>265953</xdr:colOff>
      <xdr:row>49</xdr:row>
      <xdr:rowOff>113098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1CA48C-7925-3247-B33C-284D518E6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592512</xdr:colOff>
      <xdr:row>1</xdr:row>
      <xdr:rowOff>147078</xdr:rowOff>
    </xdr:from>
    <xdr:to>
      <xdr:col>51</xdr:col>
      <xdr:colOff>485300</xdr:colOff>
      <xdr:row>49</xdr:row>
      <xdr:rowOff>162765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8558BD-2825-0A4C-9E1E-7146F8FDE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391205</xdr:colOff>
      <xdr:row>1</xdr:row>
      <xdr:rowOff>126093</xdr:rowOff>
    </xdr:from>
    <xdr:to>
      <xdr:col>68</xdr:col>
      <xdr:colOff>9072</xdr:colOff>
      <xdr:row>49</xdr:row>
      <xdr:rowOff>131454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F00B55-1F57-FD45-B964-BD2D48A84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0.71136</cdr:x>
      <cdr:y>0</cdr:y>
    </cdr:from>
    <cdr:to>
      <cdr:x>0.77377</cdr:x>
      <cdr:y>0.03245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483D73-2BFD-17F0-F0EB-D3DFE6C4F1C6}"/>
            </a:ext>
          </a:extLst>
        </cdr:cNvPr>
        <cdr:cNvSpPr txBox="1"/>
      </cdr:nvSpPr>
      <cdr:spPr>
        <a:xfrm xmlns:a="http://schemas.openxmlformats.org/drawingml/2006/main">
          <a:off x="6431227" y="0"/>
          <a:ext cx="564235" cy="283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100</a:t>
          </a:r>
          <a:r>
            <a:rPr lang="en-GB" sz="1100" baseline="0"/>
            <a:t> % Market Share</a:t>
          </a:r>
          <a:endParaRPr lang="en-GB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0.71263</cdr:x>
      <cdr:y>0</cdr:y>
    </cdr:from>
    <cdr:to>
      <cdr:x>0.88245</cdr:x>
      <cdr:y>0.02973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9B2198-7D0F-972D-1658-4AC9EF83B31B}"/>
            </a:ext>
          </a:extLst>
        </cdr:cNvPr>
        <cdr:cNvSpPr txBox="1"/>
      </cdr:nvSpPr>
      <cdr:spPr>
        <a:xfrm xmlns:a="http://schemas.openxmlformats.org/drawingml/2006/main">
          <a:off x="6395383" y="0"/>
          <a:ext cx="1524000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100%</a:t>
          </a:r>
          <a:r>
            <a:rPr lang="en-GB" sz="1100" baseline="0"/>
            <a:t> Market Share</a:t>
          </a:r>
          <a:endParaRPr lang="en-GB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0.68427</cdr:x>
      <cdr:y>0.03965</cdr:y>
    </cdr:from>
    <cdr:to>
      <cdr:x>0.7815</cdr:x>
      <cdr:y>0.14644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4451CE-0D79-AE75-5DB5-FDA0016B96FE}"/>
            </a:ext>
          </a:extLst>
        </cdr:cNvPr>
        <cdr:cNvSpPr txBox="1"/>
      </cdr:nvSpPr>
      <cdr:spPr>
        <a:xfrm xmlns:a="http://schemas.openxmlformats.org/drawingml/2006/main">
          <a:off x="6436931" y="339400"/>
          <a:ext cx="914709" cy="914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yyyy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0</xdr:row>
      <xdr:rowOff>1</xdr:rowOff>
    </xdr:from>
    <xdr:to>
      <xdr:col>23</xdr:col>
      <xdr:colOff>361950</xdr:colOff>
      <xdr:row>14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2FD8A-9099-2E4A-BF2C-4392DDBE6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95251</xdr:colOff>
      <xdr:row>16</xdr:row>
      <xdr:rowOff>25400</xdr:rowOff>
    </xdr:from>
    <xdr:to>
      <xdr:col>23</xdr:col>
      <xdr:colOff>372718</xdr:colOff>
      <xdr:row>31</xdr:row>
      <xdr:rowOff>140804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E753F-B00C-EC4F-83D9-60B5AA060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491740</xdr:colOff>
      <xdr:row>0</xdr:row>
      <xdr:rowOff>0</xdr:rowOff>
    </xdr:from>
    <xdr:to>
      <xdr:col>32</xdr:col>
      <xdr:colOff>95250</xdr:colOff>
      <xdr:row>25</xdr:row>
      <xdr:rowOff>63386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880D52-2C34-A843-B374-E6B47AB6C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663436</xdr:colOff>
      <xdr:row>32</xdr:row>
      <xdr:rowOff>64357</xdr:rowOff>
    </xdr:from>
    <xdr:to>
      <xdr:col>23</xdr:col>
      <xdr:colOff>347785</xdr:colOff>
      <xdr:row>49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1C99DE-D3C1-CE41-977D-C5973761A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patel/Desktop/all%20graphs%20for%20poster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patel/Desktop/all%20graph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dp1122_ic_ac_uk/Documents/0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evan/Desktop/rmpa/rmpa/Electric%20Boiler%20Multiperiod/NMS%20Data/DATA%20PROCESSING/5LP%20Emission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dp1122_ic_ac_uk/Documents/all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MArket share"/>
      <sheetName val="S-Curve "/>
      <sheetName val="Switching Linear"/>
      <sheetName val="Policy"/>
    </sheetNames>
    <sheetDataSet>
      <sheetData sheetId="0">
        <row r="1">
          <cell r="C1" t="str">
            <v xml:space="preserve">Government Cost </v>
          </cell>
          <cell r="D1" t="str">
            <v xml:space="preserve">Industry Cost </v>
          </cell>
        </row>
        <row r="2">
          <cell r="C2">
            <v>9495703.0726301596</v>
          </cell>
          <cell r="D2">
            <v>8359631.8431757595</v>
          </cell>
        </row>
        <row r="3">
          <cell r="C3">
            <v>21833493.2825392</v>
          </cell>
          <cell r="D3">
            <v>21688854.991080798</v>
          </cell>
        </row>
        <row r="4">
          <cell r="C4">
            <v>52861444.119833402</v>
          </cell>
          <cell r="D4">
            <v>42298036.904071301</v>
          </cell>
        </row>
        <row r="5">
          <cell r="C5">
            <v>84006037.640267</v>
          </cell>
          <cell r="D5">
            <v>89398425.051886305</v>
          </cell>
        </row>
        <row r="6">
          <cell r="C6">
            <v>131444895.519683</v>
          </cell>
          <cell r="D6">
            <v>127684508.199264</v>
          </cell>
        </row>
        <row r="7">
          <cell r="C7">
            <v>175911803.8743</v>
          </cell>
          <cell r="D7">
            <v>170146734.26216701</v>
          </cell>
        </row>
        <row r="8">
          <cell r="C8">
            <v>209379016.52407899</v>
          </cell>
          <cell r="D8">
            <v>210630285.07104099</v>
          </cell>
        </row>
        <row r="9">
          <cell r="C9">
            <v>256997402.06432399</v>
          </cell>
          <cell r="D9">
            <v>252157271.77210101</v>
          </cell>
        </row>
        <row r="10">
          <cell r="C10">
            <v>283314548.78846103</v>
          </cell>
          <cell r="D10">
            <v>308124135.41815102</v>
          </cell>
        </row>
        <row r="11">
          <cell r="C11">
            <v>327218231.51961702</v>
          </cell>
          <cell r="D11">
            <v>359686122.62627</v>
          </cell>
        </row>
        <row r="12">
          <cell r="C12">
            <v>389172954.81524098</v>
          </cell>
          <cell r="D12">
            <v>384520670.94393301</v>
          </cell>
        </row>
        <row r="13">
          <cell r="C13">
            <v>429835125.81838298</v>
          </cell>
          <cell r="D13">
            <v>436493086.497006</v>
          </cell>
          <cell r="E13">
            <v>866328212.31538892</v>
          </cell>
        </row>
        <row r="15">
          <cell r="B15" t="str">
            <v>Annual Grant (%)</v>
          </cell>
          <cell r="C15" t="str">
            <v>Gas Tax (%)</v>
          </cell>
          <cell r="D15" t="str">
            <v>Electricity Subsidy (£/MWh)</v>
          </cell>
          <cell r="F15" t="str">
            <v>Carbon Tax (£/tCO2e)</v>
          </cell>
        </row>
        <row r="16">
          <cell r="A16">
            <v>0.01</v>
          </cell>
          <cell r="B16">
            <v>11.590320288698599</v>
          </cell>
          <cell r="C16">
            <v>10.3785019444911</v>
          </cell>
          <cell r="D16">
            <v>7.5043811120673896</v>
          </cell>
          <cell r="E16">
            <v>75.043811120673894</v>
          </cell>
          <cell r="F16">
            <v>23.006000301423899</v>
          </cell>
        </row>
        <row r="17">
          <cell r="A17">
            <v>0.05</v>
          </cell>
          <cell r="B17">
            <v>11.590345180730401</v>
          </cell>
          <cell r="C17">
            <v>10.3731103410916</v>
          </cell>
          <cell r="D17">
            <v>7.46540080155052</v>
          </cell>
          <cell r="E17">
            <v>74.654008015505198</v>
          </cell>
          <cell r="F17">
            <v>23.463740794443599</v>
          </cell>
        </row>
        <row r="18">
          <cell r="A18">
            <v>0.1</v>
          </cell>
          <cell r="B18">
            <v>11.594345151310399</v>
          </cell>
          <cell r="C18">
            <v>10.4033879070981</v>
          </cell>
          <cell r="D18">
            <v>7.5173645553763304</v>
          </cell>
          <cell r="E18">
            <v>75.173645553763308</v>
          </cell>
          <cell r="F18">
            <v>22.8442202458466</v>
          </cell>
        </row>
        <row r="19">
          <cell r="A19">
            <v>0.2</v>
          </cell>
          <cell r="B19">
            <v>11.5620414041743</v>
          </cell>
          <cell r="C19">
            <v>10.384325585544801</v>
          </cell>
          <cell r="D19">
            <v>7.4081279922289598</v>
          </cell>
          <cell r="E19">
            <v>74.081279922289596</v>
          </cell>
          <cell r="F19">
            <v>24.1380166645305</v>
          </cell>
        </row>
        <row r="20">
          <cell r="A20">
            <v>0.3</v>
          </cell>
          <cell r="B20">
            <v>11.5903364185156</v>
          </cell>
          <cell r="C20">
            <v>10.375675507010101</v>
          </cell>
          <cell r="D20">
            <v>7.4816933102417504</v>
          </cell>
          <cell r="E20">
            <v>74.816933102417508</v>
          </cell>
          <cell r="F20">
            <v>23.272310418124</v>
          </cell>
        </row>
        <row r="21">
          <cell r="A21">
            <v>0.4</v>
          </cell>
          <cell r="B21">
            <v>11.6181314292318</v>
          </cell>
          <cell r="C21">
            <v>10.403659845753401</v>
          </cell>
          <cell r="D21">
            <v>7.5163574189328104</v>
          </cell>
          <cell r="E21">
            <v>75.163574189328102</v>
          </cell>
          <cell r="F21">
            <v>22.848194046510301</v>
          </cell>
        </row>
        <row r="22">
          <cell r="A22">
            <v>0.5</v>
          </cell>
          <cell r="B22">
            <v>11.554936862734399</v>
          </cell>
          <cell r="C22">
            <v>10.400556866077</v>
          </cell>
          <cell r="D22">
            <v>7.4831177361042904</v>
          </cell>
          <cell r="E22">
            <v>74.831177361042904</v>
          </cell>
          <cell r="F22">
            <v>23.257730249523298</v>
          </cell>
        </row>
        <row r="23">
          <cell r="A23">
            <v>0.6</v>
          </cell>
          <cell r="B23">
            <v>11.5759267125081</v>
          </cell>
          <cell r="C23">
            <v>10.403488466964999</v>
          </cell>
          <cell r="D23">
            <v>7.5139816134331499</v>
          </cell>
          <cell r="E23">
            <v>75.139816134331497</v>
          </cell>
          <cell r="F23">
            <v>22.889166795259001</v>
          </cell>
        </row>
        <row r="24">
          <cell r="A24">
            <v>0.7</v>
          </cell>
          <cell r="B24">
            <v>11.655954798571299</v>
          </cell>
          <cell r="C24">
            <v>10.600789448955201</v>
          </cell>
          <cell r="D24">
            <v>7.40125863615018</v>
          </cell>
          <cell r="E24">
            <v>74.012586361501803</v>
          </cell>
          <cell r="F24">
            <v>24.115063379255599</v>
          </cell>
        </row>
        <row r="25">
          <cell r="A25">
            <v>0.8</v>
          </cell>
          <cell r="B25">
            <v>11.590167186148699</v>
          </cell>
          <cell r="C25">
            <v>10.349281185045999</v>
          </cell>
          <cell r="D25">
            <v>7.4126376891106496</v>
          </cell>
          <cell r="E25">
            <v>74.126376891106503</v>
          </cell>
          <cell r="F25">
            <v>24.089187588318602</v>
          </cell>
        </row>
        <row r="26">
          <cell r="A26">
            <v>0.9</v>
          </cell>
          <cell r="B26">
            <v>11.586129197404199</v>
          </cell>
          <cell r="C26">
            <v>10.4043779685926</v>
          </cell>
          <cell r="D26">
            <v>7.51558884590942</v>
          </cell>
          <cell r="E26">
            <v>75.1558884590942</v>
          </cell>
          <cell r="F26">
            <v>22.8670428929675</v>
          </cell>
        </row>
        <row r="27">
          <cell r="A27">
            <v>1</v>
          </cell>
          <cell r="B27">
            <v>11.5902129331665</v>
          </cell>
          <cell r="C27">
            <v>10.361435807687499</v>
          </cell>
          <cell r="D27">
            <v>7.4635606671246801</v>
          </cell>
          <cell r="E27">
            <v>74.635606671246805</v>
          </cell>
          <cell r="F27">
            <v>23.489390545236098</v>
          </cell>
        </row>
      </sheetData>
      <sheetData sheetId="1" refreshError="1"/>
      <sheetData sheetId="2">
        <row r="1">
          <cell r="K1" t="str">
            <v xml:space="preserve">1 MW Cluster </v>
          </cell>
          <cell r="L1" t="str">
            <v xml:space="preserve">5 MW Cluster </v>
          </cell>
          <cell r="M1" t="str">
            <v xml:space="preserve">9 MW Cluster </v>
          </cell>
          <cell r="N1" t="str">
            <v xml:space="preserve">15 MW Cluster </v>
          </cell>
          <cell r="O1" t="str">
            <v xml:space="preserve">30 MW Cluster </v>
          </cell>
          <cell r="P1" t="str">
            <v xml:space="preserve">60 MW Cluster </v>
          </cell>
        </row>
        <row r="2">
          <cell r="J2" t="str">
            <v>Cluster_1</v>
          </cell>
          <cell r="K2" t="str">
            <v xml:space="preserve"> Cluster_5</v>
          </cell>
          <cell r="L2" t="str">
            <v>Cluster_9</v>
          </cell>
          <cell r="M2" t="str">
            <v>Cluster_15</v>
          </cell>
          <cell r="N2" t="str">
            <v>Cluster_30</v>
          </cell>
          <cell r="O2" t="str">
            <v>Cluster_60</v>
          </cell>
        </row>
        <row r="3">
          <cell r="I3">
            <v>2024</v>
          </cell>
          <cell r="J3">
            <v>0.95726495726495731</v>
          </cell>
          <cell r="K3">
            <v>0.50370370370370365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</row>
        <row r="4">
          <cell r="I4">
            <v>2025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0.34615384615384615</v>
          </cell>
        </row>
        <row r="5">
          <cell r="I5">
            <v>2026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8.3333333333333329E-2</v>
          </cell>
          <cell r="O5">
            <v>0.46153846153846156</v>
          </cell>
        </row>
        <row r="6">
          <cell r="I6">
            <v>2027</v>
          </cell>
          <cell r="J6">
            <v>0</v>
          </cell>
          <cell r="K6">
            <v>0.12962962962962962</v>
          </cell>
          <cell r="L6">
            <v>0.84090909090909094</v>
          </cell>
          <cell r="M6">
            <v>0</v>
          </cell>
          <cell r="N6">
            <v>0.41666666666666669</v>
          </cell>
          <cell r="O6">
            <v>7.6923076923076927E-2</v>
          </cell>
        </row>
        <row r="7">
          <cell r="I7">
            <v>2028</v>
          </cell>
          <cell r="J7">
            <v>1.7094017094017096E-2</v>
          </cell>
          <cell r="K7">
            <v>0.18518518518518517</v>
          </cell>
          <cell r="L7">
            <v>0</v>
          </cell>
          <cell r="M7">
            <v>0.61904761904761907</v>
          </cell>
          <cell r="N7">
            <v>0.33333333333333331</v>
          </cell>
          <cell r="O7">
            <v>0</v>
          </cell>
        </row>
        <row r="8">
          <cell r="I8">
            <v>2029</v>
          </cell>
          <cell r="J8">
            <v>2.564102564102564E-2</v>
          </cell>
          <cell r="K8">
            <v>8.1481481481481488E-2</v>
          </cell>
          <cell r="L8">
            <v>0.15909090909090909</v>
          </cell>
          <cell r="M8">
            <v>0.19047619047619047</v>
          </cell>
          <cell r="N8">
            <v>0</v>
          </cell>
          <cell r="O8">
            <v>0.11538461538461539</v>
          </cell>
        </row>
        <row r="9">
          <cell r="I9">
            <v>2030</v>
          </cell>
          <cell r="J9">
            <v>0</v>
          </cell>
          <cell r="K9">
            <v>5.9259259259259262E-2</v>
          </cell>
          <cell r="L9">
            <v>0</v>
          </cell>
          <cell r="M9">
            <v>0.19047619047619047</v>
          </cell>
          <cell r="N9">
            <v>8.3333333333333329E-2</v>
          </cell>
          <cell r="O9">
            <v>0</v>
          </cell>
        </row>
        <row r="10">
          <cell r="I10">
            <v>2031</v>
          </cell>
          <cell r="J10">
            <v>0</v>
          </cell>
          <cell r="K10">
            <v>2.5925925925925925E-2</v>
          </cell>
          <cell r="L10">
            <v>0</v>
          </cell>
          <cell r="M10">
            <v>0</v>
          </cell>
          <cell r="N10">
            <v>8.3333333333333329E-2</v>
          </cell>
          <cell r="O10">
            <v>0</v>
          </cell>
        </row>
        <row r="11">
          <cell r="I11">
            <v>2032</v>
          </cell>
          <cell r="J11">
            <v>0</v>
          </cell>
          <cell r="K11">
            <v>1.1111111111111112E-2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I12">
            <v>2033</v>
          </cell>
          <cell r="J12">
            <v>0</v>
          </cell>
          <cell r="K12">
            <v>3.7037037037037038E-3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9">
          <cell r="I19">
            <v>2024</v>
          </cell>
          <cell r="J19">
            <v>0.36752136752136755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I20">
            <v>2025</v>
          </cell>
          <cell r="J20">
            <v>0</v>
          </cell>
          <cell r="K20">
            <v>1.8518518518518517E-2</v>
          </cell>
          <cell r="L20">
            <v>6.8181818181818177E-2</v>
          </cell>
          <cell r="M20">
            <v>0</v>
          </cell>
          <cell r="N20">
            <v>0</v>
          </cell>
          <cell r="O20">
            <v>3.8461538461538464E-2</v>
          </cell>
        </row>
        <row r="21">
          <cell r="I21">
            <v>2026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0.23076923076923078</v>
          </cell>
        </row>
        <row r="22">
          <cell r="I22">
            <v>2027</v>
          </cell>
          <cell r="J22">
            <v>0.11965811965811966</v>
          </cell>
          <cell r="K22">
            <v>0.38518518518518519</v>
          </cell>
          <cell r="L22">
            <v>0.93181818181818177</v>
          </cell>
          <cell r="M22">
            <v>0.23809523809523808</v>
          </cell>
          <cell r="N22">
            <v>0</v>
          </cell>
          <cell r="O22">
            <v>0</v>
          </cell>
        </row>
        <row r="23">
          <cell r="I23">
            <v>2028</v>
          </cell>
          <cell r="J23">
            <v>0.47863247863247865</v>
          </cell>
          <cell r="K23">
            <v>3.7037037037037038E-3</v>
          </cell>
          <cell r="L23">
            <v>0</v>
          </cell>
          <cell r="M23">
            <v>0</v>
          </cell>
          <cell r="N23">
            <v>0</v>
          </cell>
          <cell r="O23">
            <v>0.65384615384615385</v>
          </cell>
        </row>
        <row r="24">
          <cell r="I24">
            <v>2029</v>
          </cell>
          <cell r="J24">
            <v>3.4188034188034191E-2</v>
          </cell>
          <cell r="K24">
            <v>1.8518518518518517E-2</v>
          </cell>
          <cell r="L24">
            <v>0</v>
          </cell>
          <cell r="M24">
            <v>0.76190476190476186</v>
          </cell>
          <cell r="N24">
            <v>1</v>
          </cell>
          <cell r="O24">
            <v>7.6923076923076927E-2</v>
          </cell>
        </row>
        <row r="25">
          <cell r="I25">
            <v>2030</v>
          </cell>
          <cell r="J25">
            <v>0</v>
          </cell>
          <cell r="K25">
            <v>0.48518518518518516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I26">
            <v>2031</v>
          </cell>
          <cell r="J26">
            <v>0</v>
          </cell>
          <cell r="K26">
            <v>8.1481481481481488E-2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I27">
            <v>2032</v>
          </cell>
          <cell r="J27">
            <v>0</v>
          </cell>
          <cell r="K27">
            <v>3.7037037037037038E-3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I28">
            <v>2033</v>
          </cell>
          <cell r="J28">
            <v>0</v>
          </cell>
          <cell r="K28">
            <v>3.7037037037037038E-3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</sheetData>
      <sheetData sheetId="3">
        <row r="1">
          <cell r="B1" t="str">
            <v>Annual Grant (%)</v>
          </cell>
          <cell r="D1" t="str">
            <v>Gas Tax (%)</v>
          </cell>
          <cell r="I1" t="str">
            <v>Electricity Subsidy (£/MWh)</v>
          </cell>
        </row>
        <row r="2">
          <cell r="B2" t="str">
            <v>5% LP</v>
          </cell>
          <cell r="D2" t="str">
            <v>S-Curve &amp; 5% LP</v>
          </cell>
          <cell r="G2" t="str">
            <v>Carbon Tax/10 (£/tCO2e)</v>
          </cell>
          <cell r="I2" t="str">
            <v>5% LP</v>
          </cell>
          <cell r="S2" t="str">
            <v>Market Share: S-Curve</v>
          </cell>
          <cell r="T2" t="str">
            <v xml:space="preserve">Government Cost </v>
          </cell>
          <cell r="U2" t="str">
            <v xml:space="preserve">Industry Cost </v>
          </cell>
        </row>
        <row r="3">
          <cell r="A3">
            <v>2024</v>
          </cell>
          <cell r="B3">
            <v>0.49844948173055598</v>
          </cell>
          <cell r="C3">
            <v>49.844948173055599</v>
          </cell>
          <cell r="D3">
            <v>0.10926169949393801</v>
          </cell>
          <cell r="E3">
            <v>10.926169949393801</v>
          </cell>
          <cell r="F3">
            <v>28.063378194314499</v>
          </cell>
          <cell r="G3">
            <v>280.63378194314498</v>
          </cell>
          <cell r="I3">
            <v>79.377484201236001</v>
          </cell>
          <cell r="Q3">
            <v>0.01</v>
          </cell>
          <cell r="S3">
            <v>2500000</v>
          </cell>
          <cell r="T3">
            <v>1583248.002963</v>
          </cell>
          <cell r="U3">
            <v>7296257.5302060004</v>
          </cell>
        </row>
        <row r="4">
          <cell r="A4">
            <v>2025</v>
          </cell>
          <cell r="B4">
            <v>0.49717680313933099</v>
          </cell>
          <cell r="C4">
            <v>49.717680313933101</v>
          </cell>
          <cell r="D4">
            <v>0.102171210441016</v>
          </cell>
          <cell r="E4">
            <v>10.217121044101599</v>
          </cell>
          <cell r="F4">
            <v>22.264938032745199</v>
          </cell>
          <cell r="G4">
            <v>222.64938032745201</v>
          </cell>
          <cell r="I4">
            <v>64.130744514067402</v>
          </cell>
          <cell r="Q4">
            <v>0.05</v>
          </cell>
          <cell r="S4">
            <v>12500000</v>
          </cell>
          <cell r="T4">
            <v>14272108.078843299</v>
          </cell>
          <cell r="U4">
            <v>15910483.2769621</v>
          </cell>
        </row>
        <row r="5">
          <cell r="A5">
            <v>2026</v>
          </cell>
          <cell r="B5">
            <v>0.22064737472611301</v>
          </cell>
          <cell r="C5">
            <v>22.064737472611302</v>
          </cell>
          <cell r="D5">
            <v>0.10018889495769499</v>
          </cell>
          <cell r="E5">
            <v>10.0188894957695</v>
          </cell>
          <cell r="F5">
            <v>21.613437392643799</v>
          </cell>
          <cell r="G5">
            <v>216.134373926438</v>
          </cell>
          <cell r="I5">
            <v>58.656943536640298</v>
          </cell>
          <cell r="Q5">
            <v>0.14000000000000001</v>
          </cell>
          <cell r="S5">
            <v>35000000</v>
          </cell>
          <cell r="T5">
            <v>48217628.812400199</v>
          </cell>
          <cell r="U5">
            <v>41543078.543430902</v>
          </cell>
        </row>
        <row r="6">
          <cell r="A6">
            <v>2027</v>
          </cell>
          <cell r="B6">
            <v>0.244172463847806</v>
          </cell>
          <cell r="C6">
            <v>24.417246384780601</v>
          </cell>
          <cell r="D6">
            <v>0.15289755232541</v>
          </cell>
          <cell r="E6">
            <v>15.289755232540999</v>
          </cell>
          <cell r="F6">
            <v>20.592486755288899</v>
          </cell>
          <cell r="G6">
            <v>205.924867552889</v>
          </cell>
          <cell r="I6">
            <v>58.224621739496698</v>
          </cell>
          <cell r="Q6">
            <v>0.3</v>
          </cell>
          <cell r="S6">
            <v>75000000</v>
          </cell>
          <cell r="T6">
            <v>91467511.552529007</v>
          </cell>
          <cell r="U6">
            <v>112320841.90674999</v>
          </cell>
        </row>
        <row r="7">
          <cell r="A7">
            <v>2028</v>
          </cell>
          <cell r="B7">
            <v>0.14098705745676399</v>
          </cell>
          <cell r="C7">
            <v>14.098705745676398</v>
          </cell>
          <cell r="D7">
            <v>0.15228321292774799</v>
          </cell>
          <cell r="E7">
            <v>15.228321292774799</v>
          </cell>
          <cell r="F7">
            <v>20.2400934474847</v>
          </cell>
          <cell r="G7">
            <v>202.40093447484699</v>
          </cell>
          <cell r="I7">
            <v>56.968226503234803</v>
          </cell>
          <cell r="Q7">
            <v>0.5</v>
          </cell>
          <cell r="S7">
            <v>125000000</v>
          </cell>
          <cell r="T7">
            <v>117672985.589</v>
          </cell>
          <cell r="U7">
            <v>117479090.66875599</v>
          </cell>
        </row>
        <row r="8">
          <cell r="A8">
            <v>2029</v>
          </cell>
          <cell r="B8">
            <v>0.14927212238220899</v>
          </cell>
          <cell r="C8">
            <v>14.9272122382209</v>
          </cell>
          <cell r="D8">
            <v>0.144986874704403</v>
          </cell>
          <cell r="E8">
            <v>14.4986874704403</v>
          </cell>
          <cell r="F8">
            <v>20.850883252700299</v>
          </cell>
          <cell r="G8">
            <v>208.50883252700299</v>
          </cell>
          <cell r="I8">
            <v>49.865292682283403</v>
          </cell>
          <cell r="Q8">
            <v>0.7</v>
          </cell>
          <cell r="S8">
            <v>175000000</v>
          </cell>
          <cell r="T8">
            <v>85874932.352483898</v>
          </cell>
          <cell r="U8">
            <v>75341105.650528207</v>
          </cell>
        </row>
        <row r="9">
          <cell r="A9">
            <v>2030</v>
          </cell>
          <cell r="B9">
            <v>0.13366867585950601</v>
          </cell>
          <cell r="C9">
            <v>13.366867585950601</v>
          </cell>
          <cell r="D9">
            <v>0.15016838057571499</v>
          </cell>
          <cell r="E9">
            <v>15.016838057571499</v>
          </cell>
          <cell r="F9">
            <v>20.055704877663501</v>
          </cell>
          <cell r="G9">
            <v>200.55704877663501</v>
          </cell>
          <cell r="I9">
            <v>49.726286325982898</v>
          </cell>
          <cell r="Q9">
            <v>0.86</v>
          </cell>
          <cell r="S9">
            <v>215000000</v>
          </cell>
          <cell r="T9">
            <v>29524646.969765801</v>
          </cell>
          <cell r="U9">
            <v>32690095.4328424</v>
          </cell>
        </row>
        <row r="10">
          <cell r="A10">
            <v>2031</v>
          </cell>
          <cell r="B10">
            <v>9.3823736084054005E-2</v>
          </cell>
          <cell r="C10">
            <v>9.3823736084054001</v>
          </cell>
          <cell r="D10">
            <v>0.10177545189816201</v>
          </cell>
          <cell r="E10">
            <v>10.1775451898162</v>
          </cell>
          <cell r="F10">
            <v>19.887908936765001</v>
          </cell>
          <cell r="G10">
            <v>198.87908936765001</v>
          </cell>
          <cell r="I10">
            <v>53.423209704886702</v>
          </cell>
          <cell r="Q10">
            <v>0.95</v>
          </cell>
          <cell r="S10">
            <v>237500000</v>
          </cell>
          <cell r="T10">
            <v>4210984.9049846996</v>
          </cell>
          <cell r="U10">
            <v>5129332.1237317398</v>
          </cell>
        </row>
        <row r="11">
          <cell r="A11">
            <v>2032</v>
          </cell>
          <cell r="B11">
            <v>0.103596460778149</v>
          </cell>
          <cell r="C11">
            <v>10.359646077814901</v>
          </cell>
          <cell r="D11">
            <v>0.102124940126072</v>
          </cell>
          <cell r="E11">
            <v>10.2124940126072</v>
          </cell>
          <cell r="F11">
            <v>15.363742092981999</v>
          </cell>
          <cell r="G11">
            <v>153.63742092982</v>
          </cell>
          <cell r="I11">
            <v>59.056809599865403</v>
          </cell>
          <cell r="Q11">
            <v>0.99</v>
          </cell>
          <cell r="S11">
            <v>247500000</v>
          </cell>
          <cell r="T11">
            <v>158899.562797972</v>
          </cell>
          <cell r="U11">
            <v>271351.57751974399</v>
          </cell>
        </row>
        <row r="12">
          <cell r="A12">
            <v>2033</v>
          </cell>
          <cell r="B12">
            <v>0.132869622302448</v>
          </cell>
          <cell r="C12">
            <v>13.2869622302448</v>
          </cell>
          <cell r="D12">
            <v>0.10304458573655299</v>
          </cell>
          <cell r="E12">
            <v>10.3044585736553</v>
          </cell>
          <cell r="F12">
            <v>15.577138532105499</v>
          </cell>
          <cell r="G12">
            <v>155.77138532105499</v>
          </cell>
          <cell r="I12">
            <v>54.196725832048202</v>
          </cell>
          <cell r="Q12">
            <v>1</v>
          </cell>
          <cell r="S12">
            <v>250000000</v>
          </cell>
          <cell r="T12">
            <v>142125.19410627699</v>
          </cell>
          <cell r="U12">
            <v>225592.56526021601</v>
          </cell>
        </row>
        <row r="15">
          <cell r="D15" t="str">
            <v>S-Curve &amp; 10% LP</v>
          </cell>
          <cell r="S15" t="str">
            <v>Market Share: Linear</v>
          </cell>
        </row>
        <row r="16">
          <cell r="B16">
            <v>0.49844741357234101</v>
          </cell>
          <cell r="D16">
            <v>0.10964604034815301</v>
          </cell>
          <cell r="F16">
            <v>285.60168473927001</v>
          </cell>
          <cell r="I16">
            <v>79.065657999628002</v>
          </cell>
          <cell r="S16">
            <v>20000000</v>
          </cell>
          <cell r="T16">
            <v>44414305.567090496</v>
          </cell>
          <cell r="U16">
            <v>45524330.3675704</v>
          </cell>
        </row>
        <row r="17">
          <cell r="B17">
            <v>0.498375912358967</v>
          </cell>
          <cell r="D17">
            <v>0.103157467983894</v>
          </cell>
          <cell r="F17">
            <v>215.653339022572</v>
          </cell>
          <cell r="I17">
            <v>67.099134593035004</v>
          </cell>
          <cell r="S17">
            <v>40000000</v>
          </cell>
          <cell r="T17">
            <v>66811575.011730798</v>
          </cell>
          <cell r="U17">
            <v>61537230.161014497</v>
          </cell>
        </row>
        <row r="18">
          <cell r="B18">
            <v>0.23100670364453199</v>
          </cell>
          <cell r="D18">
            <v>0.103323607086773</v>
          </cell>
          <cell r="F18">
            <v>205.15912519056599</v>
          </cell>
          <cell r="I18">
            <v>59.745447040798503</v>
          </cell>
          <cell r="S18">
            <v>60000000</v>
          </cell>
          <cell r="T18">
            <v>82606727.438309193</v>
          </cell>
          <cell r="U18">
            <v>81819736.532102197</v>
          </cell>
        </row>
        <row r="19">
          <cell r="B19">
            <v>0.18409246345636701</v>
          </cell>
          <cell r="D19">
            <v>0.103813754902955</v>
          </cell>
          <cell r="F19">
            <v>210.45117552782901</v>
          </cell>
          <cell r="I19">
            <v>60.370092446923202</v>
          </cell>
          <cell r="S19">
            <v>80000000</v>
          </cell>
          <cell r="T19">
            <v>81642070.221723706</v>
          </cell>
          <cell r="U19">
            <v>85067920.898580998</v>
          </cell>
        </row>
        <row r="20">
          <cell r="B20">
            <v>0.13690080352655601</v>
          </cell>
          <cell r="D20">
            <v>0.10233119275236199</v>
          </cell>
          <cell r="F20">
            <v>200.461549326903</v>
          </cell>
          <cell r="I20">
            <v>59.296594601667302</v>
          </cell>
          <cell r="S20">
            <v>100000000</v>
          </cell>
          <cell r="T20">
            <v>60306525.653771996</v>
          </cell>
          <cell r="U20">
            <v>65496431.014949404</v>
          </cell>
        </row>
        <row r="21">
          <cell r="B21">
            <v>0.19789336021745499</v>
          </cell>
          <cell r="D21">
            <v>0.15807082361695601</v>
          </cell>
          <cell r="F21">
            <v>189.07293034190599</v>
          </cell>
          <cell r="I21">
            <v>52.256763390728104</v>
          </cell>
          <cell r="S21">
            <v>120000000</v>
          </cell>
          <cell r="T21">
            <v>36517850.750442602</v>
          </cell>
          <cell r="U21">
            <v>37038913.059402503</v>
          </cell>
        </row>
        <row r="22">
          <cell r="B22">
            <v>0.172280163193054</v>
          </cell>
          <cell r="D22">
            <v>0.153324460848733</v>
          </cell>
          <cell r="F22">
            <v>189.33512768253601</v>
          </cell>
          <cell r="I22">
            <v>50.742446100223503</v>
          </cell>
          <cell r="S22">
            <v>140000000</v>
          </cell>
          <cell r="T22">
            <v>21078922.057684802</v>
          </cell>
          <cell r="U22">
            <v>13009372.7555911</v>
          </cell>
        </row>
        <row r="23">
          <cell r="B23">
            <v>0.10902693418010299</v>
          </cell>
          <cell r="D23">
            <v>0.139028604740522</v>
          </cell>
          <cell r="F23">
            <v>170.99708975215299</v>
          </cell>
          <cell r="I23">
            <v>56.109687849666102</v>
          </cell>
          <cell r="S23">
            <v>160000000</v>
          </cell>
          <cell r="T23">
            <v>5059947.0102394996</v>
          </cell>
          <cell r="U23">
            <v>6187547.6203233004</v>
          </cell>
        </row>
        <row r="24">
          <cell r="B24">
            <v>0.112450638863101</v>
          </cell>
          <cell r="D24">
            <v>0.13749065364747901</v>
          </cell>
          <cell r="F24">
            <v>175.06240175630501</v>
          </cell>
          <cell r="I24">
            <v>55.847427134450797</v>
          </cell>
          <cell r="S24">
            <v>180000000</v>
          </cell>
          <cell r="T24">
            <v>1161217.8110633099</v>
          </cell>
          <cell r="U24">
            <v>1451617.09733532</v>
          </cell>
        </row>
        <row r="25">
          <cell r="B25">
            <v>0.110062884123733</v>
          </cell>
          <cell r="D25">
            <v>0.13131907524816899</v>
          </cell>
          <cell r="F25">
            <v>166.068886576984</v>
          </cell>
          <cell r="I25">
            <v>56.678740151104002</v>
          </cell>
          <cell r="S25">
            <v>200000000</v>
          </cell>
          <cell r="T25">
            <v>293771.31831189903</v>
          </cell>
          <cell r="U25">
            <v>554123.953211218</v>
          </cell>
        </row>
        <row r="27">
          <cell r="D27" t="str">
            <v>S-Curve &amp; 2.5% LP</v>
          </cell>
        </row>
        <row r="28">
          <cell r="B28">
            <v>0.49845060884667203</v>
          </cell>
          <cell r="D28">
            <v>0.108898152444597</v>
          </cell>
          <cell r="F28">
            <v>275.34218896180198</v>
          </cell>
          <cell r="I28">
            <v>79.7090820387549</v>
          </cell>
        </row>
        <row r="29">
          <cell r="B29">
            <v>0.49841677979478299</v>
          </cell>
          <cell r="D29">
            <v>0.104279245214443</v>
          </cell>
          <cell r="F29">
            <v>238.700478544926</v>
          </cell>
          <cell r="I29">
            <v>67.981145899950803</v>
          </cell>
        </row>
        <row r="30">
          <cell r="B30">
            <v>0.49768667889717799</v>
          </cell>
          <cell r="D30">
            <v>0.105575231760886</v>
          </cell>
          <cell r="F30">
            <v>276.08173103520801</v>
          </cell>
          <cell r="I30">
            <v>51.928905975352997</v>
          </cell>
        </row>
        <row r="31">
          <cell r="B31">
            <v>0.49037331383228899</v>
          </cell>
          <cell r="D31">
            <v>0.101931094984976</v>
          </cell>
          <cell r="F31">
            <v>225.286744148465</v>
          </cell>
          <cell r="I31">
            <v>54.459018571335903</v>
          </cell>
        </row>
        <row r="32">
          <cell r="B32">
            <v>0.211730458123843</v>
          </cell>
          <cell r="D32">
            <v>0.159827176329633</v>
          </cell>
          <cell r="F32">
            <v>219.58322503333201</v>
          </cell>
          <cell r="I32">
            <v>53.286923569682699</v>
          </cell>
        </row>
        <row r="33">
          <cell r="B33">
            <v>0.25679195992188297</v>
          </cell>
          <cell r="D33">
            <v>0.15657572531585001</v>
          </cell>
          <cell r="F33">
            <v>194.24057092728</v>
          </cell>
          <cell r="I33">
            <v>50.626509611356802</v>
          </cell>
        </row>
        <row r="34">
          <cell r="B34">
            <v>0.18905469797736699</v>
          </cell>
          <cell r="D34">
            <v>0.149824709379832</v>
          </cell>
          <cell r="F34">
            <v>204.62022898036801</v>
          </cell>
          <cell r="I34">
            <v>47.240228013002699</v>
          </cell>
        </row>
        <row r="35">
          <cell r="B35">
            <v>0.197544501683936</v>
          </cell>
          <cell r="D35">
            <v>0.100626613192683</v>
          </cell>
          <cell r="F35">
            <v>172.36338601098601</v>
          </cell>
          <cell r="I35">
            <v>50.814307391983</v>
          </cell>
        </row>
        <row r="36">
          <cell r="B36">
            <v>0.200030727510879</v>
          </cell>
          <cell r="D36">
            <v>0.10077673979</v>
          </cell>
          <cell r="F36">
            <v>171.08772571149399</v>
          </cell>
          <cell r="I36">
            <v>51.978841905368697</v>
          </cell>
        </row>
        <row r="37">
          <cell r="B37">
            <v>0.19940111203640501</v>
          </cell>
          <cell r="D37">
            <v>0.100782625285469</v>
          </cell>
          <cell r="F37">
            <v>169.52238697892199</v>
          </cell>
          <cell r="I37">
            <v>51.107598569427502</v>
          </cell>
        </row>
        <row r="40">
          <cell r="C40" t="str">
            <v xml:space="preserve">Linear &amp; 5% LP </v>
          </cell>
          <cell r="F40" t="str">
            <v>Market share</v>
          </cell>
          <cell r="I40" t="str">
            <v>Electricity Price (£/MWh)</v>
          </cell>
          <cell r="J40" t="str">
            <v>Gas Price (£/MWh)</v>
          </cell>
        </row>
        <row r="41">
          <cell r="A41">
            <v>2024</v>
          </cell>
          <cell r="B41">
            <v>0.176289715687693</v>
          </cell>
          <cell r="C41">
            <v>0.16761003765310101</v>
          </cell>
          <cell r="D41">
            <v>264.21535127643199</v>
          </cell>
          <cell r="E41">
            <v>73.013864869431401</v>
          </cell>
          <cell r="F41">
            <v>0.1</v>
          </cell>
          <cell r="G41">
            <v>17.628971568769298</v>
          </cell>
          <cell r="I41">
            <v>128.1</v>
          </cell>
          <cell r="J41">
            <v>29</v>
          </cell>
          <cell r="K41">
            <v>26.4215351276432</v>
          </cell>
          <cell r="L41">
            <v>16.7610037653101</v>
          </cell>
        </row>
        <row r="42">
          <cell r="A42">
            <v>2025</v>
          </cell>
          <cell r="B42">
            <v>0.21420339014591999</v>
          </cell>
          <cell r="C42">
            <v>0.151964745993244</v>
          </cell>
          <cell r="D42">
            <v>196.48527945225999</v>
          </cell>
          <cell r="E42">
            <v>63.676748555312301</v>
          </cell>
          <cell r="F42">
            <v>0.2</v>
          </cell>
          <cell r="G42">
            <v>21.420339014591999</v>
          </cell>
          <cell r="I42">
            <v>121</v>
          </cell>
          <cell r="J42">
            <v>31</v>
          </cell>
          <cell r="K42">
            <v>19.648527945226</v>
          </cell>
          <cell r="L42">
            <v>15.1964745993244</v>
          </cell>
        </row>
        <row r="43">
          <cell r="A43">
            <v>2026</v>
          </cell>
          <cell r="B43">
            <v>0.241860306385415</v>
          </cell>
          <cell r="C43">
            <v>0.14814344931881601</v>
          </cell>
          <cell r="D43">
            <v>193.48580887637399</v>
          </cell>
          <cell r="E43">
            <v>59.193475635146299</v>
          </cell>
          <cell r="F43">
            <v>0.3</v>
          </cell>
          <cell r="G43">
            <v>24.186030638541499</v>
          </cell>
          <cell r="I43">
            <v>124</v>
          </cell>
          <cell r="J43">
            <v>32</v>
          </cell>
          <cell r="K43">
            <v>19.3485808876374</v>
          </cell>
          <cell r="L43">
            <v>14.814344931881601</v>
          </cell>
        </row>
        <row r="44">
          <cell r="A44">
            <v>2027</v>
          </cell>
          <cell r="B44">
            <v>0.248418878181977</v>
          </cell>
          <cell r="C44">
            <v>0.16870507839136401</v>
          </cell>
          <cell r="D44">
            <v>212.22624162706799</v>
          </cell>
          <cell r="E44">
            <v>56.522386462861903</v>
          </cell>
          <cell r="F44">
            <v>0.4</v>
          </cell>
          <cell r="G44">
            <v>24.841887818197701</v>
          </cell>
          <cell r="I44">
            <v>131</v>
          </cell>
          <cell r="J44">
            <v>33</v>
          </cell>
          <cell r="K44">
            <v>21.222624162706801</v>
          </cell>
          <cell r="L44">
            <v>16.870507839136401</v>
          </cell>
        </row>
        <row r="45">
          <cell r="A45">
            <v>2028</v>
          </cell>
          <cell r="B45">
            <v>0.158649634044738</v>
          </cell>
          <cell r="C45">
            <v>0.150842969756741</v>
          </cell>
          <cell r="D45">
            <v>197.58649923432301</v>
          </cell>
          <cell r="E45">
            <v>57.313747222372697</v>
          </cell>
          <cell r="F45">
            <v>0.5</v>
          </cell>
          <cell r="G45">
            <v>15.8649634044738</v>
          </cell>
          <cell r="I45">
            <v>131</v>
          </cell>
          <cell r="J45">
            <v>34</v>
          </cell>
          <cell r="K45">
            <v>19.758649923432301</v>
          </cell>
          <cell r="L45">
            <v>15.0842969756741</v>
          </cell>
        </row>
        <row r="46">
          <cell r="A46">
            <v>2029</v>
          </cell>
          <cell r="B46">
            <v>0.17842734907492799</v>
          </cell>
          <cell r="C46">
            <v>0.14113992826310201</v>
          </cell>
          <cell r="D46">
            <v>196.02804997825501</v>
          </cell>
          <cell r="E46">
            <v>51.556216756283199</v>
          </cell>
          <cell r="F46">
            <v>0.6</v>
          </cell>
          <cell r="G46">
            <v>17.842734907492801</v>
          </cell>
          <cell r="I46">
            <v>128</v>
          </cell>
          <cell r="J46">
            <v>35</v>
          </cell>
          <cell r="K46">
            <v>19.602804997825501</v>
          </cell>
          <cell r="L46">
            <v>14.1139928263102</v>
          </cell>
        </row>
        <row r="47">
          <cell r="A47">
            <v>2030</v>
          </cell>
          <cell r="B47">
            <v>0.16390875721508799</v>
          </cell>
          <cell r="C47">
            <v>0.148320250162707</v>
          </cell>
          <cell r="D47">
            <v>250.01761350515801</v>
          </cell>
          <cell r="E47">
            <v>42.522169436034503</v>
          </cell>
          <cell r="F47">
            <v>0.7</v>
          </cell>
          <cell r="G47">
            <v>16.390875721508799</v>
          </cell>
          <cell r="I47">
            <v>128</v>
          </cell>
          <cell r="J47">
            <v>36</v>
          </cell>
          <cell r="K47">
            <v>25.0017613505158</v>
          </cell>
          <cell r="L47">
            <v>14.8320250162707</v>
          </cell>
        </row>
        <row r="48">
          <cell r="A48">
            <v>2031</v>
          </cell>
          <cell r="B48">
            <v>5.8906778184586797E-2</v>
          </cell>
          <cell r="C48">
            <v>0.153538136747014</v>
          </cell>
          <cell r="D48">
            <v>177.119110158529</v>
          </cell>
          <cell r="E48">
            <v>55.077778801552903</v>
          </cell>
          <cell r="F48">
            <v>0.8</v>
          </cell>
          <cell r="G48">
            <v>5.8906778184586797</v>
          </cell>
          <cell r="I48">
            <v>128</v>
          </cell>
          <cell r="J48">
            <v>36</v>
          </cell>
          <cell r="K48">
            <v>17.711911015852898</v>
          </cell>
          <cell r="L48">
            <v>15.353813674701399</v>
          </cell>
        </row>
        <row r="49">
          <cell r="A49">
            <v>2032</v>
          </cell>
          <cell r="B49">
            <v>5.0137643375966698E-2</v>
          </cell>
          <cell r="C49">
            <v>0.15243189042840299</v>
          </cell>
          <cell r="D49">
            <v>203.10203799105901</v>
          </cell>
          <cell r="E49">
            <v>56.30018377191</v>
          </cell>
          <cell r="F49">
            <v>0.9</v>
          </cell>
          <cell r="G49">
            <v>5.0137643375966698</v>
          </cell>
          <cell r="I49">
            <v>130</v>
          </cell>
          <cell r="J49">
            <v>36</v>
          </cell>
          <cell r="K49">
            <v>20.310203799105899</v>
          </cell>
          <cell r="L49">
            <v>15.243189042840299</v>
          </cell>
        </row>
        <row r="50">
          <cell r="A50">
            <v>2033</v>
          </cell>
          <cell r="B50">
            <v>5.0434800324185097E-2</v>
          </cell>
          <cell r="C50">
            <v>0.15757150775576301</v>
          </cell>
          <cell r="D50">
            <v>155.711357091004</v>
          </cell>
          <cell r="E50">
            <v>62.6384537848406</v>
          </cell>
          <cell r="F50">
            <v>1</v>
          </cell>
          <cell r="G50">
            <v>5.0434800324185094</v>
          </cell>
          <cell r="I50">
            <v>130</v>
          </cell>
          <cell r="J50">
            <v>36</v>
          </cell>
          <cell r="K50">
            <v>15.5711357091004</v>
          </cell>
          <cell r="L50">
            <v>15.757150775576301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MArket share"/>
      <sheetName val="5LP data"/>
      <sheetName val="Linear"/>
      <sheetName val="Policy"/>
      <sheetName val="Cost reduction"/>
      <sheetName val="Switching Linear"/>
      <sheetName val="Emiss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3">
          <cell r="D23">
            <v>2023</v>
          </cell>
          <cell r="E23">
            <v>2024</v>
          </cell>
          <cell r="F23">
            <v>2025</v>
          </cell>
          <cell r="G23">
            <v>2026</v>
          </cell>
          <cell r="H23">
            <v>2027</v>
          </cell>
          <cell r="I23">
            <v>2028</v>
          </cell>
          <cell r="J23">
            <v>2029</v>
          </cell>
          <cell r="K23">
            <v>2030</v>
          </cell>
          <cell r="L23">
            <v>2031</v>
          </cell>
          <cell r="M23">
            <v>2032</v>
          </cell>
          <cell r="N23">
            <v>2033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</row>
        <row r="24">
          <cell r="C24" t="str">
            <v xml:space="preserve">1 MW Cluster </v>
          </cell>
          <cell r="D24">
            <v>1</v>
          </cell>
          <cell r="E24">
            <v>0.8285649870487416</v>
          </cell>
          <cell r="F24">
            <v>0.8285649870487416</v>
          </cell>
          <cell r="G24">
            <v>0.8285649870487416</v>
          </cell>
          <cell r="H24">
            <v>0.72613968995069544</v>
          </cell>
          <cell r="I24">
            <v>0.59375977726145834</v>
          </cell>
          <cell r="J24">
            <v>0.55399746123248694</v>
          </cell>
          <cell r="K24">
            <v>0.55399746123248694</v>
          </cell>
          <cell r="L24">
            <v>0.55399746123248694</v>
          </cell>
          <cell r="M24">
            <v>0.55399746123248694</v>
          </cell>
          <cell r="N24">
            <v>0.55399746123248694</v>
          </cell>
          <cell r="AC24">
            <v>1</v>
          </cell>
          <cell r="AD24">
            <v>0.78983995427947162</v>
          </cell>
          <cell r="AE24">
            <v>0.78983995427947162</v>
          </cell>
          <cell r="AF24">
            <v>0.78983995427947162</v>
          </cell>
          <cell r="AG24">
            <v>0.78983995427947162</v>
          </cell>
          <cell r="AH24">
            <v>0.76293510587488067</v>
          </cell>
          <cell r="AI24">
            <v>0.72215685208692526</v>
          </cell>
          <cell r="AJ24">
            <v>0.72215685208692526</v>
          </cell>
          <cell r="AK24">
            <v>0.72215685208692526</v>
          </cell>
          <cell r="AL24">
            <v>0.72215685208692526</v>
          </cell>
          <cell r="AM24">
            <v>0.72215685208692526</v>
          </cell>
        </row>
        <row r="25">
          <cell r="C25" t="str">
            <v xml:space="preserve">5 MW Cluster </v>
          </cell>
          <cell r="D25">
            <v>1</v>
          </cell>
          <cell r="E25">
            <v>1</v>
          </cell>
          <cell r="F25">
            <v>0.92268083459058836</v>
          </cell>
          <cell r="G25">
            <v>0.92268083459058836</v>
          </cell>
          <cell r="H25">
            <v>0.73147558143301261</v>
          </cell>
          <cell r="I25">
            <v>0.73147558143301261</v>
          </cell>
          <cell r="J25">
            <v>0.67491849995924791</v>
          </cell>
          <cell r="K25">
            <v>0.52891743037406358</v>
          </cell>
          <cell r="L25">
            <v>0.37902868279194185</v>
          </cell>
          <cell r="M25">
            <v>0.32475133283844426</v>
          </cell>
          <cell r="N25">
            <v>0.32475133283844426</v>
          </cell>
          <cell r="AC25">
            <v>1</v>
          </cell>
          <cell r="AD25">
            <v>0.78220944306788076</v>
          </cell>
          <cell r="AE25">
            <v>0.78220944306788076</v>
          </cell>
          <cell r="AF25">
            <v>0.78220944306788076</v>
          </cell>
          <cell r="AG25">
            <v>0.65481655756325663</v>
          </cell>
          <cell r="AH25">
            <v>0.53848195234193519</v>
          </cell>
          <cell r="AI25">
            <v>0.46137070800122815</v>
          </cell>
          <cell r="AJ25">
            <v>0.40164652973880077</v>
          </cell>
          <cell r="AK25">
            <v>0.36440901891357752</v>
          </cell>
          <cell r="AL25">
            <v>0.31222522189829932</v>
          </cell>
          <cell r="AM25">
            <v>0.31222522189829932</v>
          </cell>
        </row>
        <row r="26">
          <cell r="C26" t="str">
            <v xml:space="preserve">9 MW Cluster </v>
          </cell>
          <cell r="D26">
            <v>1</v>
          </cell>
          <cell r="E26">
            <v>1</v>
          </cell>
          <cell r="F26">
            <v>0.94655082264015922</v>
          </cell>
          <cell r="G26">
            <v>0.94655082264015922</v>
          </cell>
          <cell r="H26">
            <v>0.78614877934366589</v>
          </cell>
          <cell r="I26">
            <v>0.78614877934366589</v>
          </cell>
          <cell r="J26">
            <v>0.78614877934366589</v>
          </cell>
          <cell r="K26">
            <v>0.78614877934366589</v>
          </cell>
          <cell r="L26">
            <v>0.78614877934366589</v>
          </cell>
          <cell r="M26">
            <v>0.78614877934366589</v>
          </cell>
          <cell r="N26">
            <v>0.78614877934366589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0.83481436548461685</v>
          </cell>
          <cell r="AH26">
            <v>0.83481436548461685</v>
          </cell>
          <cell r="AI26">
            <v>0.75741693597862447</v>
          </cell>
          <cell r="AJ26">
            <v>0.75741693597862447</v>
          </cell>
          <cell r="AK26">
            <v>0.75741693597862447</v>
          </cell>
          <cell r="AL26">
            <v>0.75741693597862447</v>
          </cell>
          <cell r="AM26">
            <v>0.75741693597862447</v>
          </cell>
        </row>
        <row r="27">
          <cell r="C27" t="str">
            <v xml:space="preserve">15 MW Cluster 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0.92268083459058836</v>
          </cell>
          <cell r="I27">
            <v>0.92268083459058836</v>
          </cell>
          <cell r="J27">
            <v>0.80324032029537462</v>
          </cell>
          <cell r="K27">
            <v>0.80324032029537462</v>
          </cell>
          <cell r="L27">
            <v>0.80324032029537462</v>
          </cell>
          <cell r="M27">
            <v>0.80324032029537462</v>
          </cell>
          <cell r="N27">
            <v>0.80324032029537462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0.8796356706393289</v>
          </cell>
          <cell r="AI27">
            <v>0.82072910123909892</v>
          </cell>
          <cell r="AJ27">
            <v>0.76576732857043173</v>
          </cell>
          <cell r="AK27">
            <v>0.76576732857043173</v>
          </cell>
          <cell r="AL27">
            <v>0.76576732857043173</v>
          </cell>
          <cell r="AM27">
            <v>0.76576732857043173</v>
          </cell>
        </row>
        <row r="28">
          <cell r="C28" t="str">
            <v xml:space="preserve">30 MW Cluster 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0.88316314568957377</v>
          </cell>
          <cell r="K28">
            <v>0.88316314568957377</v>
          </cell>
          <cell r="L28">
            <v>0.88316314568957377</v>
          </cell>
          <cell r="M28">
            <v>0.88316314568957377</v>
          </cell>
          <cell r="N28">
            <v>0.88316314568957377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0.92268083459058836</v>
          </cell>
          <cell r="AH28">
            <v>0.86089165933173484</v>
          </cell>
          <cell r="AI28">
            <v>0.86089165933173484</v>
          </cell>
          <cell r="AJ28">
            <v>0.86089165933173484</v>
          </cell>
          <cell r="AK28">
            <v>0.86089165933173484</v>
          </cell>
          <cell r="AL28">
            <v>0.86089165933173484</v>
          </cell>
          <cell r="AM28">
            <v>0.86089165933173484</v>
          </cell>
        </row>
        <row r="29">
          <cell r="C29" t="str">
            <v xml:space="preserve">60 MW Cluster </v>
          </cell>
          <cell r="D29">
            <v>1</v>
          </cell>
          <cell r="E29">
            <v>1</v>
          </cell>
          <cell r="F29">
            <v>1</v>
          </cell>
          <cell r="G29">
            <v>0.91430782676182798</v>
          </cell>
          <cell r="H29">
            <v>0.91430782676182798</v>
          </cell>
          <cell r="I29">
            <v>0.79354213466051393</v>
          </cell>
          <cell r="J29">
            <v>0.76651117640116229</v>
          </cell>
          <cell r="K29">
            <v>0.76651117640116229</v>
          </cell>
          <cell r="L29">
            <v>0.76651117640116229</v>
          </cell>
          <cell r="M29">
            <v>0.76651117640116229</v>
          </cell>
          <cell r="N29">
            <v>0.76651117640116229</v>
          </cell>
          <cell r="AC29">
            <v>1</v>
          </cell>
          <cell r="AD29">
            <v>1</v>
          </cell>
          <cell r="AE29">
            <v>0.89595845984076217</v>
          </cell>
          <cell r="AF29">
            <v>0.79127749180015317</v>
          </cell>
          <cell r="AG29">
            <v>0.76432367559029957</v>
          </cell>
          <cell r="AH29">
            <v>0.76432367559029957</v>
          </cell>
          <cell r="AI29">
            <v>0.72347120389334829</v>
          </cell>
          <cell r="AJ29">
            <v>0.72347120389334829</v>
          </cell>
          <cell r="AK29">
            <v>0.72347120389334829</v>
          </cell>
          <cell r="AL29">
            <v>0.72347120389334829</v>
          </cell>
          <cell r="AM29">
            <v>0.72347120389334829</v>
          </cell>
        </row>
        <row r="30">
          <cell r="C30" t="str">
            <v>S-Curve</v>
          </cell>
          <cell r="D30">
            <v>0</v>
          </cell>
          <cell r="E30">
            <v>0.01</v>
          </cell>
          <cell r="F30">
            <v>0.05</v>
          </cell>
          <cell r="G30">
            <v>0.14000000000000001</v>
          </cell>
          <cell r="H30">
            <v>0.3</v>
          </cell>
          <cell r="I30">
            <v>0.5</v>
          </cell>
          <cell r="J30">
            <v>0.7</v>
          </cell>
          <cell r="K30">
            <v>0.86</v>
          </cell>
          <cell r="L30">
            <v>0.95</v>
          </cell>
          <cell r="M30">
            <v>0.99</v>
          </cell>
          <cell r="N30">
            <v>1</v>
          </cell>
          <cell r="AB30" t="str">
            <v>Linear Adoption</v>
          </cell>
          <cell r="AC30">
            <v>0</v>
          </cell>
          <cell r="AD30">
            <v>0.1</v>
          </cell>
          <cell r="AE30">
            <v>0.2</v>
          </cell>
          <cell r="AF30">
            <v>0.3</v>
          </cell>
          <cell r="AG30">
            <v>0.4</v>
          </cell>
          <cell r="AH30">
            <v>0.5</v>
          </cell>
          <cell r="AI30">
            <v>0.6</v>
          </cell>
          <cell r="AJ30">
            <v>0.7</v>
          </cell>
          <cell r="AK30">
            <v>0.8</v>
          </cell>
          <cell r="AL30">
            <v>0.9</v>
          </cell>
          <cell r="AM30">
            <v>1</v>
          </cell>
        </row>
        <row r="43">
          <cell r="C43" t="str">
            <v>Cluster 1</v>
          </cell>
          <cell r="E43">
            <v>0.93303299153680697</v>
          </cell>
          <cell r="F43">
            <v>0.67624333780624057</v>
          </cell>
          <cell r="G43">
            <v>0.45135214839125992</v>
          </cell>
          <cell r="H43">
            <v>0.31817358400702844</v>
          </cell>
          <cell r="I43">
            <v>0.31817358400702844</v>
          </cell>
          <cell r="J43">
            <v>0.31817358400702844</v>
          </cell>
          <cell r="K43">
            <v>0.31817358400702844</v>
          </cell>
          <cell r="L43">
            <v>0.31817358400702844</v>
          </cell>
          <cell r="M43">
            <v>0.31817358400702844</v>
          </cell>
          <cell r="N43">
            <v>0.31817358400702844</v>
          </cell>
        </row>
        <row r="44">
          <cell r="C44" t="str">
            <v>Cluster 5</v>
          </cell>
          <cell r="E44">
            <v>0.75327769492503804</v>
          </cell>
          <cell r="F44">
            <v>0.75327769492503804</v>
          </cell>
          <cell r="G44">
            <v>0.61185161282456346</v>
          </cell>
          <cell r="H44">
            <v>0.37971513541863389</v>
          </cell>
          <cell r="I44">
            <v>0.30842452867651782</v>
          </cell>
          <cell r="J44">
            <v>0.22975953818687955</v>
          </cell>
          <cell r="K44">
            <v>0.1502324485583417</v>
          </cell>
          <cell r="L44">
            <v>0.13922212660018166</v>
          </cell>
          <cell r="M44">
            <v>9.9768274271922003E-2</v>
          </cell>
          <cell r="N44">
            <v>9.9768274271922003E-2</v>
          </cell>
        </row>
        <row r="45">
          <cell r="C45" t="str">
            <v>Cluster 9</v>
          </cell>
          <cell r="E45">
            <v>1</v>
          </cell>
          <cell r="F45">
            <v>1</v>
          </cell>
          <cell r="G45">
            <v>1</v>
          </cell>
          <cell r="H45">
            <v>0.6897974972783647</v>
          </cell>
          <cell r="I45">
            <v>0.6436038224402354</v>
          </cell>
          <cell r="J45">
            <v>0.6436038224402354</v>
          </cell>
          <cell r="K45">
            <v>0.6436038224402354</v>
          </cell>
          <cell r="L45">
            <v>0.6436038224402354</v>
          </cell>
          <cell r="M45">
            <v>0.6436038224402354</v>
          </cell>
          <cell r="N45">
            <v>0.6436038224402354</v>
          </cell>
        </row>
        <row r="46">
          <cell r="C46" t="str">
            <v>Cluster 15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0.73752724891279675</v>
          </cell>
          <cell r="J46">
            <v>0.73752724891279675</v>
          </cell>
          <cell r="K46">
            <v>0.73752724891279675</v>
          </cell>
          <cell r="L46">
            <v>0.73752724891279675</v>
          </cell>
          <cell r="M46">
            <v>0.73752724891279675</v>
          </cell>
          <cell r="N46">
            <v>0.73752724891279675</v>
          </cell>
        </row>
        <row r="47">
          <cell r="C47" t="str">
            <v>Cluster 30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0.77997714190430334</v>
          </cell>
          <cell r="J47">
            <v>0.77997714190430334</v>
          </cell>
          <cell r="K47">
            <v>0.77997714190430334</v>
          </cell>
          <cell r="L47">
            <v>0.77997714190430334</v>
          </cell>
          <cell r="M47">
            <v>0.77997714190430334</v>
          </cell>
          <cell r="N47">
            <v>0.77997714190430334</v>
          </cell>
        </row>
        <row r="48">
          <cell r="C48" t="str">
            <v>Cluster 60</v>
          </cell>
          <cell r="E48">
            <v>1</v>
          </cell>
          <cell r="F48">
            <v>0.93303299153680697</v>
          </cell>
          <cell r="G48">
            <v>0.79432823472428116</v>
          </cell>
          <cell r="H48">
            <v>0.79432823472428116</v>
          </cell>
          <cell r="I48">
            <v>0.67624333780624113</v>
          </cell>
          <cell r="J48">
            <v>0.53206382351520698</v>
          </cell>
          <cell r="K48">
            <v>0.47670708385367183</v>
          </cell>
          <cell r="L48">
            <v>0.47670708385367183</v>
          </cell>
          <cell r="M48">
            <v>0.47670708385367183</v>
          </cell>
          <cell r="N48">
            <v>0.47670708385367183</v>
          </cell>
        </row>
        <row r="61">
          <cell r="C61" t="str">
            <v>Cluster 1</v>
          </cell>
          <cell r="E61">
            <v>0.95619445028813499</v>
          </cell>
          <cell r="F61">
            <v>0.85076893621178928</v>
          </cell>
          <cell r="G61">
            <v>0.85076893621178928</v>
          </cell>
          <cell r="H61">
            <v>0.82178862300771138</v>
          </cell>
          <cell r="I61">
            <v>0.82178862300771138</v>
          </cell>
          <cell r="J61">
            <v>0.82178862300771138</v>
          </cell>
          <cell r="K61">
            <v>0.82178862300771138</v>
          </cell>
          <cell r="L61">
            <v>0.82178862300771138</v>
          </cell>
          <cell r="M61">
            <v>0.82178862300771138</v>
          </cell>
          <cell r="N61">
            <v>0.82178862300771138</v>
          </cell>
        </row>
        <row r="62">
          <cell r="C62" t="str">
            <v>Cluster 5</v>
          </cell>
          <cell r="E62">
            <v>0.93976760195783204</v>
          </cell>
          <cell r="F62">
            <v>0.90270577063875279</v>
          </cell>
          <cell r="G62">
            <v>0.80688467778325257</v>
          </cell>
          <cell r="H62">
            <v>0.72044261656040709</v>
          </cell>
          <cell r="I62">
            <v>0.66117336891807488</v>
          </cell>
          <cell r="J62">
            <v>0.62010719255057578</v>
          </cell>
          <cell r="K62">
            <v>0.59898406511219515</v>
          </cell>
          <cell r="L62">
            <v>0.55508537699268645</v>
          </cell>
          <cell r="M62">
            <v>0.55508537699268645</v>
          </cell>
          <cell r="N62">
            <v>0.55508537699268645</v>
          </cell>
        </row>
        <row r="63">
          <cell r="C63" t="str">
            <v>Cluster 9</v>
          </cell>
          <cell r="E63">
            <v>1</v>
          </cell>
          <cell r="F63">
            <v>1</v>
          </cell>
          <cell r="G63">
            <v>1</v>
          </cell>
          <cell r="H63">
            <v>0.93028964606070108</v>
          </cell>
          <cell r="I63">
            <v>0.87089337418722967</v>
          </cell>
          <cell r="J63">
            <v>0.87089337418722967</v>
          </cell>
          <cell r="K63">
            <v>0.81843737782089754</v>
          </cell>
          <cell r="L63">
            <v>0.81843737782089754</v>
          </cell>
          <cell r="M63">
            <v>0.81843737782089754</v>
          </cell>
          <cell r="N63">
            <v>0.81843737782089754</v>
          </cell>
        </row>
        <row r="64">
          <cell r="C64" t="str">
            <v>Cluster 15</v>
          </cell>
          <cell r="E64">
            <v>1</v>
          </cell>
          <cell r="F64">
            <v>1</v>
          </cell>
          <cell r="G64">
            <v>1</v>
          </cell>
          <cell r="H64">
            <v>0.94406087628592339</v>
          </cell>
          <cell r="I64">
            <v>0.90682973037383385</v>
          </cell>
          <cell r="J64">
            <v>0.90682973037383385</v>
          </cell>
          <cell r="K64">
            <v>0.87106687748103051</v>
          </cell>
          <cell r="L64">
            <v>0.87106687748103051</v>
          </cell>
          <cell r="M64">
            <v>0.87106687748103051</v>
          </cell>
          <cell r="N64">
            <v>0.87106687748103051</v>
          </cell>
        </row>
        <row r="65">
          <cell r="C65" t="str">
            <v>Cluster 30</v>
          </cell>
          <cell r="E65">
            <v>1</v>
          </cell>
          <cell r="F65">
            <v>1</v>
          </cell>
          <cell r="G65">
            <v>1</v>
          </cell>
          <cell r="H65">
            <v>0.94934212095051917</v>
          </cell>
          <cell r="I65">
            <v>0.94934212095051917</v>
          </cell>
          <cell r="J65">
            <v>0.94934212095051917</v>
          </cell>
          <cell r="K65">
            <v>0.92362295704963149</v>
          </cell>
          <cell r="L65">
            <v>0.92362295704963149</v>
          </cell>
          <cell r="M65">
            <v>0.92362295704963149</v>
          </cell>
          <cell r="N65">
            <v>0.92362295704963149</v>
          </cell>
        </row>
        <row r="66">
          <cell r="C66" t="str">
            <v>Cluster 60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0.936152926</v>
          </cell>
          <cell r="J66">
            <v>0.88378535165719119</v>
          </cell>
          <cell r="K66">
            <v>0.88378535165719119</v>
          </cell>
          <cell r="L66">
            <v>0.88378535165719119</v>
          </cell>
          <cell r="M66">
            <v>0.88378535165719119</v>
          </cell>
          <cell r="N66">
            <v>0.88378535165719119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LP Emission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LP Emissions"/>
    </sheetNames>
    <sheetDataSet>
      <sheetData sheetId="0">
        <row r="14">
          <cell r="P14" t="str">
            <v>Year</v>
          </cell>
          <cell r="Q14" t="str">
            <v>Grid E factor</v>
          </cell>
          <cell r="S14" t="str">
            <v>CO2 savings (t CO2e/yr)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MArket share"/>
      <sheetName val="5LP data"/>
      <sheetName val="Linear"/>
      <sheetName val="Policy"/>
      <sheetName val="2023"/>
      <sheetName val="Cost reduction"/>
      <sheetName val="Switching Linear"/>
      <sheetName val="Input"/>
      <sheetName val="Emis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4">
          <cell r="Q14" t="str">
            <v>Grid E factor</v>
          </cell>
          <cell r="S14" t="str">
            <v>CO2 abatement</v>
          </cell>
          <cell r="T14" t="str">
            <v>CO2 savings (t CO2e/yr)</v>
          </cell>
          <cell r="W14" t="str">
            <v>Baseline</v>
          </cell>
          <cell r="X14" t="str">
            <v xml:space="preserve">CCS recommendation 2035 </v>
          </cell>
          <cell r="Y14" t="str">
            <v>UK Industry Goal 2035</v>
          </cell>
          <cell r="AR14" t="str">
            <v>CO2 abatement</v>
          </cell>
          <cell r="AS14" t="str">
            <v>CO2 savings (t CO2e/yr) Linear</v>
          </cell>
        </row>
        <row r="15">
          <cell r="P15">
            <v>2023</v>
          </cell>
          <cell r="Q15">
            <v>0.187</v>
          </cell>
          <cell r="W15">
            <v>1764591.2</v>
          </cell>
          <cell r="X15">
            <v>776420.12800000003</v>
          </cell>
          <cell r="Y15">
            <v>588197.06666666665</v>
          </cell>
          <cell r="AD15" t="str">
            <v>CO2 savings (t CO2e/yr) S Curve</v>
          </cell>
          <cell r="AR15">
            <v>0</v>
          </cell>
          <cell r="AS15">
            <v>0</v>
          </cell>
        </row>
        <row r="16">
          <cell r="P16">
            <v>2024</v>
          </cell>
          <cell r="Q16">
            <v>0.14599999999999999</v>
          </cell>
          <cell r="S16">
            <v>5160.7720822000001</v>
          </cell>
          <cell r="T16">
            <v>5160.7720822000001</v>
          </cell>
          <cell r="W16">
            <v>1764591.2</v>
          </cell>
          <cell r="X16">
            <v>776420.12800000003</v>
          </cell>
          <cell r="Y16">
            <v>588197.06666666665</v>
          </cell>
          <cell r="AR16">
            <v>51727.936000000002</v>
          </cell>
          <cell r="AS16">
            <v>51727.936000000002</v>
          </cell>
        </row>
        <row r="17">
          <cell r="P17">
            <v>2025</v>
          </cell>
          <cell r="Q17">
            <v>0.127</v>
          </cell>
          <cell r="S17">
            <v>33078.256720922254</v>
          </cell>
          <cell r="T17">
            <v>38239.028803122252</v>
          </cell>
          <cell r="W17">
            <v>1764591.2</v>
          </cell>
          <cell r="X17">
            <v>776420.12800000003</v>
          </cell>
          <cell r="Y17">
            <v>588197.06666666665</v>
          </cell>
          <cell r="AR17">
            <v>117266.00432576575</v>
          </cell>
          <cell r="AS17">
            <v>168993.94032576575</v>
          </cell>
        </row>
        <row r="18">
          <cell r="P18">
            <v>2026</v>
          </cell>
          <cell r="Q18">
            <v>9.5000000000000001E-2</v>
          </cell>
          <cell r="S18">
            <v>153037.26099639764</v>
          </cell>
          <cell r="T18">
            <v>191276.2897995199</v>
          </cell>
          <cell r="W18">
            <v>1764591.2</v>
          </cell>
          <cell r="X18">
            <v>776420.12800000003</v>
          </cell>
          <cell r="Y18">
            <v>588197.06666666665</v>
          </cell>
          <cell r="AR18">
            <v>213650.15339836816</v>
          </cell>
          <cell r="AS18">
            <v>382644.09372413391</v>
          </cell>
        </row>
        <row r="19">
          <cell r="P19">
            <v>2027</v>
          </cell>
          <cell r="Q19">
            <v>7.0000000000000007E-2</v>
          </cell>
          <cell r="S19">
            <v>473391.08715702686</v>
          </cell>
          <cell r="T19">
            <v>664667.3769565468</v>
          </cell>
          <cell r="W19">
            <v>1764591.2</v>
          </cell>
          <cell r="X19">
            <v>776420.12800000003</v>
          </cell>
          <cell r="Y19">
            <v>588197.06666666665</v>
          </cell>
          <cell r="AR19">
            <v>279406.81160880532</v>
          </cell>
          <cell r="AS19">
            <v>662050.90533293923</v>
          </cell>
        </row>
        <row r="20">
          <cell r="P20">
            <v>2028</v>
          </cell>
          <cell r="Q20">
            <v>6.0999999999999999E-2</v>
          </cell>
          <cell r="S20">
            <v>884639.06349788047</v>
          </cell>
          <cell r="T20">
            <v>1549306.4404544272</v>
          </cell>
          <cell r="W20">
            <v>1764591.2</v>
          </cell>
          <cell r="X20">
            <v>776420.12800000003</v>
          </cell>
          <cell r="Y20">
            <v>588197.06666666665</v>
          </cell>
          <cell r="AR20">
            <v>285711.97425815888</v>
          </cell>
          <cell r="AS20">
            <v>947762.87959109806</v>
          </cell>
        </row>
        <row r="21">
          <cell r="P21">
            <v>2029</v>
          </cell>
          <cell r="Q21">
            <v>5.1999999999999998E-2</v>
          </cell>
          <cell r="S21">
            <v>1261790.8548413895</v>
          </cell>
          <cell r="T21">
            <v>2811097.2952958168</v>
          </cell>
          <cell r="W21">
            <v>1764591.2</v>
          </cell>
          <cell r="X21">
            <v>776420.12800000003</v>
          </cell>
          <cell r="Y21">
            <v>588197.06666666665</v>
          </cell>
          <cell r="AR21">
            <v>321562.7710423239</v>
          </cell>
          <cell r="AS21">
            <v>1269325.650633422</v>
          </cell>
        </row>
        <row r="22">
          <cell r="P22">
            <v>2030</v>
          </cell>
          <cell r="Q22">
            <v>4.8000000000000001E-2</v>
          </cell>
          <cell r="S22">
            <v>1433693.7931847894</v>
          </cell>
          <cell r="T22">
            <v>4244791.0884806067</v>
          </cell>
          <cell r="W22">
            <v>1764591.2</v>
          </cell>
          <cell r="X22">
            <v>776420.12800000003</v>
          </cell>
          <cell r="Y22">
            <v>588197.06666666665</v>
          </cell>
          <cell r="AR22">
            <v>323738.70910053473</v>
          </cell>
          <cell r="AS22">
            <v>1593064.3597339566</v>
          </cell>
        </row>
        <row r="23">
          <cell r="P23">
            <v>2031</v>
          </cell>
          <cell r="Q23">
            <v>0.04</v>
          </cell>
          <cell r="S23">
            <v>1601539.5282740758</v>
          </cell>
          <cell r="T23">
            <v>5846330.6167546827</v>
          </cell>
          <cell r="W23">
            <v>1764591.2</v>
          </cell>
          <cell r="X23">
            <v>776420.12800000003</v>
          </cell>
          <cell r="Y23">
            <v>588197.06666666665</v>
          </cell>
          <cell r="AR23">
            <v>435485.2195978213</v>
          </cell>
          <cell r="AS23">
            <v>2028549.579331778</v>
          </cell>
        </row>
        <row r="24">
          <cell r="P24">
            <v>2032</v>
          </cell>
          <cell r="Q24">
            <v>3.2000000000000001E-2</v>
          </cell>
          <cell r="S24">
            <v>1756805.9609185625</v>
          </cell>
          <cell r="T24">
            <v>7603136.5776732452</v>
          </cell>
          <cell r="W24">
            <v>1764591.2</v>
          </cell>
          <cell r="X24">
            <v>776420.12800000003</v>
          </cell>
          <cell r="Y24">
            <v>588197.06666666665</v>
          </cell>
          <cell r="AR24">
            <v>574052.40141350799</v>
          </cell>
          <cell r="AS24">
            <v>2602601.9807452857</v>
          </cell>
        </row>
        <row r="25">
          <cell r="P25">
            <v>2033</v>
          </cell>
          <cell r="Q25">
            <v>2.5000000000000001E-2</v>
          </cell>
          <cell r="S25">
            <v>1892843.2136144275</v>
          </cell>
          <cell r="T25">
            <v>9495979.7912876718</v>
          </cell>
          <cell r="W25">
            <v>1764591.2</v>
          </cell>
          <cell r="X25">
            <v>776420.12800000003</v>
          </cell>
          <cell r="Y25">
            <v>588197.06666666665</v>
          </cell>
          <cell r="AR25">
            <v>706084.66799603379</v>
          </cell>
          <cell r="AS25">
            <v>3308686.6487413198</v>
          </cell>
        </row>
        <row r="56">
          <cell r="AL56" t="str">
            <v xml:space="preserve">Linear Adoption Yearly CO2 </v>
          </cell>
        </row>
        <row r="57">
          <cell r="AD57" t="str">
            <v xml:space="preserve">S-Curve CO2 yearly reduction </v>
          </cell>
          <cell r="AE57">
            <v>1765838.7916384863</v>
          </cell>
          <cell r="AL57">
            <v>1765838.79163849</v>
          </cell>
        </row>
        <row r="58">
          <cell r="AE58">
            <v>1760790.7959623893</v>
          </cell>
          <cell r="AL58">
            <v>1715358.8348775168</v>
          </cell>
        </row>
        <row r="59">
          <cell r="AE59">
            <v>1732393.4210468552</v>
          </cell>
          <cell r="AL59">
            <v>1632057.3092719624</v>
          </cell>
        </row>
        <row r="60">
          <cell r="AE60">
            <v>1633496.8517651455</v>
          </cell>
          <cell r="AL60">
            <v>1482248.9204813277</v>
          </cell>
        </row>
        <row r="61">
          <cell r="AE61">
            <v>1417469.508288068</v>
          </cell>
          <cell r="AL61">
            <v>1301346.4138379283</v>
          </cell>
        </row>
        <row r="62">
          <cell r="AE62">
            <v>1146355.6720718332</v>
          </cell>
          <cell r="AL62">
            <v>1146355.6720718332</v>
          </cell>
        </row>
        <row r="63">
          <cell r="AE63">
            <v>844147.71800283354</v>
          </cell>
          <cell r="AL63">
            <v>975817.87137935543</v>
          </cell>
        </row>
        <row r="64">
          <cell r="AE64">
            <v>603763.31554109021</v>
          </cell>
          <cell r="AL64">
            <v>819963.40411734988</v>
          </cell>
        </row>
        <row r="65">
          <cell r="AE65">
            <v>416507.62802777404</v>
          </cell>
          <cell r="AL65">
            <v>629559.91701893928</v>
          </cell>
        </row>
        <row r="66">
          <cell r="AE66">
            <v>291286.62502071436</v>
          </cell>
          <cell r="AL66">
            <v>425336.82198596641</v>
          </cell>
        </row>
        <row r="67">
          <cell r="AE67">
            <v>215931.37397753276</v>
          </cell>
          <cell r="AL67">
            <v>215931.37397753276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63AF-247F-BE44-8371-123F0193129E}">
  <sheetPr codeName="Sheet9"/>
  <dimension ref="C3:Q75"/>
  <sheetViews>
    <sheetView zoomScale="145" zoomScaleNormal="145" workbookViewId="0">
      <selection activeCell="F20" sqref="F20"/>
    </sheetView>
  </sheetViews>
  <sheetFormatPr baseColWidth="10" defaultColWidth="8.83203125" defaultRowHeight="15"/>
  <cols>
    <col min="3" max="3" width="34.6640625" bestFit="1" customWidth="1"/>
    <col min="4" max="5" width="16.6640625" bestFit="1" customWidth="1"/>
    <col min="9" max="9" width="18.83203125" bestFit="1" customWidth="1"/>
    <col min="10" max="11" width="16.6640625" bestFit="1" customWidth="1"/>
    <col min="12" max="12" width="16.6640625" customWidth="1"/>
    <col min="15" max="15" width="10.1640625" bestFit="1" customWidth="1"/>
    <col min="16" max="17" width="16.6640625" bestFit="1" customWidth="1"/>
  </cols>
  <sheetData>
    <row r="3" spans="3:8" ht="48">
      <c r="C3" s="18" t="s">
        <v>19</v>
      </c>
      <c r="D3" s="18" t="s">
        <v>174</v>
      </c>
      <c r="E3" s="18" t="s">
        <v>173</v>
      </c>
      <c r="F3" s="18" t="s">
        <v>172</v>
      </c>
      <c r="G3" s="18" t="s">
        <v>171</v>
      </c>
      <c r="H3" s="18" t="s">
        <v>170</v>
      </c>
    </row>
    <row r="4" spans="3:8">
      <c r="C4" s="103">
        <v>2023</v>
      </c>
      <c r="D4" s="103" t="s">
        <v>181</v>
      </c>
      <c r="E4" s="103">
        <v>26.7</v>
      </c>
      <c r="F4" s="103">
        <v>1.8</v>
      </c>
      <c r="G4" s="103">
        <v>0</v>
      </c>
      <c r="H4" s="103">
        <v>0</v>
      </c>
    </row>
    <row r="5" spans="3:8">
      <c r="C5" s="11">
        <v>2024</v>
      </c>
      <c r="D5" s="103">
        <v>130</v>
      </c>
      <c r="E5" s="103">
        <v>29</v>
      </c>
      <c r="F5" s="103">
        <v>0.14599999999999999</v>
      </c>
      <c r="G5" s="103">
        <v>0.01</v>
      </c>
      <c r="H5" s="103">
        <v>0.1</v>
      </c>
    </row>
    <row r="6" spans="3:8">
      <c r="C6" s="11">
        <v>2025</v>
      </c>
      <c r="D6" s="103">
        <v>121</v>
      </c>
      <c r="E6" s="103">
        <v>31</v>
      </c>
      <c r="F6" s="103">
        <v>0.127</v>
      </c>
      <c r="G6" s="103">
        <v>0.04</v>
      </c>
      <c r="H6" s="103">
        <v>0.1</v>
      </c>
    </row>
    <row r="7" spans="3:8">
      <c r="C7" s="11">
        <v>2026</v>
      </c>
      <c r="D7" s="103">
        <v>124</v>
      </c>
      <c r="E7" s="103">
        <v>32</v>
      </c>
      <c r="F7" s="103">
        <v>9.5000000000000001E-2</v>
      </c>
      <c r="G7" s="103">
        <v>0.09</v>
      </c>
      <c r="H7" s="103">
        <v>0.1</v>
      </c>
    </row>
    <row r="8" spans="3:8">
      <c r="C8" s="11">
        <v>2027</v>
      </c>
      <c r="D8" s="103">
        <v>131</v>
      </c>
      <c r="E8" s="103">
        <v>33</v>
      </c>
      <c r="F8" s="103">
        <v>7.0000000000000007E-2</v>
      </c>
      <c r="G8" s="103">
        <v>0.16</v>
      </c>
      <c r="H8" s="103">
        <v>0.1</v>
      </c>
    </row>
    <row r="9" spans="3:8">
      <c r="C9" s="11">
        <v>2028</v>
      </c>
      <c r="D9" s="103">
        <v>131</v>
      </c>
      <c r="E9" s="103">
        <v>34</v>
      </c>
      <c r="F9" s="103">
        <v>6.0999999999999999E-2</v>
      </c>
      <c r="G9" s="103">
        <v>0.2</v>
      </c>
      <c r="H9" s="103">
        <v>0.1</v>
      </c>
    </row>
    <row r="10" spans="3:8">
      <c r="C10" s="11">
        <v>2029</v>
      </c>
      <c r="D10" s="103">
        <v>128</v>
      </c>
      <c r="E10" s="103">
        <v>35</v>
      </c>
      <c r="F10" s="103">
        <v>5.1999999999999998E-2</v>
      </c>
      <c r="G10" s="103">
        <v>0.2</v>
      </c>
      <c r="H10" s="103">
        <v>0.1</v>
      </c>
    </row>
    <row r="11" spans="3:8">
      <c r="C11" s="11">
        <v>2030</v>
      </c>
      <c r="D11" s="103">
        <v>128</v>
      </c>
      <c r="E11" s="103">
        <v>36</v>
      </c>
      <c r="F11" s="103">
        <v>4.8000000000000001E-2</v>
      </c>
      <c r="G11" s="103">
        <v>0.16</v>
      </c>
      <c r="H11" s="103">
        <v>0.1</v>
      </c>
    </row>
    <row r="12" spans="3:8">
      <c r="C12" s="11">
        <v>2031</v>
      </c>
      <c r="D12" s="103">
        <v>128</v>
      </c>
      <c r="E12" s="103">
        <v>36</v>
      </c>
      <c r="F12" s="103">
        <v>0.04</v>
      </c>
      <c r="G12" s="103">
        <v>0.09</v>
      </c>
      <c r="H12" s="103">
        <v>0.1</v>
      </c>
    </row>
    <row r="13" spans="3:8">
      <c r="C13" s="11">
        <v>2032</v>
      </c>
      <c r="D13" s="103">
        <v>130</v>
      </c>
      <c r="E13" s="103">
        <v>36</v>
      </c>
      <c r="F13" s="103">
        <v>3.2000000000000001E-2</v>
      </c>
      <c r="G13" s="103">
        <v>0.04</v>
      </c>
      <c r="H13" s="103">
        <v>0.1</v>
      </c>
    </row>
    <row r="14" spans="3:8">
      <c r="C14" s="102">
        <v>2033</v>
      </c>
      <c r="D14" s="101">
        <v>130</v>
      </c>
      <c r="E14" s="101">
        <v>36</v>
      </c>
      <c r="F14" s="101">
        <v>2.5000000000000001E-2</v>
      </c>
      <c r="G14" s="101">
        <v>0.01</v>
      </c>
      <c r="H14" s="101">
        <v>0.1</v>
      </c>
    </row>
    <row r="15" spans="3:8">
      <c r="C15" s="169"/>
      <c r="D15" s="170"/>
      <c r="E15" s="170"/>
      <c r="F15" s="170"/>
      <c r="G15" s="170"/>
      <c r="H15" s="170"/>
    </row>
    <row r="16" spans="3:8">
      <c r="C16" s="104" t="s">
        <v>169</v>
      </c>
      <c r="D16" s="104" t="s">
        <v>168</v>
      </c>
      <c r="E16" s="170"/>
      <c r="F16" s="170"/>
      <c r="G16" s="170"/>
      <c r="H16" s="170"/>
    </row>
    <row r="17" spans="3:12">
      <c r="C17" s="99" t="s">
        <v>167</v>
      </c>
      <c r="D17" s="99">
        <v>0.9</v>
      </c>
      <c r="E17" s="170"/>
      <c r="F17" s="170"/>
      <c r="G17" s="170"/>
      <c r="H17" s="170"/>
    </row>
    <row r="18" spans="3:12">
      <c r="C18" s="99" t="s">
        <v>166</v>
      </c>
      <c r="D18" s="99">
        <v>0.99</v>
      </c>
      <c r="E18" s="170"/>
      <c r="F18" s="170"/>
      <c r="G18" s="170"/>
      <c r="H18" s="170"/>
    </row>
    <row r="19" spans="3:12">
      <c r="C19" s="99" t="s">
        <v>165</v>
      </c>
      <c r="D19" s="99">
        <v>30</v>
      </c>
      <c r="E19" s="170"/>
      <c r="F19" s="170"/>
      <c r="G19" s="170"/>
      <c r="H19" s="170"/>
    </row>
    <row r="20" spans="3:12">
      <c r="C20" s="99" t="s">
        <v>164</v>
      </c>
      <c r="D20" s="99">
        <v>20</v>
      </c>
      <c r="E20" s="170"/>
      <c r="F20" s="170"/>
      <c r="G20" s="170"/>
      <c r="H20" s="170"/>
    </row>
    <row r="21" spans="3:12">
      <c r="C21" s="99" t="s">
        <v>163</v>
      </c>
      <c r="D21" s="99">
        <v>3260</v>
      </c>
      <c r="E21" s="170"/>
      <c r="F21" s="170"/>
      <c r="G21" s="170"/>
      <c r="H21" s="170"/>
    </row>
    <row r="22" spans="3:12">
      <c r="C22" s="99" t="s">
        <v>162</v>
      </c>
      <c r="D22" s="99">
        <v>0.9</v>
      </c>
      <c r="E22" s="170"/>
      <c r="F22" s="170"/>
      <c r="G22" s="170"/>
      <c r="H22" s="170"/>
    </row>
    <row r="23" spans="3:12">
      <c r="C23" s="99" t="s">
        <v>161</v>
      </c>
      <c r="D23" s="99">
        <v>0.99</v>
      </c>
      <c r="E23" s="170"/>
      <c r="F23" s="170"/>
      <c r="G23" s="170"/>
      <c r="H23" s="170"/>
    </row>
    <row r="24" spans="3:12">
      <c r="C24" s="99" t="s">
        <v>160</v>
      </c>
      <c r="D24" s="99">
        <v>0.184</v>
      </c>
      <c r="E24" s="170"/>
      <c r="F24" s="170"/>
      <c r="G24" s="170"/>
      <c r="H24" s="170"/>
    </row>
    <row r="25" spans="3:12">
      <c r="C25" s="99" t="s">
        <v>159</v>
      </c>
      <c r="D25" s="99">
        <v>3.5000000000000003E-2</v>
      </c>
      <c r="E25" s="170"/>
      <c r="F25" s="170"/>
      <c r="G25" s="170"/>
      <c r="H25" s="170"/>
    </row>
    <row r="26" spans="3:12">
      <c r="C26" s="99" t="s">
        <v>158</v>
      </c>
      <c r="D26" s="99">
        <v>0.05</v>
      </c>
      <c r="E26" s="170"/>
      <c r="F26" s="170"/>
      <c r="G26" s="170"/>
      <c r="H26" s="170"/>
    </row>
    <row r="27" spans="3:12">
      <c r="C27" s="99" t="s">
        <v>157</v>
      </c>
      <c r="D27" s="99">
        <v>166</v>
      </c>
      <c r="E27" s="170"/>
      <c r="F27" s="170"/>
      <c r="G27" s="170"/>
      <c r="H27" s="170"/>
    </row>
    <row r="28" spans="3:12">
      <c r="C28" s="99" t="s">
        <v>156</v>
      </c>
      <c r="D28" s="99">
        <v>187.59355385519399</v>
      </c>
      <c r="E28" s="170"/>
      <c r="F28" s="170"/>
      <c r="G28" s="170"/>
      <c r="H28" s="170"/>
    </row>
    <row r="29" spans="3:12">
      <c r="C29" s="99" t="s">
        <v>155</v>
      </c>
      <c r="D29" s="99">
        <v>-0.37087761722997098</v>
      </c>
      <c r="E29" s="170"/>
      <c r="F29" s="170"/>
      <c r="G29" s="170"/>
      <c r="H29" s="170"/>
    </row>
    <row r="30" spans="3:12">
      <c r="C30" s="99" t="s">
        <v>154</v>
      </c>
      <c r="D30" s="99">
        <v>0.02</v>
      </c>
    </row>
    <row r="31" spans="3:12">
      <c r="C31" s="99" t="s">
        <v>153</v>
      </c>
      <c r="D31" s="99">
        <v>0.01</v>
      </c>
      <c r="L31" s="114"/>
    </row>
    <row r="32" spans="3:12">
      <c r="C32" s="98" t="s">
        <v>152</v>
      </c>
      <c r="D32" s="98">
        <v>0.05</v>
      </c>
    </row>
    <row r="34" spans="3:16">
      <c r="C34" s="1" t="s">
        <v>19</v>
      </c>
      <c r="D34" s="1" t="s">
        <v>178</v>
      </c>
      <c r="E34" s="1" t="s">
        <v>179</v>
      </c>
    </row>
    <row r="35" spans="3:16">
      <c r="C35" s="1">
        <v>2024</v>
      </c>
      <c r="D35" s="119">
        <v>8135.81</v>
      </c>
      <c r="E35" s="119">
        <v>88752.01</v>
      </c>
    </row>
    <row r="36" spans="3:16">
      <c r="C36" s="1">
        <v>2025</v>
      </c>
      <c r="D36" s="119">
        <v>17159.32</v>
      </c>
      <c r="E36" s="119">
        <v>79692.14</v>
      </c>
    </row>
    <row r="37" spans="3:16">
      <c r="C37" s="1">
        <v>2026</v>
      </c>
      <c r="D37" s="119">
        <v>60849.19</v>
      </c>
      <c r="E37" s="119">
        <v>79524.92</v>
      </c>
    </row>
    <row r="38" spans="3:16">
      <c r="C38" s="1">
        <v>2027</v>
      </c>
      <c r="D38" s="119">
        <v>58482.07</v>
      </c>
      <c r="E38" s="119">
        <v>80529.119999999995</v>
      </c>
    </row>
    <row r="39" spans="3:16">
      <c r="C39" s="1">
        <v>2028</v>
      </c>
      <c r="D39" s="119">
        <v>74739.67</v>
      </c>
      <c r="E39" s="119">
        <v>81034.45</v>
      </c>
    </row>
    <row r="40" spans="3:16">
      <c r="C40" s="1">
        <v>2029</v>
      </c>
      <c r="D40" s="119">
        <v>77468.460000000006</v>
      </c>
      <c r="E40" s="119">
        <v>83145.98</v>
      </c>
    </row>
    <row r="41" spans="3:16">
      <c r="C41" s="1">
        <v>2030</v>
      </c>
      <c r="D41" s="119">
        <v>283830.48</v>
      </c>
      <c r="E41" s="119">
        <v>298847.3</v>
      </c>
    </row>
    <row r="42" spans="3:16">
      <c r="C42" s="1">
        <v>2031</v>
      </c>
      <c r="D42" s="119">
        <v>323141.23</v>
      </c>
      <c r="E42" s="119">
        <v>335841.8</v>
      </c>
    </row>
    <row r="43" spans="3:16">
      <c r="C43" s="1">
        <v>2032</v>
      </c>
      <c r="D43" s="119">
        <v>295273.02</v>
      </c>
      <c r="E43" s="119">
        <v>299771.15999999997</v>
      </c>
    </row>
    <row r="44" spans="3:16">
      <c r="C44" s="1">
        <v>2033</v>
      </c>
      <c r="D44" s="119">
        <v>303262.99</v>
      </c>
      <c r="E44" s="119">
        <v>306305.61</v>
      </c>
      <c r="J44" s="113"/>
      <c r="K44" s="112"/>
      <c r="L44" s="112"/>
    </row>
    <row r="46" spans="3:16">
      <c r="C46" s="1" t="s">
        <v>180</v>
      </c>
      <c r="D46" s="1" t="s">
        <v>178</v>
      </c>
      <c r="E46" s="1" t="s">
        <v>179</v>
      </c>
    </row>
    <row r="47" spans="3:16">
      <c r="C47" s="1">
        <v>1</v>
      </c>
      <c r="D47" s="118">
        <v>133151.35999999999</v>
      </c>
      <c r="E47" s="118">
        <v>176860.39</v>
      </c>
      <c r="J47" s="113"/>
      <c r="M47" s="113"/>
      <c r="N47" s="113"/>
      <c r="O47" s="113"/>
      <c r="P47" s="113"/>
    </row>
    <row r="48" spans="3:16">
      <c r="C48" s="1">
        <v>5</v>
      </c>
      <c r="D48" s="118">
        <v>475292.82</v>
      </c>
      <c r="E48" s="118">
        <v>575439.13</v>
      </c>
    </row>
    <row r="49" spans="3:17">
      <c r="C49" s="1">
        <v>9</v>
      </c>
      <c r="D49" s="118">
        <v>1549203.53</v>
      </c>
      <c r="E49" s="118">
        <v>1756300.61</v>
      </c>
      <c r="J49" s="113"/>
      <c r="M49" s="113"/>
      <c r="N49" s="113"/>
      <c r="O49" s="112"/>
      <c r="P49" s="112"/>
    </row>
    <row r="50" spans="3:17">
      <c r="C50" s="1">
        <v>15</v>
      </c>
      <c r="D50" s="118">
        <v>3580891.14</v>
      </c>
      <c r="E50" s="118">
        <v>3789131.49</v>
      </c>
    </row>
    <row r="51" spans="3:17">
      <c r="C51" s="1">
        <v>30</v>
      </c>
      <c r="D51" s="118">
        <v>5685861.2999999998</v>
      </c>
      <c r="E51" s="118">
        <v>5986881.29</v>
      </c>
    </row>
    <row r="52" spans="3:17">
      <c r="C52" s="1">
        <v>60</v>
      </c>
      <c r="D52" s="118">
        <v>11787062.68</v>
      </c>
      <c r="E52" s="118">
        <v>12381029.74</v>
      </c>
    </row>
    <row r="54" spans="3:17" ht="16" thickBot="1"/>
    <row r="55" spans="3:17" ht="16" thickBot="1">
      <c r="C55" s="10"/>
      <c r="D55" s="10" t="s">
        <v>30</v>
      </c>
      <c r="E55" s="10" t="s">
        <v>31</v>
      </c>
      <c r="F55" s="10" t="s">
        <v>32</v>
      </c>
      <c r="G55" s="10" t="s">
        <v>33</v>
      </c>
      <c r="H55" s="10" t="s">
        <v>34</v>
      </c>
      <c r="I55" s="10" t="s">
        <v>35</v>
      </c>
    </row>
    <row r="56" spans="3:17" ht="24">
      <c r="C56" s="11" t="s">
        <v>177</v>
      </c>
      <c r="D56" s="110">
        <v>187594</v>
      </c>
      <c r="E56" s="111">
        <v>516364</v>
      </c>
      <c r="F56" s="111">
        <v>747400</v>
      </c>
      <c r="G56" s="110">
        <v>1030679</v>
      </c>
      <c r="H56" s="110">
        <v>1594072</v>
      </c>
      <c r="I56" s="110">
        <v>2465430</v>
      </c>
    </row>
    <row r="57" spans="3:17" ht="24">
      <c r="C57" s="11" t="s">
        <v>176</v>
      </c>
      <c r="D57" s="109">
        <v>177918.07</v>
      </c>
      <c r="E57" s="109">
        <v>800325.06</v>
      </c>
      <c r="F57" s="108">
        <v>1721144</v>
      </c>
      <c r="G57" s="108">
        <v>3654034</v>
      </c>
      <c r="H57" s="108">
        <v>5719800</v>
      </c>
      <c r="I57" s="108">
        <v>11891738</v>
      </c>
    </row>
    <row r="58" spans="3:17" ht="25" thickBot="1">
      <c r="C58" s="14" t="s">
        <v>175</v>
      </c>
      <c r="D58" s="14">
        <v>163790</v>
      </c>
      <c r="E58" s="107">
        <v>767357</v>
      </c>
      <c r="F58" s="107">
        <v>1661428</v>
      </c>
      <c r="G58" s="107">
        <v>3601401</v>
      </c>
      <c r="H58" s="107">
        <v>5634716</v>
      </c>
      <c r="I58" s="107">
        <v>11830075</v>
      </c>
    </row>
    <row r="60" spans="3:17">
      <c r="Q60" s="105"/>
    </row>
    <row r="61" spans="3:17">
      <c r="Q61" s="106"/>
    </row>
    <row r="63" spans="3:17">
      <c r="P63" s="105"/>
    </row>
    <row r="64" spans="3:17">
      <c r="P64" s="105"/>
    </row>
    <row r="72" spans="11:12">
      <c r="K72" s="100"/>
    </row>
    <row r="73" spans="11:12">
      <c r="K73" s="100"/>
    </row>
    <row r="74" spans="11:12">
      <c r="K74" s="100"/>
      <c r="L74" s="100"/>
    </row>
    <row r="75" spans="11:12">
      <c r="K75" s="10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D1E6-760D-2B48-9CB4-228D28613361}">
  <sheetPr codeName="Sheet1"/>
  <dimension ref="A1:G29"/>
  <sheetViews>
    <sheetView zoomScale="85" zoomScaleNormal="85" workbookViewId="0">
      <selection activeCell="I23" sqref="I23"/>
    </sheetView>
  </sheetViews>
  <sheetFormatPr baseColWidth="10" defaultColWidth="8.83203125" defaultRowHeight="15"/>
  <cols>
    <col min="5" max="5" width="12.1640625" bestFit="1" customWidth="1"/>
  </cols>
  <sheetData>
    <row r="1" spans="1:7">
      <c r="B1" s="1" t="s">
        <v>0</v>
      </c>
      <c r="C1" s="1" t="s">
        <v>1</v>
      </c>
      <c r="D1" s="1" t="s">
        <v>2</v>
      </c>
      <c r="E1" s="1"/>
    </row>
    <row r="2" spans="1:7">
      <c r="B2" s="1">
        <v>1.9925819733352199E-2</v>
      </c>
      <c r="C2" s="1">
        <v>9495703.0726301596</v>
      </c>
      <c r="D2" s="1">
        <v>8359631.8431757595</v>
      </c>
      <c r="E2" s="1">
        <f t="shared" ref="E2:E12" si="0">D2+C2</f>
        <v>17855334.915805921</v>
      </c>
    </row>
    <row r="3" spans="1:7">
      <c r="B3" s="1">
        <v>4.9917823415660603E-2</v>
      </c>
      <c r="C3" s="1">
        <v>21833493.2825392</v>
      </c>
      <c r="D3" s="1">
        <v>21688854.991080798</v>
      </c>
      <c r="E3" s="1">
        <f t="shared" si="0"/>
        <v>43522348.273619995</v>
      </c>
    </row>
    <row r="4" spans="1:7">
      <c r="B4" s="1">
        <v>0.10328297896876799</v>
      </c>
      <c r="C4" s="1">
        <v>52861444.119833402</v>
      </c>
      <c r="D4" s="1">
        <v>42298036.904071301</v>
      </c>
      <c r="E4" s="1">
        <f t="shared" si="0"/>
        <v>95159481.023904711</v>
      </c>
    </row>
    <row r="5" spans="1:7">
      <c r="B5" s="1">
        <v>0.19975680167742199</v>
      </c>
      <c r="C5" s="1">
        <v>84006037.640267</v>
      </c>
      <c r="D5" s="1">
        <v>89398425.051886305</v>
      </c>
      <c r="E5" s="1">
        <f t="shared" si="0"/>
        <v>173404462.6921533</v>
      </c>
    </row>
    <row r="6" spans="1:7">
      <c r="B6" s="1">
        <v>0.296549499485179</v>
      </c>
      <c r="C6" s="1">
        <v>131444895.519683</v>
      </c>
      <c r="D6" s="1">
        <v>127684508.199264</v>
      </c>
      <c r="E6" s="1">
        <f t="shared" si="0"/>
        <v>259129403.71894699</v>
      </c>
    </row>
    <row r="7" spans="1:7">
      <c r="B7" s="1">
        <v>0.39986138339070598</v>
      </c>
      <c r="C7" s="1">
        <v>175911803.8743</v>
      </c>
      <c r="D7" s="1">
        <v>170146734.26216701</v>
      </c>
      <c r="E7" s="1">
        <f t="shared" si="0"/>
        <v>346058538.13646698</v>
      </c>
    </row>
    <row r="8" spans="1:7">
      <c r="B8" s="1">
        <v>0.48619721483946698</v>
      </c>
      <c r="C8" s="1">
        <v>209379016.52407899</v>
      </c>
      <c r="D8" s="1">
        <v>210630285.07104099</v>
      </c>
      <c r="E8" s="1">
        <f t="shared" si="0"/>
        <v>420009301.59511995</v>
      </c>
    </row>
    <row r="9" spans="1:7">
      <c r="B9" s="1">
        <v>0.59037165920563694</v>
      </c>
      <c r="C9" s="1">
        <v>256997402.06432399</v>
      </c>
      <c r="D9" s="1">
        <v>252157271.77210101</v>
      </c>
      <c r="E9" s="1">
        <f t="shared" si="0"/>
        <v>509154673.83642501</v>
      </c>
    </row>
    <row r="10" spans="1:7">
      <c r="B10" s="1">
        <v>0.68584955176942697</v>
      </c>
      <c r="C10" s="1">
        <v>283314548.78846103</v>
      </c>
      <c r="D10" s="1">
        <v>308124135.41815102</v>
      </c>
      <c r="E10" s="1">
        <f t="shared" si="0"/>
        <v>591438684.20661211</v>
      </c>
    </row>
    <row r="11" spans="1:7">
      <c r="B11" s="1">
        <v>0.80042169050508905</v>
      </c>
      <c r="C11" s="1">
        <v>327218231.51961702</v>
      </c>
      <c r="D11" s="1">
        <v>359686122.62627</v>
      </c>
      <c r="E11" s="1">
        <f t="shared" si="0"/>
        <v>686904354.14588702</v>
      </c>
    </row>
    <row r="12" spans="1:7">
      <c r="B12" s="1">
        <v>0.899644569027366</v>
      </c>
      <c r="C12" s="1">
        <v>389172954.81524098</v>
      </c>
      <c r="D12" s="1">
        <v>384520670.94393301</v>
      </c>
      <c r="E12" s="1">
        <f t="shared" si="0"/>
        <v>773693625.75917399</v>
      </c>
    </row>
    <row r="13" spans="1:7">
      <c r="B13" s="1">
        <v>1.0000000074941</v>
      </c>
      <c r="C13" s="1">
        <v>429835125.81838298</v>
      </c>
      <c r="D13" s="1">
        <v>436493086.497006</v>
      </c>
      <c r="E13" s="1">
        <f>D13+C13</f>
        <v>866328212.31538892</v>
      </c>
    </row>
    <row r="15" spans="1:7">
      <c r="A15" s="1" t="s">
        <v>3</v>
      </c>
      <c r="B15" s="1" t="s">
        <v>4</v>
      </c>
      <c r="C15" s="1" t="s">
        <v>5</v>
      </c>
      <c r="D15" s="1" t="s">
        <v>6</v>
      </c>
      <c r="E15" s="1"/>
      <c r="F15" s="1" t="s">
        <v>7</v>
      </c>
      <c r="G15" s="1" t="s">
        <v>0</v>
      </c>
    </row>
    <row r="16" spans="1:7">
      <c r="A16" s="2">
        <v>0.01</v>
      </c>
      <c r="B16" s="1">
        <v>11.590320288698599</v>
      </c>
      <c r="C16" s="1">
        <v>10.3785019444911</v>
      </c>
      <c r="D16" s="1">
        <v>7.5043811120673896</v>
      </c>
      <c r="E16" s="1">
        <f>D16*10</f>
        <v>75.043811120673894</v>
      </c>
      <c r="F16" s="1">
        <v>23.006000301423899</v>
      </c>
      <c r="G16" s="1">
        <v>1.9925819733352199E-2</v>
      </c>
    </row>
    <row r="17" spans="1:7">
      <c r="A17" s="2">
        <v>0.05</v>
      </c>
      <c r="B17" s="1">
        <v>11.590345180730401</v>
      </c>
      <c r="C17" s="1">
        <v>10.3731103410916</v>
      </c>
      <c r="D17" s="1">
        <v>7.46540080155052</v>
      </c>
      <c r="E17" s="1">
        <f t="shared" ref="E17:E27" si="1">D17*10</f>
        <v>74.654008015505198</v>
      </c>
      <c r="F17" s="1">
        <v>23.463740794443599</v>
      </c>
      <c r="G17" s="1">
        <v>4.9917823415660603E-2</v>
      </c>
    </row>
    <row r="18" spans="1:7">
      <c r="A18" s="2">
        <v>0.1</v>
      </c>
      <c r="B18" s="1">
        <v>11.594345151310399</v>
      </c>
      <c r="C18" s="1">
        <v>10.4033879070981</v>
      </c>
      <c r="D18" s="1">
        <v>7.5173645553763304</v>
      </c>
      <c r="E18" s="1">
        <f t="shared" si="1"/>
        <v>75.173645553763308</v>
      </c>
      <c r="F18" s="1">
        <v>22.8442202458466</v>
      </c>
      <c r="G18" s="1">
        <v>0.10328297896876799</v>
      </c>
    </row>
    <row r="19" spans="1:7">
      <c r="A19" s="2">
        <v>0.2</v>
      </c>
      <c r="B19" s="1">
        <v>11.5620414041743</v>
      </c>
      <c r="C19" s="1">
        <v>10.384325585544801</v>
      </c>
      <c r="D19" s="1">
        <v>7.4081279922289598</v>
      </c>
      <c r="E19" s="1">
        <f t="shared" si="1"/>
        <v>74.081279922289596</v>
      </c>
      <c r="F19" s="1">
        <v>24.1380166645305</v>
      </c>
      <c r="G19" s="1">
        <v>0.19975680167742199</v>
      </c>
    </row>
    <row r="20" spans="1:7">
      <c r="A20" s="2">
        <v>0.3</v>
      </c>
      <c r="B20" s="1">
        <v>11.5903364185156</v>
      </c>
      <c r="C20" s="1">
        <v>10.375675507010101</v>
      </c>
      <c r="D20" s="1">
        <v>7.4816933102417504</v>
      </c>
      <c r="E20" s="1">
        <f t="shared" si="1"/>
        <v>74.816933102417508</v>
      </c>
      <c r="F20" s="1">
        <v>23.272310418124</v>
      </c>
      <c r="G20" s="1">
        <v>0.296549499485179</v>
      </c>
    </row>
    <row r="21" spans="1:7">
      <c r="A21" s="2">
        <v>0.4</v>
      </c>
      <c r="B21" s="1">
        <v>11.6181314292318</v>
      </c>
      <c r="C21" s="1">
        <v>10.403659845753401</v>
      </c>
      <c r="D21" s="1">
        <v>7.5163574189328104</v>
      </c>
      <c r="E21" s="1">
        <f t="shared" si="1"/>
        <v>75.163574189328102</v>
      </c>
      <c r="F21" s="1">
        <v>22.848194046510301</v>
      </c>
      <c r="G21" s="1">
        <v>0.39986138339070598</v>
      </c>
    </row>
    <row r="22" spans="1:7">
      <c r="A22" s="2">
        <v>0.5</v>
      </c>
      <c r="B22" s="1">
        <v>11.554936862734399</v>
      </c>
      <c r="C22" s="1">
        <v>10.400556866077</v>
      </c>
      <c r="D22" s="1">
        <v>7.4831177361042904</v>
      </c>
      <c r="E22" s="1">
        <f t="shared" si="1"/>
        <v>74.831177361042904</v>
      </c>
      <c r="F22" s="1">
        <v>23.257730249523298</v>
      </c>
      <c r="G22" s="1">
        <v>0.48619721483946698</v>
      </c>
    </row>
    <row r="23" spans="1:7">
      <c r="A23" s="2">
        <v>0.6</v>
      </c>
      <c r="B23" s="1">
        <v>11.5759267125081</v>
      </c>
      <c r="C23" s="1">
        <v>10.403488466964999</v>
      </c>
      <c r="D23" s="1">
        <v>7.5139816134331499</v>
      </c>
      <c r="E23" s="1">
        <f t="shared" si="1"/>
        <v>75.139816134331497</v>
      </c>
      <c r="F23" s="1">
        <v>22.889166795259001</v>
      </c>
      <c r="G23" s="1">
        <v>0.59037165920563694</v>
      </c>
    </row>
    <row r="24" spans="1:7">
      <c r="A24" s="2">
        <v>0.7</v>
      </c>
      <c r="B24" s="1">
        <v>11.655954798571299</v>
      </c>
      <c r="C24" s="1">
        <v>10.600789448955201</v>
      </c>
      <c r="D24" s="1">
        <v>7.40125863615018</v>
      </c>
      <c r="E24" s="1">
        <f t="shared" si="1"/>
        <v>74.012586361501803</v>
      </c>
      <c r="F24" s="1">
        <v>24.115063379255599</v>
      </c>
      <c r="G24" s="1">
        <v>0.68584955176942697</v>
      </c>
    </row>
    <row r="25" spans="1:7">
      <c r="A25" s="2">
        <v>0.8</v>
      </c>
      <c r="B25" s="1">
        <v>11.590167186148699</v>
      </c>
      <c r="C25" s="1">
        <v>10.349281185045999</v>
      </c>
      <c r="D25" s="1">
        <v>7.4126376891106496</v>
      </c>
      <c r="E25" s="1">
        <f t="shared" si="1"/>
        <v>74.126376891106503</v>
      </c>
      <c r="F25" s="1">
        <v>24.089187588318602</v>
      </c>
      <c r="G25" s="1">
        <v>0.80042169050508905</v>
      </c>
    </row>
    <row r="26" spans="1:7">
      <c r="A26" s="2">
        <v>0.9</v>
      </c>
      <c r="B26" s="1">
        <v>11.586129197404199</v>
      </c>
      <c r="C26" s="1">
        <v>10.4043779685926</v>
      </c>
      <c r="D26" s="1">
        <v>7.51558884590942</v>
      </c>
      <c r="E26" s="1">
        <f t="shared" si="1"/>
        <v>75.1558884590942</v>
      </c>
      <c r="F26" s="1">
        <v>22.8670428929675</v>
      </c>
      <c r="G26" s="1">
        <v>0.899644569027366</v>
      </c>
    </row>
    <row r="27" spans="1:7">
      <c r="A27" s="2">
        <v>1</v>
      </c>
      <c r="B27" s="1">
        <v>11.5902129331665</v>
      </c>
      <c r="C27" s="1">
        <v>10.361435807687499</v>
      </c>
      <c r="D27" s="1">
        <v>7.4635606671246801</v>
      </c>
      <c r="E27" s="1">
        <f t="shared" si="1"/>
        <v>74.635606671246805</v>
      </c>
      <c r="F27" s="1">
        <v>23.489390545236098</v>
      </c>
      <c r="G27" s="1">
        <v>1.0000000074941</v>
      </c>
    </row>
    <row r="29" spans="1:7">
      <c r="B29" s="3"/>
      <c r="C2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3807-BF43-CA47-B950-41C5ED2362A6}">
  <sheetPr codeName="Sheet4"/>
  <dimension ref="A1:T87"/>
  <sheetViews>
    <sheetView topLeftCell="A26" zoomScale="115" zoomScaleNormal="115" workbookViewId="0">
      <selection activeCell="Q59" sqref="Q59"/>
    </sheetView>
  </sheetViews>
  <sheetFormatPr baseColWidth="10" defaultColWidth="8.83203125" defaultRowHeight="15"/>
  <cols>
    <col min="2" max="3" width="12.5" bestFit="1" customWidth="1"/>
    <col min="4" max="4" width="14.1640625" customWidth="1"/>
    <col min="5" max="5" width="12.83203125" bestFit="1" customWidth="1"/>
    <col min="6" max="6" width="13" customWidth="1"/>
    <col min="7" max="7" width="14.6640625" customWidth="1"/>
  </cols>
  <sheetData>
    <row r="1" spans="1:20">
      <c r="A1" s="1" t="s">
        <v>19</v>
      </c>
      <c r="B1" s="1" t="s">
        <v>3</v>
      </c>
      <c r="C1" s="1" t="s">
        <v>1</v>
      </c>
      <c r="D1" s="1" t="s">
        <v>2</v>
      </c>
      <c r="E1" s="1" t="s">
        <v>14</v>
      </c>
      <c r="T1" s="1"/>
    </row>
    <row r="2" spans="1:20">
      <c r="A2" s="1">
        <v>2023</v>
      </c>
      <c r="B2" s="2">
        <v>0</v>
      </c>
      <c r="C2" s="1"/>
      <c r="D2" s="1"/>
      <c r="E2" s="1"/>
    </row>
    <row r="3" spans="1:20">
      <c r="A3" s="1">
        <v>2024</v>
      </c>
      <c r="B3" s="2">
        <v>0.01</v>
      </c>
      <c r="C3" s="1">
        <v>1583248.002963</v>
      </c>
      <c r="D3" s="1">
        <v>7296257.5302060004</v>
      </c>
      <c r="E3" s="1">
        <f>C3+D3</f>
        <v>8879505.5331690013</v>
      </c>
    </row>
    <row r="4" spans="1:20">
      <c r="A4" s="1">
        <v>2025</v>
      </c>
      <c r="B4" s="2">
        <v>0.05</v>
      </c>
      <c r="C4" s="1">
        <v>14272108.078843299</v>
      </c>
      <c r="D4" s="1">
        <v>15910483.2769621</v>
      </c>
      <c r="E4" s="1">
        <f>C4+D4</f>
        <v>30182591.355805397</v>
      </c>
    </row>
    <row r="5" spans="1:20">
      <c r="A5" s="1">
        <v>2026</v>
      </c>
      <c r="B5" s="2">
        <v>0.14000000000000001</v>
      </c>
      <c r="C5" s="1">
        <v>48217628.812400199</v>
      </c>
      <c r="D5" s="1">
        <v>41543078.543430902</v>
      </c>
      <c r="E5" s="1">
        <f>C5+D5</f>
        <v>89760707.355831102</v>
      </c>
    </row>
    <row r="6" spans="1:20">
      <c r="A6" s="1">
        <v>2027</v>
      </c>
      <c r="B6" s="2">
        <v>0.3</v>
      </c>
      <c r="C6" s="1">
        <v>91467511.552529007</v>
      </c>
      <c r="D6" s="1">
        <v>112320841.90674999</v>
      </c>
      <c r="E6" s="1">
        <f>C6+D6</f>
        <v>203788353.459279</v>
      </c>
    </row>
    <row r="7" spans="1:20">
      <c r="A7" s="1">
        <v>2028</v>
      </c>
      <c r="B7" s="2">
        <v>0.5</v>
      </c>
      <c r="C7" s="1">
        <v>117672985.589</v>
      </c>
      <c r="D7" s="1">
        <v>117479090.66875599</v>
      </c>
      <c r="E7" s="1">
        <f>C7+D7</f>
        <v>235152076.25775599</v>
      </c>
    </row>
    <row r="8" spans="1:20">
      <c r="A8" s="1">
        <v>2029</v>
      </c>
      <c r="B8" s="2">
        <v>0.7</v>
      </c>
      <c r="C8" s="1">
        <v>85874932.352483898</v>
      </c>
      <c r="D8" s="1">
        <v>75341105.650528207</v>
      </c>
      <c r="E8" s="1">
        <f>C8+D8</f>
        <v>161216038.00301212</v>
      </c>
    </row>
    <row r="9" spans="1:20">
      <c r="A9" s="1">
        <v>2030</v>
      </c>
      <c r="B9" s="2">
        <v>0.86</v>
      </c>
      <c r="C9" s="1">
        <v>29524646.969765801</v>
      </c>
      <c r="D9" s="1">
        <v>32690095.4328424</v>
      </c>
      <c r="E9" s="1">
        <f>C9+D9</f>
        <v>62214742.402608201</v>
      </c>
    </row>
    <row r="10" spans="1:20">
      <c r="A10" s="1">
        <v>2031</v>
      </c>
      <c r="B10" s="2">
        <v>0.95</v>
      </c>
      <c r="C10" s="1">
        <v>4210984.9049846996</v>
      </c>
      <c r="D10" s="1">
        <v>5129332.1237317398</v>
      </c>
      <c r="E10" s="1">
        <f>C10+D10</f>
        <v>9340317.0287164394</v>
      </c>
    </row>
    <row r="11" spans="1:20">
      <c r="A11" s="1">
        <v>2032</v>
      </c>
      <c r="B11" s="2">
        <v>0.99</v>
      </c>
      <c r="C11" s="1">
        <v>158899.562797972</v>
      </c>
      <c r="D11" s="1">
        <v>271351.57751974399</v>
      </c>
      <c r="E11" s="1">
        <f>C11+D11</f>
        <v>430251.140317716</v>
      </c>
    </row>
    <row r="12" spans="1:20">
      <c r="A12" s="1">
        <v>2033</v>
      </c>
      <c r="B12" s="2">
        <v>1</v>
      </c>
      <c r="C12" s="1">
        <v>142125.19410627699</v>
      </c>
      <c r="D12" s="1">
        <v>225592.56526021601</v>
      </c>
      <c r="E12" s="1">
        <f>C12+D12</f>
        <v>367717.75936649297</v>
      </c>
    </row>
    <row r="13" spans="1:20">
      <c r="A13" t="s">
        <v>21</v>
      </c>
      <c r="C13">
        <f>SUM(C3:C12)</f>
        <v>393125071.0198741</v>
      </c>
      <c r="D13">
        <f>SUM(D3:D12)</f>
        <v>408207229.27598727</v>
      </c>
      <c r="E13">
        <f>SUM(E3:E12)</f>
        <v>801332300.29586136</v>
      </c>
    </row>
    <row r="14" spans="1:20">
      <c r="A14" s="1" t="s">
        <v>19</v>
      </c>
      <c r="B14" s="1" t="s">
        <v>3</v>
      </c>
      <c r="C14" s="1" t="s">
        <v>1</v>
      </c>
      <c r="D14" s="1" t="s">
        <v>2</v>
      </c>
      <c r="E14" s="1" t="s">
        <v>14</v>
      </c>
      <c r="F14" s="1" t="s">
        <v>18</v>
      </c>
    </row>
    <row r="15" spans="1:20">
      <c r="A15" s="1">
        <v>2024</v>
      </c>
      <c r="B15" s="2">
        <v>0.01</v>
      </c>
      <c r="C15" s="1">
        <v>7588582.4565193504</v>
      </c>
      <c r="D15" s="1">
        <v>977371.16210210696</v>
      </c>
      <c r="E15" s="1">
        <f>C15+D15</f>
        <v>8565953.6186214574</v>
      </c>
      <c r="F15" s="6">
        <f>((E3-E15))</f>
        <v>313551.91454754397</v>
      </c>
    </row>
    <row r="16" spans="1:20">
      <c r="A16" s="1">
        <v>2025</v>
      </c>
      <c r="B16" s="2">
        <v>0.05</v>
      </c>
      <c r="C16" s="1">
        <v>21375713.2885166</v>
      </c>
      <c r="D16" s="1">
        <v>15778911.7339187</v>
      </c>
      <c r="E16" s="1">
        <f>C16+D16</f>
        <v>37154625.0224353</v>
      </c>
      <c r="F16" s="6">
        <f>((E4-E16))</f>
        <v>-6972033.666629903</v>
      </c>
    </row>
    <row r="17" spans="1:6">
      <c r="A17" s="1">
        <v>2026</v>
      </c>
      <c r="B17" s="2">
        <v>0.14000000000000001</v>
      </c>
      <c r="C17" s="1">
        <v>48121987.301162198</v>
      </c>
      <c r="D17" s="1">
        <v>48087571.082332097</v>
      </c>
      <c r="E17" s="1">
        <f>C17+D17</f>
        <v>96209558.383494288</v>
      </c>
      <c r="F17" s="6">
        <f>((E5-E17))</f>
        <v>-6448851.0276631862</v>
      </c>
    </row>
    <row r="18" spans="1:6">
      <c r="A18" s="1">
        <v>2027</v>
      </c>
      <c r="B18" s="2">
        <v>0.3</v>
      </c>
      <c r="C18" s="1">
        <v>107599140.065826</v>
      </c>
      <c r="D18" s="1">
        <v>93620193.364967093</v>
      </c>
      <c r="E18" s="1">
        <f>C18+D18</f>
        <v>201219333.43079311</v>
      </c>
      <c r="F18" s="6">
        <f>((E6-E18))</f>
        <v>2569020.0284858942</v>
      </c>
    </row>
    <row r="19" spans="1:6">
      <c r="A19" s="1">
        <v>2028</v>
      </c>
      <c r="B19" s="2">
        <v>0.5</v>
      </c>
      <c r="C19" s="1">
        <v>117578127.663506</v>
      </c>
      <c r="D19" s="1">
        <v>104906427.36064599</v>
      </c>
      <c r="E19" s="1">
        <f>C19+D19</f>
        <v>222484555.02415198</v>
      </c>
      <c r="F19" s="6">
        <f>((E7-E19))</f>
        <v>12667521.233604014</v>
      </c>
    </row>
    <row r="20" spans="1:6">
      <c r="A20" s="1">
        <v>2029</v>
      </c>
      <c r="B20" s="2">
        <v>0.7</v>
      </c>
      <c r="C20" s="1">
        <v>75415383.092469096</v>
      </c>
      <c r="D20" s="1">
        <v>75416713.704779804</v>
      </c>
      <c r="E20" s="1">
        <f>C20+D20</f>
        <v>150832096.7972489</v>
      </c>
      <c r="F20" s="6">
        <f>((E8-E20))</f>
        <v>10383941.205763221</v>
      </c>
    </row>
    <row r="21" spans="1:6">
      <c r="A21" s="1">
        <v>2030</v>
      </c>
      <c r="B21" s="2">
        <v>0.86</v>
      </c>
      <c r="C21" s="1">
        <v>33216744.8374657</v>
      </c>
      <c r="D21" s="1">
        <v>33191869.487408701</v>
      </c>
      <c r="E21" s="1">
        <f>C21+D21</f>
        <v>66408614.324874401</v>
      </c>
      <c r="F21" s="6">
        <f>((E9-E21))</f>
        <v>-4193871.9222662002</v>
      </c>
    </row>
    <row r="22" spans="1:6">
      <c r="A22" s="1">
        <v>2031</v>
      </c>
      <c r="B22" s="2">
        <v>0.95</v>
      </c>
      <c r="C22" s="1">
        <v>6674882.6805287004</v>
      </c>
      <c r="D22" s="1">
        <v>4970260.3959939796</v>
      </c>
      <c r="E22" s="1">
        <f>C22+D22</f>
        <v>11645143.07652268</v>
      </c>
      <c r="F22" s="6">
        <f>((E10-E22))</f>
        <v>-2304826.0478062406</v>
      </c>
    </row>
    <row r="23" spans="1:6">
      <c r="A23" s="1">
        <v>2032</v>
      </c>
      <c r="B23" s="2">
        <v>0.99</v>
      </c>
      <c r="C23" s="1">
        <v>235583.261529073</v>
      </c>
      <c r="D23" s="1">
        <v>178567.46864109399</v>
      </c>
      <c r="E23" s="1">
        <f>C23+D23</f>
        <v>414150.73017016699</v>
      </c>
      <c r="F23" s="6">
        <f>((E11-E23))</f>
        <v>16100.410147549002</v>
      </c>
    </row>
    <row r="24" spans="1:6">
      <c r="A24" s="1">
        <v>2033</v>
      </c>
      <c r="B24" s="2">
        <v>1</v>
      </c>
      <c r="C24" s="1">
        <v>491728.46054636099</v>
      </c>
      <c r="D24" s="1">
        <v>336572.99979393103</v>
      </c>
      <c r="E24" s="1">
        <f>C24+D24</f>
        <v>828301.46034029196</v>
      </c>
      <c r="F24" s="6">
        <f>((E12-E24))</f>
        <v>-460583.70097379899</v>
      </c>
    </row>
    <row r="25" spans="1:6">
      <c r="C25">
        <f>SUM(C15:C24)</f>
        <v>418297873.10806906</v>
      </c>
      <c r="D25">
        <f>SUM(D15:D24)</f>
        <v>377464458.76058358</v>
      </c>
      <c r="E25">
        <f>SUM(E15:E24)</f>
        <v>795762331.86865258</v>
      </c>
    </row>
    <row r="26" spans="1:6">
      <c r="A26" t="s">
        <v>20</v>
      </c>
    </row>
    <row r="27" spans="1:6">
      <c r="A27" s="1" t="s">
        <v>19</v>
      </c>
      <c r="B27" s="1" t="s">
        <v>3</v>
      </c>
      <c r="C27" s="1" t="s">
        <v>1</v>
      </c>
      <c r="D27" s="1" t="s">
        <v>2</v>
      </c>
      <c r="E27" s="1" t="s">
        <v>14</v>
      </c>
      <c r="F27" s="1" t="s">
        <v>18</v>
      </c>
    </row>
    <row r="28" spans="1:6">
      <c r="A28" s="1">
        <v>2024</v>
      </c>
      <c r="B28" s="2">
        <v>0.01</v>
      </c>
      <c r="C28" s="1">
        <v>1799508.2383964199</v>
      </c>
      <c r="D28" s="1">
        <v>7023868.2406496396</v>
      </c>
      <c r="E28" s="1">
        <f>C28+D28</f>
        <v>8823376.4790460598</v>
      </c>
      <c r="F28" s="6">
        <f>(E28-E3)</f>
        <v>-56129.054122941568</v>
      </c>
    </row>
    <row r="29" spans="1:6">
      <c r="A29" s="1">
        <v>2025</v>
      </c>
      <c r="B29" s="2">
        <v>0.05</v>
      </c>
      <c r="C29" s="1">
        <v>10501491.125438901</v>
      </c>
      <c r="D29" s="1">
        <v>27796965.800088901</v>
      </c>
      <c r="E29" s="1">
        <f>C29+D29</f>
        <v>38298456.925527804</v>
      </c>
      <c r="F29" s="6">
        <f>(E29-E4)</f>
        <v>8115865.5697224066</v>
      </c>
    </row>
    <row r="30" spans="1:6">
      <c r="A30" s="1">
        <v>2026</v>
      </c>
      <c r="B30" s="2">
        <v>0.14000000000000001</v>
      </c>
      <c r="C30" s="1">
        <v>49755703.690409802</v>
      </c>
      <c r="D30" s="1">
        <v>49757344.068532199</v>
      </c>
      <c r="E30" s="1">
        <f>C30+D30</f>
        <v>99513047.758942008</v>
      </c>
      <c r="F30" s="6">
        <f>(E30-E5)</f>
        <v>9752340.4031109065</v>
      </c>
    </row>
    <row r="31" spans="1:6">
      <c r="A31" s="1">
        <v>2027</v>
      </c>
      <c r="B31" s="2">
        <v>0.3</v>
      </c>
      <c r="C31" s="1">
        <v>84942902.6949462</v>
      </c>
      <c r="D31" s="1">
        <v>117853912.468494</v>
      </c>
      <c r="E31" s="1">
        <f>C31+D31</f>
        <v>202796815.1634402</v>
      </c>
      <c r="F31" s="6">
        <f>(E31-E6)</f>
        <v>-991538.29583880305</v>
      </c>
    </row>
    <row r="32" spans="1:6">
      <c r="A32" s="1">
        <v>2028</v>
      </c>
      <c r="B32" s="2">
        <v>0.5</v>
      </c>
      <c r="C32" s="1">
        <v>121412064.461922</v>
      </c>
      <c r="D32" s="1">
        <v>110227846.466875</v>
      </c>
      <c r="E32" s="1">
        <f>C32+D32</f>
        <v>231639910.92879701</v>
      </c>
      <c r="F32" s="6">
        <f>(E32-E7)</f>
        <v>-3512165.3289589882</v>
      </c>
    </row>
    <row r="33" spans="1:7">
      <c r="A33" s="1">
        <v>2029</v>
      </c>
      <c r="B33" s="2">
        <v>0.7</v>
      </c>
      <c r="C33" s="1">
        <v>77042649.665146798</v>
      </c>
      <c r="D33" s="1">
        <v>76045741.659344897</v>
      </c>
      <c r="E33" s="1">
        <f>C33+D33</f>
        <v>153088391.32449168</v>
      </c>
      <c r="F33" s="6">
        <f>(E33-E8)</f>
        <v>-8127646.6785204411</v>
      </c>
    </row>
    <row r="34" spans="1:7">
      <c r="A34" s="1">
        <v>2030</v>
      </c>
      <c r="B34" s="2">
        <v>0.86</v>
      </c>
      <c r="C34" s="1">
        <v>30468460.935722802</v>
      </c>
      <c r="D34" s="1">
        <v>27487128.865025599</v>
      </c>
      <c r="E34" s="1">
        <f>C34+D34</f>
        <v>57955589.8007484</v>
      </c>
      <c r="F34" s="6">
        <f>(E34-E9)</f>
        <v>-4259152.6018598005</v>
      </c>
    </row>
    <row r="35" spans="1:7">
      <c r="A35" s="1">
        <v>2031</v>
      </c>
      <c r="B35" s="2">
        <v>0.95</v>
      </c>
      <c r="C35" s="1">
        <v>3491572.6774321198</v>
      </c>
      <c r="D35" s="1">
        <v>5492748.8609408997</v>
      </c>
      <c r="E35" s="1">
        <f>C35+D35</f>
        <v>8984321.5383730195</v>
      </c>
      <c r="F35" s="6">
        <f>(E35-E10)</f>
        <v>-355995.49034341983</v>
      </c>
    </row>
    <row r="36" spans="1:7">
      <c r="A36" s="1">
        <v>2032</v>
      </c>
      <c r="B36" s="2">
        <v>0.99</v>
      </c>
      <c r="C36" s="1">
        <v>165410.52819844999</v>
      </c>
      <c r="D36" s="1">
        <v>269589.39661738201</v>
      </c>
      <c r="E36" s="1">
        <f>C36+D36</f>
        <v>434999.924815832</v>
      </c>
      <c r="F36" s="6">
        <f>(E36-E11)</f>
        <v>4748.7844981160015</v>
      </c>
    </row>
    <row r="37" spans="1:7">
      <c r="A37" s="1">
        <v>2033</v>
      </c>
      <c r="B37" s="2">
        <v>1</v>
      </c>
      <c r="C37" s="1">
        <v>327845.48914471199</v>
      </c>
      <c r="D37" s="1">
        <v>542154.36048695398</v>
      </c>
      <c r="E37" s="1">
        <f>C37+D37</f>
        <v>869999.84963166597</v>
      </c>
      <c r="F37" s="6">
        <f>(E37-E12)</f>
        <v>502282.090265173</v>
      </c>
    </row>
    <row r="38" spans="1:7">
      <c r="C38">
        <f>SUM(C28:C37)</f>
        <v>379907609.50675821</v>
      </c>
      <c r="D38">
        <f>SUM(D28:D37)</f>
        <v>422497300.18705541</v>
      </c>
      <c r="E38">
        <f>SUM(E28:E37)</f>
        <v>802404909.69381356</v>
      </c>
      <c r="G38" s="5"/>
    </row>
    <row r="40" spans="1:7">
      <c r="D40">
        <f>E43-E45</f>
        <v>-5569968.4272087812</v>
      </c>
    </row>
    <row r="41" spans="1:7">
      <c r="A41" s="1" t="s">
        <v>17</v>
      </c>
      <c r="B41" s="1" t="s">
        <v>16</v>
      </c>
      <c r="C41" s="1" t="s">
        <v>15</v>
      </c>
      <c r="D41" s="1" t="s">
        <v>14</v>
      </c>
      <c r="E41" s="1">
        <f>E42-E45</f>
        <v>-640116262.2928493</v>
      </c>
      <c r="F41" s="1" t="s">
        <v>13</v>
      </c>
      <c r="G41" s="1"/>
    </row>
    <row r="42" spans="1:7">
      <c r="A42" s="1" t="s">
        <v>12</v>
      </c>
      <c r="B42" s="1">
        <f>SUM(C28:C37)</f>
        <v>379907609.50675821</v>
      </c>
      <c r="C42" s="1">
        <f>SUM(D28:D37)</f>
        <v>422497300.18705541</v>
      </c>
      <c r="D42" s="1">
        <f>C42+B42</f>
        <v>802404909.69381356</v>
      </c>
      <c r="E42" s="1">
        <f>E8</f>
        <v>161216038.00301212</v>
      </c>
      <c r="F42" s="1">
        <f>B42/E42</f>
        <v>2.3565125046656967</v>
      </c>
      <c r="G42" s="1">
        <f>C42/E42</f>
        <v>2.6206902577469466</v>
      </c>
    </row>
    <row r="43" spans="1:7">
      <c r="A43" s="1" t="s">
        <v>11</v>
      </c>
      <c r="B43" s="1">
        <f>SUM(C15:C24)</f>
        <v>418297873.10806906</v>
      </c>
      <c r="C43" s="1">
        <f>SUM(D15:D24)</f>
        <v>377464458.76058358</v>
      </c>
      <c r="D43" s="1">
        <f>C43+B43</f>
        <v>795762331.86865258</v>
      </c>
      <c r="E43" s="1">
        <f>E25</f>
        <v>795762331.86865258</v>
      </c>
      <c r="F43" s="1">
        <f>B43/E43</f>
        <v>0.5256567901697472</v>
      </c>
      <c r="G43" s="1">
        <f>C43/E43</f>
        <v>0.47434320983025285</v>
      </c>
    </row>
    <row r="44" spans="1:7">
      <c r="A44" s="1" t="s">
        <v>10</v>
      </c>
      <c r="B44" s="1" t="e">
        <f>#REF!</f>
        <v>#REF!</v>
      </c>
      <c r="C44" s="1" t="e">
        <f>#REF!</f>
        <v>#REF!</v>
      </c>
      <c r="D44" s="1" t="e">
        <f>C44+B44</f>
        <v>#REF!</v>
      </c>
      <c r="E44" s="1">
        <v>797580136.30044913</v>
      </c>
      <c r="F44" s="1" t="e">
        <f>B44/E44</f>
        <v>#REF!</v>
      </c>
      <c r="G44" s="1" t="e">
        <f>C44/E44</f>
        <v>#REF!</v>
      </c>
    </row>
    <row r="45" spans="1:7">
      <c r="A45" s="1" t="s">
        <v>9</v>
      </c>
      <c r="B45" s="1">
        <f>SUM(C3:C12)</f>
        <v>393125071.0198741</v>
      </c>
      <c r="C45" s="1">
        <f>SUM(D3:D12)</f>
        <v>408207229.27598727</v>
      </c>
      <c r="D45" s="1">
        <f>C45+B45</f>
        <v>801332300.29586136</v>
      </c>
      <c r="E45" s="1">
        <f>E13</f>
        <v>801332300.29586136</v>
      </c>
      <c r="F45" s="1">
        <f>B45/E45</f>
        <v>0.49058932339895406</v>
      </c>
      <c r="G45" s="1">
        <f>C45/E45</f>
        <v>0.509410676601046</v>
      </c>
    </row>
    <row r="46" spans="1:7">
      <c r="A46" s="1" t="s">
        <v>8</v>
      </c>
      <c r="B46" s="1">
        <v>429835125.81838298</v>
      </c>
      <c r="C46" s="1">
        <v>436493086.497006</v>
      </c>
      <c r="D46" s="1">
        <f>C46+B46</f>
        <v>866328212.31538892</v>
      </c>
      <c r="E46" s="1">
        <f>'[1]ALL MArket share'!E13</f>
        <v>866328212.31538892</v>
      </c>
    </row>
    <row r="48" spans="1:7">
      <c r="D48" s="4">
        <f>(E45-E44)/E45</f>
        <v>4.6824070289278085E-3</v>
      </c>
      <c r="E48">
        <f>(E46-E45)/E46</f>
        <v>7.5024582018189692E-2</v>
      </c>
    </row>
    <row r="87" customFormat="1" ht="20.5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6B57-BFD4-8B4D-8E2E-BA44D8A776B3}">
  <dimension ref="A1:G27"/>
  <sheetViews>
    <sheetView zoomScale="130" zoomScaleNormal="130" workbookViewId="0">
      <selection activeCell="T13" sqref="T13"/>
    </sheetView>
  </sheetViews>
  <sheetFormatPr baseColWidth="10" defaultColWidth="8.83203125" defaultRowHeight="15"/>
  <cols>
    <col min="2" max="2" width="17.6640625" bestFit="1" customWidth="1"/>
    <col min="3" max="3" width="12.1640625" bestFit="1" customWidth="1"/>
    <col min="4" max="4" width="12.83203125" bestFit="1" customWidth="1"/>
    <col min="7" max="7" width="10.83203125" bestFit="1" customWidth="1"/>
  </cols>
  <sheetData>
    <row r="1" spans="1:4">
      <c r="A1" s="1" t="s">
        <v>19</v>
      </c>
      <c r="B1" s="1" t="s">
        <v>1</v>
      </c>
      <c r="C1" s="1" t="s">
        <v>2</v>
      </c>
      <c r="D1" t="s">
        <v>3</v>
      </c>
    </row>
    <row r="2" spans="1:4">
      <c r="A2" s="1">
        <v>2023</v>
      </c>
      <c r="B2" s="1">
        <v>0</v>
      </c>
      <c r="C2" s="1">
        <v>0</v>
      </c>
    </row>
    <row r="3" spans="1:4">
      <c r="A3" s="1">
        <v>2024</v>
      </c>
      <c r="B3" s="1">
        <v>44414305.567090496</v>
      </c>
      <c r="C3" s="1">
        <v>45524330.3675704</v>
      </c>
    </row>
    <row r="4" spans="1:4">
      <c r="A4" s="1">
        <v>2025</v>
      </c>
      <c r="B4" s="1">
        <v>66811575.011730798</v>
      </c>
      <c r="C4" s="1">
        <v>61537230.161014497</v>
      </c>
    </row>
    <row r="5" spans="1:4">
      <c r="A5" s="1">
        <v>2026</v>
      </c>
      <c r="B5" s="1">
        <v>82606727.438309193</v>
      </c>
      <c r="C5" s="1">
        <v>81819736.532102197</v>
      </c>
    </row>
    <row r="6" spans="1:4">
      <c r="A6" s="1">
        <v>2027</v>
      </c>
      <c r="B6" s="1">
        <v>81642070.221723706</v>
      </c>
      <c r="C6" s="1">
        <v>85067920.898580998</v>
      </c>
    </row>
    <row r="7" spans="1:4">
      <c r="A7" s="1">
        <v>2028</v>
      </c>
      <c r="B7" s="1">
        <v>60306525.653771996</v>
      </c>
      <c r="C7" s="1">
        <v>65496431.014949404</v>
      </c>
    </row>
    <row r="8" spans="1:4">
      <c r="A8" s="1">
        <v>2029</v>
      </c>
      <c r="B8" s="1">
        <v>36517850.750442602</v>
      </c>
      <c r="C8" s="1">
        <v>37038913.059402503</v>
      </c>
    </row>
    <row r="9" spans="1:4">
      <c r="A9" s="1">
        <v>2030</v>
      </c>
      <c r="B9" s="1">
        <v>21078922.057684802</v>
      </c>
      <c r="C9" s="1">
        <v>13009372.7555911</v>
      </c>
    </row>
    <row r="10" spans="1:4">
      <c r="A10" s="1">
        <v>2031</v>
      </c>
      <c r="B10" s="1">
        <v>5059947.0102394996</v>
      </c>
      <c r="C10" s="1">
        <v>6187547.6203233004</v>
      </c>
    </row>
    <row r="11" spans="1:4">
      <c r="A11" s="1">
        <v>2032</v>
      </c>
      <c r="B11" s="1">
        <v>1161217.8110633099</v>
      </c>
      <c r="C11" s="1">
        <v>1451617.09733532</v>
      </c>
    </row>
    <row r="12" spans="1:4">
      <c r="A12" s="24">
        <v>2033</v>
      </c>
      <c r="B12" s="24">
        <v>293771.31831189903</v>
      </c>
      <c r="C12" s="24">
        <v>554123.953211218</v>
      </c>
    </row>
    <row r="13" spans="1:4">
      <c r="A13" s="1" t="s">
        <v>14</v>
      </c>
      <c r="B13" s="1">
        <f>SUM(B2:B12)</f>
        <v>399892912.84036821</v>
      </c>
      <c r="C13" s="1">
        <f>SUM(C2:C12)</f>
        <v>397687223.46008092</v>
      </c>
      <c r="D13" s="1">
        <f>C13+B13</f>
        <v>797580136.30044913</v>
      </c>
    </row>
    <row r="17" spans="1:7">
      <c r="A17" s="1" t="s">
        <v>19</v>
      </c>
      <c r="B17" s="1" t="s">
        <v>60</v>
      </c>
      <c r="C17" s="1" t="s">
        <v>59</v>
      </c>
      <c r="D17" s="1" t="s">
        <v>7</v>
      </c>
      <c r="E17" s="1" t="s">
        <v>6</v>
      </c>
      <c r="F17" s="2">
        <v>0</v>
      </c>
      <c r="G17" s="1" t="s">
        <v>58</v>
      </c>
    </row>
    <row r="18" spans="1:7">
      <c r="A18" s="1">
        <v>2024</v>
      </c>
      <c r="B18" s="1">
        <v>0.176289715687693</v>
      </c>
      <c r="C18" s="1">
        <v>0.16761003765310101</v>
      </c>
      <c r="D18" s="1">
        <v>264.21535127643199</v>
      </c>
      <c r="E18" s="1">
        <v>73.013864869431401</v>
      </c>
      <c r="F18" s="2">
        <v>0.1</v>
      </c>
      <c r="G18" s="1">
        <f>B3+C3</f>
        <v>89938635.934660897</v>
      </c>
    </row>
    <row r="19" spans="1:7">
      <c r="A19" s="1">
        <v>2025</v>
      </c>
      <c r="B19" s="1">
        <v>0.21420339014591999</v>
      </c>
      <c r="C19" s="1">
        <v>0.151964745993244</v>
      </c>
      <c r="D19" s="1">
        <v>196.48527945225999</v>
      </c>
      <c r="E19" s="1">
        <v>63.676748555312301</v>
      </c>
      <c r="F19" s="2">
        <v>0.2</v>
      </c>
      <c r="G19" s="1">
        <f>B4+C4</f>
        <v>128348805.17274529</v>
      </c>
    </row>
    <row r="20" spans="1:7">
      <c r="A20" s="1">
        <v>2026</v>
      </c>
      <c r="B20" s="1">
        <v>0.241860306385415</v>
      </c>
      <c r="C20" s="1">
        <v>0.14814344931881601</v>
      </c>
      <c r="D20" s="1">
        <v>193.48580887637399</v>
      </c>
      <c r="E20" s="1">
        <v>59.193475635146299</v>
      </c>
      <c r="F20" s="2">
        <v>0.3</v>
      </c>
      <c r="G20" s="1">
        <f>B5+C5</f>
        <v>164426463.97041139</v>
      </c>
    </row>
    <row r="21" spans="1:7">
      <c r="A21" s="1">
        <v>2027</v>
      </c>
      <c r="B21" s="1">
        <v>0.248418878181977</v>
      </c>
      <c r="C21" s="1">
        <v>0.16870507839136401</v>
      </c>
      <c r="D21" s="1">
        <v>212.22624162706799</v>
      </c>
      <c r="E21" s="1">
        <v>56.522386462861903</v>
      </c>
      <c r="F21" s="2">
        <v>0.4</v>
      </c>
      <c r="G21" s="1">
        <f>B6+C6</f>
        <v>166709991.1203047</v>
      </c>
    </row>
    <row r="22" spans="1:7">
      <c r="A22" s="1">
        <v>2028</v>
      </c>
      <c r="B22" s="1">
        <v>0.158649634044738</v>
      </c>
      <c r="C22" s="1">
        <v>0.150842969756741</v>
      </c>
      <c r="D22" s="1">
        <v>197.58649923432301</v>
      </c>
      <c r="E22" s="1">
        <v>57.313747222372697</v>
      </c>
      <c r="F22" s="2">
        <v>0.5</v>
      </c>
      <c r="G22" s="1">
        <f>B7+C7</f>
        <v>125802956.66872141</v>
      </c>
    </row>
    <row r="23" spans="1:7">
      <c r="A23" s="1">
        <v>2029</v>
      </c>
      <c r="B23" s="1">
        <v>0.17842734907492799</v>
      </c>
      <c r="C23" s="1">
        <v>0.14113992826310201</v>
      </c>
      <c r="D23" s="1">
        <v>196.02804997825501</v>
      </c>
      <c r="E23" s="1">
        <v>51.556216756283199</v>
      </c>
      <c r="F23" s="2">
        <v>0.6</v>
      </c>
      <c r="G23" s="1">
        <f>B8+C8</f>
        <v>73556763.809845105</v>
      </c>
    </row>
    <row r="24" spans="1:7">
      <c r="A24" s="1">
        <v>2030</v>
      </c>
      <c r="B24" s="1">
        <v>0.16390875721508799</v>
      </c>
      <c r="C24" s="1">
        <v>0.148320250162707</v>
      </c>
      <c r="D24" s="1">
        <v>250.01761350515801</v>
      </c>
      <c r="E24" s="1">
        <v>42.522169436034503</v>
      </c>
      <c r="F24" s="2">
        <v>0.7</v>
      </c>
      <c r="G24" s="1">
        <f>B9+C9</f>
        <v>34088294.813275903</v>
      </c>
    </row>
    <row r="25" spans="1:7">
      <c r="A25" s="1">
        <v>2031</v>
      </c>
      <c r="B25" s="1">
        <v>5.8906778184586797E-2</v>
      </c>
      <c r="C25" s="1">
        <v>0.153538136747014</v>
      </c>
      <c r="D25" s="1">
        <v>177.119110158529</v>
      </c>
      <c r="E25" s="1">
        <v>55.077778801552903</v>
      </c>
      <c r="F25" s="2">
        <v>0.8</v>
      </c>
      <c r="G25" s="1">
        <f>B10+C10</f>
        <v>11247494.630562801</v>
      </c>
    </row>
    <row r="26" spans="1:7">
      <c r="A26" s="1">
        <v>2032</v>
      </c>
      <c r="B26" s="1">
        <v>5.0137643375966698E-2</v>
      </c>
      <c r="C26" s="1">
        <v>0.15243189042840299</v>
      </c>
      <c r="D26" s="1">
        <v>203.10203799105901</v>
      </c>
      <c r="E26" s="1">
        <v>56.30018377191</v>
      </c>
      <c r="F26" s="2">
        <v>0.9</v>
      </c>
      <c r="G26" s="1">
        <f>B11+C11</f>
        <v>2612834.9083986301</v>
      </c>
    </row>
    <row r="27" spans="1:7">
      <c r="A27" s="1">
        <v>2033</v>
      </c>
      <c r="B27" s="1">
        <v>5.0434800324185097E-2</v>
      </c>
      <c r="C27" s="1">
        <v>0.15757150775576301</v>
      </c>
      <c r="D27" s="1">
        <v>155.711357091004</v>
      </c>
      <c r="E27" s="1">
        <v>62.6384537848406</v>
      </c>
      <c r="F27" s="2">
        <v>1</v>
      </c>
      <c r="G27" s="1">
        <f>B12+C12</f>
        <v>847895.27152311709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D637-79E9-7343-B91E-E8770A86EE3E}">
  <sheetPr codeName="Sheet6"/>
  <dimension ref="A1:AA51"/>
  <sheetViews>
    <sheetView topLeftCell="R1" zoomScale="97" zoomScaleNormal="97" workbookViewId="0">
      <selection activeCell="S7" sqref="S7"/>
    </sheetView>
  </sheetViews>
  <sheetFormatPr baseColWidth="10" defaultColWidth="8.83203125" defaultRowHeight="15"/>
  <cols>
    <col min="1" max="17" width="9" bestFit="1" customWidth="1"/>
    <col min="18" max="18" width="10.83203125" bestFit="1" customWidth="1"/>
    <col min="19" max="19" width="12.6640625" bestFit="1" customWidth="1"/>
    <col min="20" max="20" width="12.1640625" bestFit="1" customWidth="1"/>
    <col min="21" max="21" width="13.6640625" customWidth="1"/>
    <col min="22" max="22" width="9" bestFit="1" customWidth="1"/>
    <col min="24" max="33" width="9" bestFit="1" customWidth="1"/>
    <col min="39" max="39" width="9" bestFit="1" customWidth="1"/>
  </cols>
  <sheetData>
    <row r="1" spans="1:27">
      <c r="A1" t="s">
        <v>39</v>
      </c>
      <c r="B1" t="s">
        <v>4</v>
      </c>
      <c r="D1" t="s">
        <v>5</v>
      </c>
      <c r="I1" t="s">
        <v>6</v>
      </c>
    </row>
    <row r="2" spans="1:27" ht="20" customHeight="1">
      <c r="A2" s="1" t="s">
        <v>19</v>
      </c>
      <c r="B2" s="1" t="s">
        <v>40</v>
      </c>
      <c r="C2" s="1"/>
      <c r="D2" s="1" t="s">
        <v>41</v>
      </c>
      <c r="E2" s="1"/>
      <c r="F2" s="1"/>
      <c r="G2" s="1" t="s">
        <v>42</v>
      </c>
      <c r="H2" s="1"/>
      <c r="I2" s="1" t="s">
        <v>40</v>
      </c>
      <c r="J2" s="1"/>
      <c r="K2" s="1"/>
      <c r="L2" s="1"/>
      <c r="M2" s="1"/>
      <c r="Q2" s="2"/>
      <c r="R2" s="1">
        <v>250000000</v>
      </c>
      <c r="S2" s="1" t="s">
        <v>43</v>
      </c>
      <c r="T2" s="1" t="s">
        <v>1</v>
      </c>
      <c r="U2" s="1" t="s">
        <v>2</v>
      </c>
    </row>
    <row r="3" spans="1:27">
      <c r="A3" s="1">
        <v>2024</v>
      </c>
      <c r="B3" s="6">
        <v>0.49844948173055598</v>
      </c>
      <c r="C3" s="6">
        <f>B3*100</f>
        <v>49.844948173055599</v>
      </c>
      <c r="D3" s="2">
        <v>0.10926169949393801</v>
      </c>
      <c r="E3" s="1">
        <f>D3*100</f>
        <v>10.926169949393801</v>
      </c>
      <c r="F3" s="1">
        <f>G3/10</f>
        <v>28.063378194314499</v>
      </c>
      <c r="G3" s="1">
        <v>280.63378194314498</v>
      </c>
      <c r="H3" s="1">
        <f t="shared" ref="H3:H12" si="0">G3/10</f>
        <v>28.063378194314499</v>
      </c>
      <c r="I3" s="1">
        <v>79.377484201236001</v>
      </c>
      <c r="J3" s="2">
        <v>0.49844948173055598</v>
      </c>
      <c r="K3" s="2">
        <v>0.10926169949393801</v>
      </c>
      <c r="L3" s="1">
        <v>280.63378194314498</v>
      </c>
      <c r="M3" s="1">
        <v>79.377484201236001</v>
      </c>
      <c r="Q3" s="2">
        <v>0.01</v>
      </c>
      <c r="R3" s="1">
        <v>8879505.5331690013</v>
      </c>
      <c r="S3" s="1">
        <f t="shared" ref="S3:S12" si="1">$R$2*Q3</f>
        <v>2500000</v>
      </c>
      <c r="T3" s="1">
        <v>1583248.002963</v>
      </c>
      <c r="U3" s="1">
        <v>7296257.5302060004</v>
      </c>
    </row>
    <row r="4" spans="1:27">
      <c r="A4" s="1">
        <v>2025</v>
      </c>
      <c r="B4" s="6">
        <v>0.49717680313933099</v>
      </c>
      <c r="C4" s="6">
        <f t="shared" ref="C4:C12" si="2">B4*100</f>
        <v>49.717680313933101</v>
      </c>
      <c r="D4" s="2">
        <v>0.102171210441016</v>
      </c>
      <c r="E4" s="1">
        <f t="shared" ref="E4:E12" si="3">D4*100</f>
        <v>10.217121044101599</v>
      </c>
      <c r="F4" s="1">
        <f t="shared" ref="F4:F12" si="4">G4/10</f>
        <v>22.264938032745199</v>
      </c>
      <c r="G4" s="1">
        <v>222.64938032745201</v>
      </c>
      <c r="H4" s="1">
        <f t="shared" si="0"/>
        <v>22.264938032745199</v>
      </c>
      <c r="I4" s="1">
        <v>64.130744514067402</v>
      </c>
      <c r="J4" s="2">
        <v>0.49717680313933099</v>
      </c>
      <c r="K4" s="2">
        <v>0.102171210441016</v>
      </c>
      <c r="L4" s="1">
        <v>222.64938032745201</v>
      </c>
      <c r="M4" s="1">
        <v>64.130744514067402</v>
      </c>
      <c r="Q4" s="2">
        <v>0.05</v>
      </c>
      <c r="R4" s="1">
        <v>30182591.355805397</v>
      </c>
      <c r="S4" s="1">
        <f t="shared" si="1"/>
        <v>12500000</v>
      </c>
      <c r="T4" s="1">
        <v>14272108.078843299</v>
      </c>
      <c r="U4" s="1">
        <v>15910483.2769621</v>
      </c>
    </row>
    <row r="5" spans="1:27">
      <c r="A5" s="1">
        <v>2026</v>
      </c>
      <c r="B5" s="6">
        <v>0.22064737472611301</v>
      </c>
      <c r="C5" s="6">
        <f t="shared" si="2"/>
        <v>22.064737472611302</v>
      </c>
      <c r="D5" s="2">
        <v>0.10018889495769499</v>
      </c>
      <c r="E5" s="1">
        <f t="shared" si="3"/>
        <v>10.0188894957695</v>
      </c>
      <c r="F5" s="1">
        <f t="shared" si="4"/>
        <v>21.613437392643799</v>
      </c>
      <c r="G5" s="1">
        <v>216.134373926438</v>
      </c>
      <c r="H5" s="1">
        <f t="shared" si="0"/>
        <v>21.613437392643799</v>
      </c>
      <c r="I5" s="1">
        <v>58.656943536640298</v>
      </c>
      <c r="J5" s="2">
        <v>0.22064737472611301</v>
      </c>
      <c r="K5" s="2">
        <v>0.10018889495769499</v>
      </c>
      <c r="L5" s="1">
        <v>216.134373926438</v>
      </c>
      <c r="M5" s="1">
        <v>58.656943536640298</v>
      </c>
      <c r="Q5" s="2">
        <v>0.14000000000000001</v>
      </c>
      <c r="R5" s="1">
        <v>89760707.355831102</v>
      </c>
      <c r="S5" s="1">
        <f t="shared" si="1"/>
        <v>35000000</v>
      </c>
      <c r="T5" s="1">
        <v>48217628.812400199</v>
      </c>
      <c r="U5" s="1">
        <v>41543078.543430902</v>
      </c>
    </row>
    <row r="6" spans="1:27">
      <c r="A6" s="1">
        <v>2027</v>
      </c>
      <c r="B6" s="6">
        <v>0.244172463847806</v>
      </c>
      <c r="C6" s="6">
        <f t="shared" si="2"/>
        <v>24.417246384780601</v>
      </c>
      <c r="D6" s="2">
        <v>0.15289755232541</v>
      </c>
      <c r="E6" s="1">
        <f t="shared" si="3"/>
        <v>15.289755232540999</v>
      </c>
      <c r="F6" s="1">
        <f t="shared" si="4"/>
        <v>20.592486755288899</v>
      </c>
      <c r="G6" s="1">
        <v>205.924867552889</v>
      </c>
      <c r="H6" s="1">
        <f t="shared" si="0"/>
        <v>20.592486755288899</v>
      </c>
      <c r="I6" s="1">
        <v>58.224621739496698</v>
      </c>
      <c r="J6" s="2">
        <v>0.244172463847806</v>
      </c>
      <c r="K6" s="2">
        <v>0.15289755232541</v>
      </c>
      <c r="L6" s="1">
        <v>205.924867552889</v>
      </c>
      <c r="M6" s="1">
        <v>58.224621739496698</v>
      </c>
      <c r="Q6" s="2">
        <v>0.3</v>
      </c>
      <c r="R6" s="1">
        <v>203788353.459279</v>
      </c>
      <c r="S6" s="1">
        <f t="shared" si="1"/>
        <v>75000000</v>
      </c>
      <c r="T6" s="1">
        <v>91467511.552529007</v>
      </c>
      <c r="U6" s="1">
        <v>112320841.90674999</v>
      </c>
      <c r="AA6" s="1"/>
    </row>
    <row r="7" spans="1:27">
      <c r="A7" s="1">
        <v>2028</v>
      </c>
      <c r="B7" s="6">
        <v>0.14098705745676399</v>
      </c>
      <c r="C7" s="6">
        <f t="shared" si="2"/>
        <v>14.098705745676398</v>
      </c>
      <c r="D7" s="2">
        <v>0.15228321292774799</v>
      </c>
      <c r="E7" s="1">
        <f t="shared" si="3"/>
        <v>15.228321292774799</v>
      </c>
      <c r="F7" s="1">
        <f t="shared" si="4"/>
        <v>20.2400934474847</v>
      </c>
      <c r="G7" s="1">
        <v>202.40093447484699</v>
      </c>
      <c r="H7" s="1">
        <f t="shared" si="0"/>
        <v>20.2400934474847</v>
      </c>
      <c r="I7" s="1">
        <v>56.968226503234803</v>
      </c>
      <c r="J7" s="2">
        <v>0.14098705745676399</v>
      </c>
      <c r="K7" s="2">
        <v>0.15228321292774799</v>
      </c>
      <c r="L7" s="1">
        <v>202.40093447484699</v>
      </c>
      <c r="M7" s="1">
        <v>56.968226503234803</v>
      </c>
      <c r="Q7" s="2">
        <v>0.5</v>
      </c>
      <c r="R7" s="1">
        <v>235152076.25775599</v>
      </c>
      <c r="S7" s="1">
        <f t="shared" si="1"/>
        <v>125000000</v>
      </c>
      <c r="T7" s="1">
        <v>117672985.589</v>
      </c>
      <c r="U7" s="1">
        <v>117479090.66875599</v>
      </c>
    </row>
    <row r="8" spans="1:27">
      <c r="A8" s="1">
        <v>2029</v>
      </c>
      <c r="B8" s="6">
        <v>0.14927212238220899</v>
      </c>
      <c r="C8" s="6">
        <f t="shared" si="2"/>
        <v>14.9272122382209</v>
      </c>
      <c r="D8" s="2">
        <v>0.144986874704403</v>
      </c>
      <c r="E8" s="1">
        <f t="shared" si="3"/>
        <v>14.4986874704403</v>
      </c>
      <c r="F8" s="1">
        <f t="shared" si="4"/>
        <v>20.850883252700299</v>
      </c>
      <c r="G8" s="1">
        <v>208.50883252700299</v>
      </c>
      <c r="H8" s="1">
        <f t="shared" si="0"/>
        <v>20.850883252700299</v>
      </c>
      <c r="I8" s="1">
        <v>49.865292682283403</v>
      </c>
      <c r="J8" s="2">
        <v>0.14927212238220899</v>
      </c>
      <c r="K8" s="2">
        <v>0.144986874704403</v>
      </c>
      <c r="L8" s="1">
        <v>208.50883252700299</v>
      </c>
      <c r="M8" s="1">
        <v>49.865292682283403</v>
      </c>
      <c r="Q8" s="2">
        <v>0.7</v>
      </c>
      <c r="R8" s="1">
        <v>161216038.00301212</v>
      </c>
      <c r="S8" s="1">
        <f t="shared" si="1"/>
        <v>175000000</v>
      </c>
      <c r="T8" s="1">
        <v>85874932.352483898</v>
      </c>
      <c r="U8" s="1">
        <v>75341105.650528207</v>
      </c>
    </row>
    <row r="9" spans="1:27">
      <c r="A9" s="1">
        <v>2030</v>
      </c>
      <c r="B9" s="6">
        <v>0.13366867585950601</v>
      </c>
      <c r="C9" s="6">
        <f t="shared" si="2"/>
        <v>13.366867585950601</v>
      </c>
      <c r="D9" s="2">
        <v>0.15016838057571499</v>
      </c>
      <c r="E9" s="1">
        <f t="shared" si="3"/>
        <v>15.016838057571499</v>
      </c>
      <c r="F9" s="1">
        <f t="shared" si="4"/>
        <v>20.055704877663501</v>
      </c>
      <c r="G9" s="1">
        <v>200.55704877663501</v>
      </c>
      <c r="H9" s="1">
        <f t="shared" si="0"/>
        <v>20.055704877663501</v>
      </c>
      <c r="I9" s="1">
        <v>49.726286325982898</v>
      </c>
      <c r="J9" s="2">
        <v>0.13366867585950601</v>
      </c>
      <c r="K9" s="2">
        <v>0.15016838057571499</v>
      </c>
      <c r="L9" s="1">
        <v>200.55704877663501</v>
      </c>
      <c r="M9" s="1">
        <v>49.726286325982898</v>
      </c>
      <c r="Q9" s="2">
        <v>0.86</v>
      </c>
      <c r="R9" s="1">
        <v>62214742.402608201</v>
      </c>
      <c r="S9" s="1">
        <f t="shared" si="1"/>
        <v>215000000</v>
      </c>
      <c r="T9" s="1">
        <v>29524646.969765801</v>
      </c>
      <c r="U9" s="1">
        <v>32690095.4328424</v>
      </c>
    </row>
    <row r="10" spans="1:27">
      <c r="A10" s="1">
        <v>2031</v>
      </c>
      <c r="B10" s="6">
        <v>9.3823736084054005E-2</v>
      </c>
      <c r="C10" s="6">
        <f t="shared" si="2"/>
        <v>9.3823736084054001</v>
      </c>
      <c r="D10" s="2">
        <v>0.10177545189816201</v>
      </c>
      <c r="E10" s="1">
        <f t="shared" si="3"/>
        <v>10.1775451898162</v>
      </c>
      <c r="F10" s="1">
        <f t="shared" si="4"/>
        <v>19.887908936765001</v>
      </c>
      <c r="G10" s="1">
        <v>198.87908936765001</v>
      </c>
      <c r="H10" s="1">
        <f t="shared" si="0"/>
        <v>19.887908936765001</v>
      </c>
      <c r="I10" s="1">
        <v>53.423209704886702</v>
      </c>
      <c r="J10" s="2">
        <v>9.3823736084054005E-2</v>
      </c>
      <c r="K10" s="2">
        <v>0.10177545189816201</v>
      </c>
      <c r="L10" s="1">
        <v>198.87908936765001</v>
      </c>
      <c r="M10" s="1">
        <v>53.423209704886702</v>
      </c>
      <c r="Q10" s="2">
        <v>0.95</v>
      </c>
      <c r="R10" s="1">
        <v>9340317.0287164394</v>
      </c>
      <c r="S10" s="1">
        <f t="shared" si="1"/>
        <v>237500000</v>
      </c>
      <c r="T10" s="1">
        <v>4210984.9049846996</v>
      </c>
      <c r="U10" s="1">
        <v>5129332.1237317398</v>
      </c>
    </row>
    <row r="11" spans="1:27">
      <c r="A11" s="1">
        <v>2032</v>
      </c>
      <c r="B11" s="6">
        <v>0.103596460778149</v>
      </c>
      <c r="C11" s="6">
        <f t="shared" si="2"/>
        <v>10.359646077814901</v>
      </c>
      <c r="D11" s="2">
        <v>0.102124940126072</v>
      </c>
      <c r="E11" s="1">
        <f t="shared" si="3"/>
        <v>10.2124940126072</v>
      </c>
      <c r="F11" s="1">
        <f t="shared" si="4"/>
        <v>15.363742092981999</v>
      </c>
      <c r="G11" s="1">
        <v>153.63742092982</v>
      </c>
      <c r="H11" s="1">
        <f t="shared" si="0"/>
        <v>15.363742092981999</v>
      </c>
      <c r="I11" s="1">
        <v>59.056809599865403</v>
      </c>
      <c r="J11" s="2">
        <v>0.103596460778149</v>
      </c>
      <c r="K11" s="2">
        <v>0.102124940126072</v>
      </c>
      <c r="L11" s="1">
        <v>153.63742092982</v>
      </c>
      <c r="M11" s="1">
        <v>59.056809599865403</v>
      </c>
      <c r="Q11" s="2">
        <v>0.99</v>
      </c>
      <c r="R11" s="1">
        <v>430251.140317716</v>
      </c>
      <c r="S11" s="1">
        <f t="shared" si="1"/>
        <v>247500000</v>
      </c>
      <c r="T11" s="1">
        <v>158899.562797972</v>
      </c>
      <c r="U11" s="1">
        <v>271351.57751974399</v>
      </c>
    </row>
    <row r="12" spans="1:27">
      <c r="A12" s="1">
        <v>2033</v>
      </c>
      <c r="B12" s="6">
        <v>0.132869622302448</v>
      </c>
      <c r="C12" s="6">
        <f t="shared" si="2"/>
        <v>13.2869622302448</v>
      </c>
      <c r="D12" s="2">
        <v>0.10304458573655299</v>
      </c>
      <c r="E12" s="1">
        <f t="shared" si="3"/>
        <v>10.3044585736553</v>
      </c>
      <c r="F12" s="1">
        <f t="shared" si="4"/>
        <v>15.577138532105499</v>
      </c>
      <c r="G12" s="1">
        <v>155.77138532105499</v>
      </c>
      <c r="H12" s="1">
        <f t="shared" si="0"/>
        <v>15.577138532105499</v>
      </c>
      <c r="I12" s="1">
        <v>54.196725832048202</v>
      </c>
      <c r="J12" s="2">
        <v>0.132869622302448</v>
      </c>
      <c r="K12" s="2">
        <v>0.10304458573655299</v>
      </c>
      <c r="L12" s="1">
        <v>155.77138532105499</v>
      </c>
      <c r="M12" s="1">
        <v>54.196725832048202</v>
      </c>
      <c r="Q12" s="2">
        <v>1</v>
      </c>
      <c r="R12" s="1">
        <v>367717.75936649297</v>
      </c>
      <c r="S12" s="1">
        <f t="shared" si="1"/>
        <v>250000000</v>
      </c>
      <c r="T12" s="1">
        <v>142125.19410627699</v>
      </c>
      <c r="U12" s="1">
        <v>225592.56526021601</v>
      </c>
    </row>
    <row r="13" spans="1:27">
      <c r="B13">
        <f>AVERAGE(B3:B12)</f>
        <v>0.22146637983069359</v>
      </c>
      <c r="D13">
        <f>AVERAGE(D3:D12)</f>
        <v>0.12189028031867119</v>
      </c>
      <c r="G13">
        <f>AVERAGE(G3:G12)</f>
        <v>204.50971151469341</v>
      </c>
      <c r="I13">
        <f>AVERAGE(I3:I12)</f>
        <v>58.362634463974175</v>
      </c>
    </row>
    <row r="14" spans="1:27">
      <c r="A14" t="s">
        <v>21</v>
      </c>
    </row>
    <row r="15" spans="1:27">
      <c r="A15" s="1" t="s">
        <v>19</v>
      </c>
      <c r="B15" s="1" t="s">
        <v>44</v>
      </c>
      <c r="C15" s="1"/>
      <c r="D15" s="1" t="s">
        <v>45</v>
      </c>
      <c r="E15" s="1"/>
      <c r="F15" s="1" t="s">
        <v>7</v>
      </c>
      <c r="G15" s="1"/>
      <c r="H15" s="1"/>
      <c r="I15" s="1" t="s">
        <v>44</v>
      </c>
      <c r="J15" s="1"/>
      <c r="Q15" s="1"/>
      <c r="R15" s="1">
        <v>200000000</v>
      </c>
      <c r="S15" s="1" t="s">
        <v>46</v>
      </c>
      <c r="T15" s="1"/>
      <c r="U15" s="1"/>
    </row>
    <row r="16" spans="1:27">
      <c r="A16" s="1">
        <v>2024</v>
      </c>
      <c r="B16" s="2">
        <v>0.49844741357234101</v>
      </c>
      <c r="C16" s="2">
        <f>B3-B16</f>
        <v>2.0681582149628674E-6</v>
      </c>
      <c r="D16" s="2">
        <v>0.10964604034815301</v>
      </c>
      <c r="E16" s="1">
        <f>D3-D16</f>
        <v>-3.8434085421500119E-4</v>
      </c>
      <c r="F16" s="1">
        <v>285.60168473927001</v>
      </c>
      <c r="G16" s="1">
        <f t="shared" ref="G16:G25" si="5">F16/10</f>
        <v>28.560168473927</v>
      </c>
      <c r="H16" s="1">
        <f>G3-F16</f>
        <v>-4.9679027961250313</v>
      </c>
      <c r="I16" s="1">
        <v>79.065657999628002</v>
      </c>
      <c r="J16" s="1">
        <f t="shared" ref="J16:J25" si="6">I3-I16</f>
        <v>0.31182620160799956</v>
      </c>
      <c r="Q16" s="2">
        <v>0.1</v>
      </c>
      <c r="R16" s="1">
        <v>8879505.5331690013</v>
      </c>
      <c r="S16" s="1">
        <f t="shared" ref="S16:S25" si="7">$R$15*Q16</f>
        <v>20000000</v>
      </c>
      <c r="T16" s="1">
        <v>44414305.567090496</v>
      </c>
      <c r="U16" s="1">
        <v>45524330.3675704</v>
      </c>
    </row>
    <row r="17" spans="1:21">
      <c r="A17" s="1">
        <v>2025</v>
      </c>
      <c r="B17" s="2">
        <v>0.498375912358967</v>
      </c>
      <c r="C17" s="2">
        <f t="shared" ref="C17:E25" si="8">B4-B17</f>
        <v>-1.1991092196360076E-3</v>
      </c>
      <c r="D17" s="2">
        <v>0.103157467983894</v>
      </c>
      <c r="E17" s="1">
        <f t="shared" si="8"/>
        <v>-9.8625754287799683E-4</v>
      </c>
      <c r="F17" s="1">
        <v>215.653339022572</v>
      </c>
      <c r="G17" s="1">
        <f t="shared" si="5"/>
        <v>21.565333902257201</v>
      </c>
      <c r="H17" s="1">
        <f>-(G4-F17)</f>
        <v>-6.9960413048800092</v>
      </c>
      <c r="I17" s="1">
        <v>67.099134593035004</v>
      </c>
      <c r="J17" s="1">
        <f t="shared" si="6"/>
        <v>-2.9683900789676017</v>
      </c>
      <c r="Q17" s="2">
        <v>0.2</v>
      </c>
      <c r="R17" s="1">
        <v>30182591.355805397</v>
      </c>
      <c r="S17" s="1">
        <f t="shared" si="7"/>
        <v>40000000</v>
      </c>
      <c r="T17" s="1">
        <v>66811575.011730798</v>
      </c>
      <c r="U17" s="1">
        <v>61537230.161014497</v>
      </c>
    </row>
    <row r="18" spans="1:21">
      <c r="A18" s="1">
        <v>2026</v>
      </c>
      <c r="B18" s="2">
        <v>0.23100670364453199</v>
      </c>
      <c r="C18" s="2">
        <f t="shared" si="8"/>
        <v>-1.0359328918418981E-2</v>
      </c>
      <c r="D18" s="2">
        <v>0.103323607086773</v>
      </c>
      <c r="E18" s="1">
        <f t="shared" si="8"/>
        <v>-3.13471212907801E-3</v>
      </c>
      <c r="F18" s="1">
        <v>205.15912519056599</v>
      </c>
      <c r="G18" s="1">
        <f t="shared" si="5"/>
        <v>20.515912519056599</v>
      </c>
      <c r="H18" s="1">
        <f>-(G5-F18)</f>
        <v>-10.975248735872015</v>
      </c>
      <c r="I18" s="1">
        <v>59.745447040798503</v>
      </c>
      <c r="J18" s="1">
        <f t="shared" si="6"/>
        <v>-1.0885035041582043</v>
      </c>
      <c r="Q18" s="2">
        <v>0.3</v>
      </c>
      <c r="R18" s="1">
        <v>89760707.355831102</v>
      </c>
      <c r="S18" s="1">
        <f t="shared" si="7"/>
        <v>60000000</v>
      </c>
      <c r="T18" s="1">
        <v>82606727.438309193</v>
      </c>
      <c r="U18" s="1">
        <v>81819736.532102197</v>
      </c>
    </row>
    <row r="19" spans="1:21">
      <c r="A19" s="1">
        <v>2027</v>
      </c>
      <c r="B19" s="2">
        <v>0.18409246345636701</v>
      </c>
      <c r="C19" s="2">
        <f>-(B6-B19)</f>
        <v>-6.0080000391438987E-2</v>
      </c>
      <c r="D19" s="2">
        <v>0.103813754902955</v>
      </c>
      <c r="E19" s="1">
        <f t="shared" si="8"/>
        <v>4.9083797422455E-2</v>
      </c>
      <c r="F19" s="1">
        <v>210.45117552782901</v>
      </c>
      <c r="G19" s="1">
        <f t="shared" si="5"/>
        <v>21.045117552782902</v>
      </c>
      <c r="H19" s="1">
        <f>G6-F19</f>
        <v>-4.5263079749400106</v>
      </c>
      <c r="I19" s="1">
        <v>60.370092446923202</v>
      </c>
      <c r="J19" s="1">
        <f t="shared" si="6"/>
        <v>-2.1454707074265045</v>
      </c>
      <c r="Q19" s="2">
        <v>0.4</v>
      </c>
      <c r="R19" s="1">
        <v>203788353.459279</v>
      </c>
      <c r="S19" s="1">
        <f t="shared" si="7"/>
        <v>80000000</v>
      </c>
      <c r="T19" s="1">
        <v>81642070.221723706</v>
      </c>
      <c r="U19" s="1">
        <v>85067920.898580998</v>
      </c>
    </row>
    <row r="20" spans="1:21">
      <c r="A20" s="1">
        <v>2028</v>
      </c>
      <c r="B20" s="2">
        <v>0.13690080352655601</v>
      </c>
      <c r="C20" s="2">
        <f t="shared" si="8"/>
        <v>4.0862539302079781E-3</v>
      </c>
      <c r="D20" s="2">
        <v>0.10233119275236199</v>
      </c>
      <c r="E20" s="1">
        <f t="shared" si="8"/>
        <v>4.9952020175385997E-2</v>
      </c>
      <c r="F20" s="1">
        <v>200.461549326903</v>
      </c>
      <c r="G20" s="1">
        <f t="shared" si="5"/>
        <v>20.0461549326903</v>
      </c>
      <c r="H20" s="1">
        <f>G7-F20</f>
        <v>1.9393851479439945</v>
      </c>
      <c r="I20" s="1">
        <v>59.296594601667302</v>
      </c>
      <c r="J20" s="1">
        <f t="shared" si="6"/>
        <v>-2.3283680984324988</v>
      </c>
      <c r="Q20" s="2">
        <v>0.5</v>
      </c>
      <c r="R20" s="1">
        <v>235152076.25775599</v>
      </c>
      <c r="S20" s="1">
        <f t="shared" si="7"/>
        <v>100000000</v>
      </c>
      <c r="T20" s="1">
        <v>60306525.653771996</v>
      </c>
      <c r="U20" s="1">
        <v>65496431.014949404</v>
      </c>
    </row>
    <row r="21" spans="1:21">
      <c r="A21" s="1">
        <v>2029</v>
      </c>
      <c r="B21" s="2">
        <v>0.19789336021745499</v>
      </c>
      <c r="C21" s="2">
        <f t="shared" si="8"/>
        <v>-4.8621237835245995E-2</v>
      </c>
      <c r="D21" s="2">
        <v>0.15807082361695601</v>
      </c>
      <c r="E21" s="1">
        <f t="shared" si="8"/>
        <v>-1.3083948912553017E-2</v>
      </c>
      <c r="F21" s="1">
        <v>189.07293034190599</v>
      </c>
      <c r="G21" s="1">
        <f t="shared" si="5"/>
        <v>18.907293034190598</v>
      </c>
      <c r="H21" s="1">
        <f>G8-F21</f>
        <v>19.435902185097007</v>
      </c>
      <c r="I21" s="1">
        <v>52.256763390728104</v>
      </c>
      <c r="J21" s="1">
        <f t="shared" si="6"/>
        <v>-2.3914707084447002</v>
      </c>
      <c r="Q21" s="2">
        <v>0.6</v>
      </c>
      <c r="R21" s="1">
        <v>161216038.00301212</v>
      </c>
      <c r="S21" s="1">
        <f t="shared" si="7"/>
        <v>120000000</v>
      </c>
      <c r="T21" s="1">
        <v>36517850.750442602</v>
      </c>
      <c r="U21" s="1">
        <v>37038913.059402503</v>
      </c>
    </row>
    <row r="22" spans="1:21">
      <c r="A22" s="1">
        <v>2030</v>
      </c>
      <c r="B22" s="2">
        <v>0.172280163193054</v>
      </c>
      <c r="C22" s="2">
        <f t="shared" si="8"/>
        <v>-3.8611487333547995E-2</v>
      </c>
      <c r="D22" s="2">
        <v>0.153324460848733</v>
      </c>
      <c r="E22" s="1">
        <f t="shared" si="8"/>
        <v>-3.1560802730180026E-3</v>
      </c>
      <c r="F22" s="1">
        <v>189.33512768253601</v>
      </c>
      <c r="G22" s="1">
        <f t="shared" si="5"/>
        <v>18.9335127682536</v>
      </c>
      <c r="H22" s="1">
        <f>-(G9-F22)</f>
        <v>-11.221921094099002</v>
      </c>
      <c r="I22" s="1">
        <v>50.742446100223503</v>
      </c>
      <c r="J22" s="1">
        <f t="shared" si="6"/>
        <v>-1.0161597742406059</v>
      </c>
      <c r="Q22" s="2">
        <v>0.7</v>
      </c>
      <c r="R22" s="1">
        <v>62214742.402608201</v>
      </c>
      <c r="S22" s="1">
        <f t="shared" si="7"/>
        <v>140000000</v>
      </c>
      <c r="T22" s="1">
        <v>21078922.057684802</v>
      </c>
      <c r="U22" s="1">
        <v>13009372.7555911</v>
      </c>
    </row>
    <row r="23" spans="1:21">
      <c r="A23" s="1">
        <v>2031</v>
      </c>
      <c r="B23" s="2">
        <v>0.10902693418010299</v>
      </c>
      <c r="C23" s="2">
        <f t="shared" si="8"/>
        <v>-1.5203198096048989E-2</v>
      </c>
      <c r="D23" s="2">
        <v>0.139028604740522</v>
      </c>
      <c r="E23" s="1">
        <f>-(D10-D23)</f>
        <v>3.7253152842359999E-2</v>
      </c>
      <c r="F23" s="1">
        <v>170.99708975215299</v>
      </c>
      <c r="G23" s="1">
        <f t="shared" si="5"/>
        <v>17.0997089752153</v>
      </c>
      <c r="H23" s="1">
        <f>G10-F23</f>
        <v>27.881999615497023</v>
      </c>
      <c r="I23" s="1">
        <v>56.109687849666102</v>
      </c>
      <c r="J23" s="1">
        <f t="shared" si="6"/>
        <v>-2.6864781447794002</v>
      </c>
      <c r="Q23" s="2">
        <v>0.8</v>
      </c>
      <c r="R23" s="1">
        <v>9340317.0287164394</v>
      </c>
      <c r="S23" s="1">
        <f t="shared" si="7"/>
        <v>160000000</v>
      </c>
      <c r="T23" s="1">
        <v>5059947.0102394996</v>
      </c>
      <c r="U23" s="1">
        <v>6187547.6203233004</v>
      </c>
    </row>
    <row r="24" spans="1:21">
      <c r="A24" s="1">
        <v>2032</v>
      </c>
      <c r="B24" s="2">
        <v>0.112450638863101</v>
      </c>
      <c r="C24" s="2">
        <f t="shared" si="8"/>
        <v>-8.8541780849519941E-3</v>
      </c>
      <c r="D24" s="2">
        <v>0.13749065364747901</v>
      </c>
      <c r="E24" s="1">
        <f>-(D11-D24)</f>
        <v>3.5365713521407008E-2</v>
      </c>
      <c r="F24" s="1">
        <v>175.06240175630501</v>
      </c>
      <c r="G24" s="1">
        <f t="shared" si="5"/>
        <v>17.506240175630502</v>
      </c>
      <c r="H24" s="1">
        <f>G11-F24</f>
        <v>-21.424980826485012</v>
      </c>
      <c r="I24" s="1">
        <v>55.847427134450797</v>
      </c>
      <c r="J24" s="1">
        <f t="shared" si="6"/>
        <v>3.2093824654146061</v>
      </c>
      <c r="Q24" s="2">
        <v>0.9</v>
      </c>
      <c r="R24" s="1">
        <v>430251.140317716</v>
      </c>
      <c r="S24" s="1">
        <f t="shared" si="7"/>
        <v>180000000</v>
      </c>
      <c r="T24" s="1">
        <v>1161217.8110633099</v>
      </c>
      <c r="U24" s="1">
        <v>1451617.09733532</v>
      </c>
    </row>
    <row r="25" spans="1:21">
      <c r="A25" s="1">
        <v>2033</v>
      </c>
      <c r="B25" s="2">
        <v>0.110062884123733</v>
      </c>
      <c r="C25" s="2">
        <f>-(B12-B25)</f>
        <v>-2.2806738178715008E-2</v>
      </c>
      <c r="D25" s="2">
        <v>0.13131907524816899</v>
      </c>
      <c r="E25" s="1">
        <f t="shared" si="8"/>
        <v>-2.8274489511615999E-2</v>
      </c>
      <c r="F25" s="1">
        <v>166.068886576984</v>
      </c>
      <c r="G25" s="1">
        <f t="shared" si="5"/>
        <v>16.606888657698399</v>
      </c>
      <c r="H25" s="1">
        <f>G12-F25</f>
        <v>-10.297501255929006</v>
      </c>
      <c r="I25" s="1">
        <v>56.678740151104002</v>
      </c>
      <c r="J25" s="1">
        <f t="shared" si="6"/>
        <v>-2.4820143190557999</v>
      </c>
      <c r="Q25" s="2">
        <v>1</v>
      </c>
      <c r="R25" s="1">
        <v>367717.75936649297</v>
      </c>
      <c r="S25" s="1">
        <f t="shared" si="7"/>
        <v>200000000</v>
      </c>
      <c r="T25" s="1">
        <v>293771.31831189903</v>
      </c>
      <c r="U25" s="1">
        <v>554123.953211218</v>
      </c>
    </row>
    <row r="26" spans="1:21">
      <c r="A26" t="s">
        <v>20</v>
      </c>
      <c r="B26">
        <f>AVERAGE(B16:B25)</f>
        <v>0.22505372771362092</v>
      </c>
      <c r="D26">
        <f>AVERAGE(D16:D25)</f>
        <v>0.12415056811759959</v>
      </c>
      <c r="F26">
        <f>AVERAGE(F16:F25)</f>
        <v>200.78633099170241</v>
      </c>
      <c r="I26">
        <f>AVERAGE(I16:I25)</f>
        <v>59.721199130822448</v>
      </c>
    </row>
    <row r="27" spans="1:21">
      <c r="A27" s="1" t="s">
        <v>19</v>
      </c>
      <c r="B27" s="1" t="s">
        <v>47</v>
      </c>
      <c r="C27" s="1"/>
      <c r="D27" s="1" t="s">
        <v>48</v>
      </c>
      <c r="E27" s="1"/>
      <c r="F27" s="1" t="s">
        <v>7</v>
      </c>
      <c r="G27" s="1"/>
      <c r="H27" s="1"/>
      <c r="I27" s="1" t="s">
        <v>6</v>
      </c>
      <c r="J27" s="1"/>
    </row>
    <row r="28" spans="1:21">
      <c r="A28" s="1">
        <v>2024</v>
      </c>
      <c r="B28" s="2">
        <v>0.49845060884667203</v>
      </c>
      <c r="C28" s="1">
        <f>B3-B28</f>
        <v>-1.1271161160508747E-6</v>
      </c>
      <c r="D28" s="2">
        <v>0.108898152444597</v>
      </c>
      <c r="E28" s="1">
        <f>D3-D28</f>
        <v>3.6354704934100923E-4</v>
      </c>
      <c r="F28" s="1">
        <v>275.34218896180198</v>
      </c>
      <c r="G28" s="1">
        <f t="shared" ref="G28:G37" si="9">F28/10</f>
        <v>27.534218896180199</v>
      </c>
      <c r="H28" s="1">
        <f t="shared" ref="H28:H37" si="10">G3-F28</f>
        <v>5.2915929813430012</v>
      </c>
      <c r="I28" s="1">
        <v>79.7090820387549</v>
      </c>
      <c r="J28" s="1">
        <f t="shared" ref="J28:J37" si="11">I3-I28</f>
        <v>-0.33159783751889904</v>
      </c>
    </row>
    <row r="29" spans="1:21">
      <c r="A29" s="1">
        <v>2025</v>
      </c>
      <c r="B29" s="2">
        <v>0.49841677979478299</v>
      </c>
      <c r="C29" s="1">
        <f t="shared" ref="C29:E37" si="12">B4-B29</f>
        <v>-1.239976655452002E-3</v>
      </c>
      <c r="D29" s="2">
        <v>0.104279245214443</v>
      </c>
      <c r="E29" s="1">
        <f t="shared" si="12"/>
        <v>-2.1080347734269977E-3</v>
      </c>
      <c r="F29" s="1">
        <v>238.700478544926</v>
      </c>
      <c r="G29" s="1">
        <f t="shared" si="9"/>
        <v>23.870047854492601</v>
      </c>
      <c r="H29" s="1">
        <f t="shared" si="10"/>
        <v>-16.051098217473992</v>
      </c>
      <c r="I29" s="1">
        <v>67.981145899950803</v>
      </c>
      <c r="J29" s="1">
        <f t="shared" si="11"/>
        <v>-3.8504013858834014</v>
      </c>
    </row>
    <row r="30" spans="1:21">
      <c r="A30" s="1">
        <v>2026</v>
      </c>
      <c r="B30" s="2">
        <v>0.49768667889717799</v>
      </c>
      <c r="C30" s="1">
        <f t="shared" si="12"/>
        <v>-0.27703930417106498</v>
      </c>
      <c r="D30" s="2">
        <v>0.105575231760886</v>
      </c>
      <c r="E30" s="1">
        <f t="shared" si="12"/>
        <v>-5.3863368031910053E-3</v>
      </c>
      <c r="F30" s="1">
        <v>276.08173103520801</v>
      </c>
      <c r="G30" s="1">
        <f t="shared" si="9"/>
        <v>27.608173103520802</v>
      </c>
      <c r="H30" s="1">
        <f t="shared" si="10"/>
        <v>-59.947357108770007</v>
      </c>
      <c r="I30" s="1">
        <v>51.928905975352997</v>
      </c>
      <c r="J30" s="1">
        <f t="shared" si="11"/>
        <v>6.7280375612873016</v>
      </c>
    </row>
    <row r="31" spans="1:21">
      <c r="A31" s="1">
        <v>2027</v>
      </c>
      <c r="B31" s="2">
        <v>0.49037331383228899</v>
      </c>
      <c r="C31" s="1">
        <f t="shared" si="12"/>
        <v>-0.24620084998448299</v>
      </c>
      <c r="D31" s="2">
        <v>0.101931094984976</v>
      </c>
      <c r="E31" s="1">
        <f t="shared" si="12"/>
        <v>5.0966457340433993E-2</v>
      </c>
      <c r="F31" s="1">
        <v>225.286744148465</v>
      </c>
      <c r="G31" s="1">
        <f t="shared" si="9"/>
        <v>22.528674414846499</v>
      </c>
      <c r="H31" s="1">
        <f t="shared" si="10"/>
        <v>-19.361876595576007</v>
      </c>
      <c r="I31" s="1">
        <v>54.459018571335903</v>
      </c>
      <c r="J31" s="1">
        <f t="shared" si="11"/>
        <v>3.7656031681607942</v>
      </c>
    </row>
    <row r="32" spans="1:21">
      <c r="A32" s="1">
        <v>2028</v>
      </c>
      <c r="B32" s="2">
        <v>0.211730458123843</v>
      </c>
      <c r="C32" s="1">
        <f>(B7-B32)</f>
        <v>-7.0743400667079015E-2</v>
      </c>
      <c r="D32" s="2">
        <v>0.159827176329633</v>
      </c>
      <c r="E32" s="1">
        <f>-(D7-D32)</f>
        <v>7.5439634018850121E-3</v>
      </c>
      <c r="F32" s="1">
        <v>219.58322503333201</v>
      </c>
      <c r="G32" s="1">
        <f t="shared" si="9"/>
        <v>21.9583225033332</v>
      </c>
      <c r="H32" s="1">
        <f t="shared" si="10"/>
        <v>-17.182290558485022</v>
      </c>
      <c r="I32" s="1">
        <v>53.286923569682699</v>
      </c>
      <c r="J32" s="1">
        <f t="shared" si="11"/>
        <v>3.6813029335521037</v>
      </c>
    </row>
    <row r="33" spans="1:12">
      <c r="A33" s="1">
        <v>2029</v>
      </c>
      <c r="B33" s="2">
        <v>0.25679195992188297</v>
      </c>
      <c r="C33" s="1">
        <f t="shared" si="12"/>
        <v>-0.10751983753967398</v>
      </c>
      <c r="D33" s="2">
        <v>0.15657572531585001</v>
      </c>
      <c r="E33" s="1">
        <f t="shared" si="12"/>
        <v>-1.1588850611447016E-2</v>
      </c>
      <c r="F33" s="1">
        <v>194.24057092728</v>
      </c>
      <c r="G33" s="1">
        <f t="shared" si="9"/>
        <v>19.424057092727999</v>
      </c>
      <c r="H33" s="1">
        <f t="shared" si="10"/>
        <v>14.26826159972299</v>
      </c>
      <c r="I33" s="1">
        <v>50.626509611356802</v>
      </c>
      <c r="J33" s="1">
        <f t="shared" si="11"/>
        <v>-0.76121692907339877</v>
      </c>
    </row>
    <row r="34" spans="1:12">
      <c r="A34" s="1">
        <v>2030</v>
      </c>
      <c r="B34" s="2">
        <v>0.18905469797736699</v>
      </c>
      <c r="C34" s="1">
        <f t="shared" si="12"/>
        <v>-5.5386022117860978E-2</v>
      </c>
      <c r="D34" s="2">
        <v>0.149824709379832</v>
      </c>
      <c r="E34" s="1">
        <f t="shared" si="12"/>
        <v>3.4367119588299411E-4</v>
      </c>
      <c r="F34" s="1">
        <v>204.62022898036801</v>
      </c>
      <c r="G34" s="1">
        <f t="shared" si="9"/>
        <v>20.4620228980368</v>
      </c>
      <c r="H34" s="1">
        <f t="shared" si="10"/>
        <v>-4.0631802037329976</v>
      </c>
      <c r="I34" s="1">
        <v>47.240228013002699</v>
      </c>
      <c r="J34" s="1">
        <f t="shared" si="11"/>
        <v>2.4860583129801981</v>
      </c>
    </row>
    <row r="35" spans="1:12">
      <c r="A35" s="1">
        <v>2031</v>
      </c>
      <c r="B35" s="2">
        <v>0.197544501683936</v>
      </c>
      <c r="C35" s="1">
        <f t="shared" si="12"/>
        <v>-0.103720765599882</v>
      </c>
      <c r="D35" s="2">
        <v>0.100626613192683</v>
      </c>
      <c r="E35" s="1">
        <f t="shared" si="12"/>
        <v>1.1488387054790078E-3</v>
      </c>
      <c r="F35" s="1">
        <v>172.36338601098601</v>
      </c>
      <c r="G35" s="1">
        <f t="shared" si="9"/>
        <v>17.236338601098602</v>
      </c>
      <c r="H35" s="1">
        <f t="shared" si="10"/>
        <v>26.515703356664005</v>
      </c>
      <c r="I35" s="1">
        <v>50.814307391983</v>
      </c>
      <c r="J35" s="1">
        <f t="shared" si="11"/>
        <v>2.6089023129037017</v>
      </c>
    </row>
    <row r="36" spans="1:12">
      <c r="A36" s="1">
        <v>2032</v>
      </c>
      <c r="B36" s="2">
        <v>0.200030727510879</v>
      </c>
      <c r="C36" s="1">
        <f t="shared" si="12"/>
        <v>-9.6434266732729992E-2</v>
      </c>
      <c r="D36" s="2">
        <v>0.10077673979</v>
      </c>
      <c r="E36" s="1">
        <f t="shared" si="12"/>
        <v>1.3482003360719974E-3</v>
      </c>
      <c r="F36" s="1">
        <v>171.08772571149399</v>
      </c>
      <c r="G36" s="1">
        <f t="shared" si="9"/>
        <v>17.108772571149398</v>
      </c>
      <c r="H36" s="1">
        <f t="shared" si="10"/>
        <v>-17.450304781673992</v>
      </c>
      <c r="I36" s="1">
        <v>51.978841905368697</v>
      </c>
      <c r="J36" s="1">
        <f t="shared" si="11"/>
        <v>7.0779676944967065</v>
      </c>
    </row>
    <row r="37" spans="1:12">
      <c r="A37" s="1">
        <v>2033</v>
      </c>
      <c r="B37" s="2">
        <v>0.19940111203640501</v>
      </c>
      <c r="C37" s="1">
        <f t="shared" si="12"/>
        <v>-6.6531489733957005E-2</v>
      </c>
      <c r="D37" s="2">
        <v>0.100782625285469</v>
      </c>
      <c r="E37" s="1">
        <f t="shared" si="12"/>
        <v>2.2619604510839969E-3</v>
      </c>
      <c r="F37" s="1">
        <v>169.52238697892199</v>
      </c>
      <c r="G37" s="1">
        <f t="shared" si="9"/>
        <v>16.952238697892199</v>
      </c>
      <c r="H37" s="1">
        <f t="shared" si="10"/>
        <v>-13.751001657866993</v>
      </c>
      <c r="I37" s="1">
        <v>51.107598569427502</v>
      </c>
      <c r="J37" s="1">
        <f t="shared" si="11"/>
        <v>3.0891272626206998</v>
      </c>
    </row>
    <row r="38" spans="1:12">
      <c r="B38">
        <f>AVERAGE(B28:B37)</f>
        <v>0.32394808386252349</v>
      </c>
      <c r="D38">
        <f>AVERAGE(D28:D37)</f>
        <v>0.11890973136983689</v>
      </c>
      <c r="F38">
        <f>AVERAGE(F28:F37)</f>
        <v>214.68286663327825</v>
      </c>
      <c r="I38">
        <f>AVERAGE(I28:I37)</f>
        <v>55.913256154621607</v>
      </c>
    </row>
    <row r="40" spans="1:12">
      <c r="A40" s="1" t="s">
        <v>19</v>
      </c>
      <c r="B40" s="1" t="s">
        <v>49</v>
      </c>
      <c r="C40" s="1" t="s">
        <v>50</v>
      </c>
      <c r="D40" s="1" t="s">
        <v>51</v>
      </c>
      <c r="E40" s="1" t="s">
        <v>52</v>
      </c>
      <c r="F40" s="1" t="s">
        <v>53</v>
      </c>
      <c r="G40" s="1" t="s">
        <v>54</v>
      </c>
      <c r="H40" s="1"/>
      <c r="I40" s="21" t="s">
        <v>55</v>
      </c>
      <c r="J40" s="21" t="s">
        <v>56</v>
      </c>
      <c r="K40" s="1" t="s">
        <v>57</v>
      </c>
      <c r="L40" s="1"/>
    </row>
    <row r="41" spans="1:12">
      <c r="A41" s="1">
        <v>2024</v>
      </c>
      <c r="B41" s="2">
        <v>0.176289715687693</v>
      </c>
      <c r="C41" s="2">
        <v>0.16761003765310101</v>
      </c>
      <c r="D41" s="1">
        <v>264.21535127643199</v>
      </c>
      <c r="E41" s="1">
        <v>73.013864869431401</v>
      </c>
      <c r="F41" s="1">
        <v>0.1</v>
      </c>
      <c r="G41" s="1">
        <f>B41*100</f>
        <v>17.628971568769298</v>
      </c>
      <c r="H41" s="1">
        <v>128.1</v>
      </c>
      <c r="I41" s="1">
        <v>128.1</v>
      </c>
      <c r="J41" s="1">
        <v>29</v>
      </c>
      <c r="K41" s="1">
        <f>D41/10</f>
        <v>26.4215351276432</v>
      </c>
      <c r="L41" s="1">
        <f>C41*100</f>
        <v>16.7610037653101</v>
      </c>
    </row>
    <row r="42" spans="1:12">
      <c r="A42" s="1">
        <v>2025</v>
      </c>
      <c r="B42" s="2">
        <v>0.21420339014591999</v>
      </c>
      <c r="C42" s="2">
        <v>0.151964745993244</v>
      </c>
      <c r="D42" s="1">
        <v>196.48527945225999</v>
      </c>
      <c r="E42" s="1">
        <v>63.676748555312301</v>
      </c>
      <c r="F42" s="1">
        <v>0.2</v>
      </c>
      <c r="G42" s="1">
        <f t="shared" ref="G42:G50" si="13">B42*100</f>
        <v>21.420339014591999</v>
      </c>
      <c r="H42" s="1">
        <v>121</v>
      </c>
      <c r="I42" s="1">
        <f>H42</f>
        <v>121</v>
      </c>
      <c r="J42" s="1">
        <v>31</v>
      </c>
      <c r="K42" s="1">
        <f t="shared" ref="K42:K50" si="14">D42/10</f>
        <v>19.648527945226</v>
      </c>
      <c r="L42" s="1">
        <f t="shared" ref="L42:L50" si="15">C42*100</f>
        <v>15.1964745993244</v>
      </c>
    </row>
    <row r="43" spans="1:12">
      <c r="A43" s="1">
        <v>2026</v>
      </c>
      <c r="B43" s="2">
        <v>0.241860306385415</v>
      </c>
      <c r="C43" s="2">
        <v>0.14814344931881601</v>
      </c>
      <c r="D43" s="1">
        <v>193.48580887637399</v>
      </c>
      <c r="E43" s="1">
        <v>59.193475635146299</v>
      </c>
      <c r="F43" s="1">
        <v>0.3</v>
      </c>
      <c r="G43" s="1">
        <f t="shared" si="13"/>
        <v>24.186030638541499</v>
      </c>
      <c r="H43" s="1">
        <v>124</v>
      </c>
      <c r="I43" s="1">
        <f t="shared" ref="I43:I50" si="16">H43</f>
        <v>124</v>
      </c>
      <c r="J43" s="1">
        <v>32</v>
      </c>
      <c r="K43" s="1">
        <f t="shared" si="14"/>
        <v>19.3485808876374</v>
      </c>
      <c r="L43" s="1">
        <f t="shared" si="15"/>
        <v>14.814344931881601</v>
      </c>
    </row>
    <row r="44" spans="1:12">
      <c r="A44" s="1">
        <v>2027</v>
      </c>
      <c r="B44" s="2">
        <v>0.248418878181977</v>
      </c>
      <c r="C44" s="2">
        <v>0.16870507839136401</v>
      </c>
      <c r="D44" s="1">
        <v>212.22624162706799</v>
      </c>
      <c r="E44" s="1">
        <v>56.522386462861903</v>
      </c>
      <c r="F44" s="1">
        <v>0.4</v>
      </c>
      <c r="G44" s="1">
        <f t="shared" si="13"/>
        <v>24.841887818197701</v>
      </c>
      <c r="H44" s="22">
        <v>131</v>
      </c>
      <c r="I44" s="1">
        <f t="shared" si="16"/>
        <v>131</v>
      </c>
      <c r="J44" s="1">
        <v>33</v>
      </c>
      <c r="K44" s="1">
        <f t="shared" si="14"/>
        <v>21.222624162706801</v>
      </c>
      <c r="L44" s="1">
        <f t="shared" si="15"/>
        <v>16.870507839136401</v>
      </c>
    </row>
    <row r="45" spans="1:12">
      <c r="A45" s="1">
        <v>2028</v>
      </c>
      <c r="B45" s="2">
        <v>0.158649634044738</v>
      </c>
      <c r="C45" s="2">
        <v>0.150842969756741</v>
      </c>
      <c r="D45" s="1">
        <v>197.58649923432301</v>
      </c>
      <c r="E45" s="1">
        <v>57.313747222372697</v>
      </c>
      <c r="F45" s="1">
        <v>0.5</v>
      </c>
      <c r="G45" s="1">
        <f t="shared" si="13"/>
        <v>15.8649634044738</v>
      </c>
      <c r="H45" s="23">
        <v>131</v>
      </c>
      <c r="I45" s="1">
        <f t="shared" si="16"/>
        <v>131</v>
      </c>
      <c r="J45" s="1">
        <v>34</v>
      </c>
      <c r="K45" s="1">
        <f t="shared" si="14"/>
        <v>19.758649923432301</v>
      </c>
      <c r="L45" s="1">
        <f t="shared" si="15"/>
        <v>15.0842969756741</v>
      </c>
    </row>
    <row r="46" spans="1:12">
      <c r="A46" s="1">
        <v>2029</v>
      </c>
      <c r="B46" s="2">
        <v>0.17842734907492799</v>
      </c>
      <c r="C46" s="2">
        <v>0.14113992826310201</v>
      </c>
      <c r="D46" s="1">
        <v>196.02804997825501</v>
      </c>
      <c r="E46" s="1">
        <v>51.556216756283199</v>
      </c>
      <c r="F46" s="1">
        <v>0.6</v>
      </c>
      <c r="G46" s="1">
        <f t="shared" si="13"/>
        <v>17.842734907492801</v>
      </c>
      <c r="H46" s="1">
        <v>128</v>
      </c>
      <c r="I46" s="1">
        <f t="shared" si="16"/>
        <v>128</v>
      </c>
      <c r="J46" s="1">
        <v>35</v>
      </c>
      <c r="K46" s="1">
        <f t="shared" si="14"/>
        <v>19.602804997825501</v>
      </c>
      <c r="L46" s="1">
        <f t="shared" si="15"/>
        <v>14.1139928263102</v>
      </c>
    </row>
    <row r="47" spans="1:12">
      <c r="A47" s="1">
        <v>2030</v>
      </c>
      <c r="B47" s="2">
        <v>0.16390875721508799</v>
      </c>
      <c r="C47" s="2">
        <v>0.148320250162707</v>
      </c>
      <c r="D47" s="1">
        <v>250.01761350515801</v>
      </c>
      <c r="E47" s="1">
        <v>42.522169436034503</v>
      </c>
      <c r="F47" s="1">
        <v>0.7</v>
      </c>
      <c r="G47" s="1">
        <f t="shared" si="13"/>
        <v>16.390875721508799</v>
      </c>
      <c r="H47" s="1">
        <v>128</v>
      </c>
      <c r="I47" s="1">
        <f t="shared" si="16"/>
        <v>128</v>
      </c>
      <c r="J47" s="1">
        <v>36</v>
      </c>
      <c r="K47" s="1">
        <f t="shared" si="14"/>
        <v>25.0017613505158</v>
      </c>
      <c r="L47" s="1">
        <f t="shared" si="15"/>
        <v>14.8320250162707</v>
      </c>
    </row>
    <row r="48" spans="1:12">
      <c r="A48" s="1">
        <v>2031</v>
      </c>
      <c r="B48" s="2">
        <v>5.8906778184586797E-2</v>
      </c>
      <c r="C48" s="2">
        <v>0.153538136747014</v>
      </c>
      <c r="D48" s="1">
        <v>177.119110158529</v>
      </c>
      <c r="E48" s="1">
        <v>55.077778801552903</v>
      </c>
      <c r="F48" s="1">
        <v>0.8</v>
      </c>
      <c r="G48" s="1">
        <f t="shared" si="13"/>
        <v>5.8906778184586797</v>
      </c>
      <c r="H48" s="1">
        <v>128</v>
      </c>
      <c r="I48" s="1">
        <f t="shared" si="16"/>
        <v>128</v>
      </c>
      <c r="J48" s="1">
        <v>36</v>
      </c>
      <c r="K48" s="1">
        <f t="shared" si="14"/>
        <v>17.711911015852898</v>
      </c>
      <c r="L48" s="1">
        <f t="shared" si="15"/>
        <v>15.353813674701399</v>
      </c>
    </row>
    <row r="49" spans="1:12">
      <c r="A49" s="1">
        <v>2032</v>
      </c>
      <c r="B49" s="2">
        <v>5.0137643375966698E-2</v>
      </c>
      <c r="C49" s="2">
        <v>0.15243189042840299</v>
      </c>
      <c r="D49" s="1">
        <v>203.10203799105901</v>
      </c>
      <c r="E49" s="1">
        <v>56.30018377191</v>
      </c>
      <c r="F49" s="1">
        <v>0.9</v>
      </c>
      <c r="G49" s="1">
        <f t="shared" si="13"/>
        <v>5.0137643375966698</v>
      </c>
      <c r="H49" s="1">
        <v>130</v>
      </c>
      <c r="I49" s="1">
        <f t="shared" si="16"/>
        <v>130</v>
      </c>
      <c r="J49" s="1">
        <v>36</v>
      </c>
      <c r="K49" s="1">
        <f t="shared" si="14"/>
        <v>20.310203799105899</v>
      </c>
      <c r="L49" s="1">
        <f t="shared" si="15"/>
        <v>15.243189042840299</v>
      </c>
    </row>
    <row r="50" spans="1:12">
      <c r="A50" s="1">
        <v>2033</v>
      </c>
      <c r="B50" s="2">
        <v>5.0434800324185097E-2</v>
      </c>
      <c r="C50" s="2">
        <v>0.15757150775576301</v>
      </c>
      <c r="D50" s="1">
        <v>155.711357091004</v>
      </c>
      <c r="E50" s="1">
        <v>62.6384537848406</v>
      </c>
      <c r="F50" s="1">
        <v>1</v>
      </c>
      <c r="G50" s="1">
        <f t="shared" si="13"/>
        <v>5.0434800324185094</v>
      </c>
      <c r="H50" s="1">
        <v>130</v>
      </c>
      <c r="I50" s="1">
        <f t="shared" si="16"/>
        <v>130</v>
      </c>
      <c r="J50" s="1">
        <v>36</v>
      </c>
      <c r="K50" s="1">
        <f t="shared" si="14"/>
        <v>15.5711357091004</v>
      </c>
      <c r="L50" s="1">
        <f t="shared" si="15"/>
        <v>15.757150775576301</v>
      </c>
    </row>
    <row r="51" spans="1:12">
      <c r="B51">
        <f t="shared" ref="B51:C51" si="17">AVERAGE(B41:B50)</f>
        <v>0.15412372526204973</v>
      </c>
      <c r="C51">
        <f t="shared" si="17"/>
        <v>0.15402679944702552</v>
      </c>
      <c r="D51">
        <f>AVERAGE(D41:D50)</f>
        <v>204.59773491904622</v>
      </c>
      <c r="E51">
        <f>AVERAGE(E41:E50)</f>
        <v>57.781502529574581</v>
      </c>
      <c r="J51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21B4-2842-FF43-8C8D-65C6E8C7A1B1}">
  <sheetPr codeName="Sheet5"/>
  <dimension ref="A1:P48"/>
  <sheetViews>
    <sheetView tabSelected="1" zoomScaleNormal="100" workbookViewId="0">
      <selection activeCell="Y34" sqref="Y34"/>
    </sheetView>
  </sheetViews>
  <sheetFormatPr baseColWidth="10" defaultColWidth="8.83203125" defaultRowHeight="15"/>
  <sheetData>
    <row r="1" spans="1:16">
      <c r="B1" s="1"/>
      <c r="C1" s="1">
        <v>1</v>
      </c>
      <c r="D1" s="1">
        <v>5</v>
      </c>
      <c r="E1" s="1">
        <v>9</v>
      </c>
      <c r="F1" s="1">
        <v>15</v>
      </c>
      <c r="G1" s="1">
        <v>30</v>
      </c>
      <c r="H1" s="1">
        <v>60</v>
      </c>
      <c r="I1" s="1" t="s">
        <v>22</v>
      </c>
      <c r="J1" s="1" t="s">
        <v>23</v>
      </c>
      <c r="K1" s="1" t="str">
        <f>C1&amp;" "&amp;$I$1&amp;" "&amp;$J$1</f>
        <v xml:space="preserve">1 MW Cluster </v>
      </c>
      <c r="L1" s="1" t="str">
        <f t="shared" ref="L1:P1" si="0">D1&amp;" "&amp;$I$1&amp;" "&amp;$J$1</f>
        <v xml:space="preserve">5 MW Cluster </v>
      </c>
      <c r="M1" s="1" t="str">
        <f t="shared" si="0"/>
        <v xml:space="preserve">9 MW Cluster </v>
      </c>
      <c r="N1" s="1" t="str">
        <f t="shared" si="0"/>
        <v xml:space="preserve">15 MW Cluster </v>
      </c>
      <c r="O1" s="1" t="str">
        <f t="shared" si="0"/>
        <v xml:space="preserve">30 MW Cluster </v>
      </c>
      <c r="P1" t="str">
        <f t="shared" si="0"/>
        <v xml:space="preserve">60 MW Cluster </v>
      </c>
    </row>
    <row r="2" spans="1:16">
      <c r="B2" s="1" t="s">
        <v>19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19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3" spans="1:16">
      <c r="B3" s="1">
        <v>2024</v>
      </c>
      <c r="C3" s="1">
        <v>112</v>
      </c>
      <c r="D3" s="1">
        <v>136</v>
      </c>
      <c r="E3" s="1">
        <v>0</v>
      </c>
      <c r="F3" s="1">
        <v>0</v>
      </c>
      <c r="G3" s="1">
        <v>0</v>
      </c>
      <c r="H3" s="1">
        <v>0</v>
      </c>
      <c r="I3" s="1">
        <v>2024</v>
      </c>
      <c r="J3" s="2">
        <f>C3/$C$13</f>
        <v>0.95726495726495731</v>
      </c>
      <c r="K3" s="2">
        <f>D3/$D$13</f>
        <v>0.50370370370370365</v>
      </c>
      <c r="L3" s="2">
        <f>E3/$E$13</f>
        <v>0</v>
      </c>
      <c r="M3" s="2">
        <f>F3/$F$13</f>
        <v>0</v>
      </c>
      <c r="N3" s="2">
        <f>G3/$G$13</f>
        <v>0</v>
      </c>
      <c r="O3" s="2">
        <f>H3/$H$13</f>
        <v>0</v>
      </c>
    </row>
    <row r="4" spans="1:16">
      <c r="B4" s="1">
        <v>2025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9</v>
      </c>
      <c r="I4" s="1">
        <v>2025</v>
      </c>
      <c r="J4" s="2">
        <f t="shared" ref="J4:J12" si="1">C4/$C$13</f>
        <v>0</v>
      </c>
      <c r="K4" s="2">
        <f t="shared" ref="K4:K12" si="2">D4/$D$13</f>
        <v>0</v>
      </c>
      <c r="L4" s="2">
        <f t="shared" ref="L4:L12" si="3">E4/$E$13</f>
        <v>0</v>
      </c>
      <c r="M4" s="2">
        <f t="shared" ref="M4:M12" si="4">F4/$F$13</f>
        <v>0</v>
      </c>
      <c r="N4" s="2">
        <f t="shared" ref="N4:N12" si="5">G4/$G$13</f>
        <v>0</v>
      </c>
      <c r="O4" s="2">
        <f t="shared" ref="O4:O12" si="6">H4/$H$13</f>
        <v>0.34615384615384615</v>
      </c>
    </row>
    <row r="5" spans="1:16">
      <c r="B5" s="1">
        <v>2026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12</v>
      </c>
      <c r="I5" s="1">
        <v>2026</v>
      </c>
      <c r="J5" s="2">
        <f t="shared" si="1"/>
        <v>0</v>
      </c>
      <c r="K5" s="2">
        <f t="shared" si="2"/>
        <v>0</v>
      </c>
      <c r="L5" s="2">
        <f t="shared" si="3"/>
        <v>0</v>
      </c>
      <c r="M5" s="2">
        <f t="shared" si="4"/>
        <v>0</v>
      </c>
      <c r="N5" s="2">
        <f t="shared" si="5"/>
        <v>8.3333333333333329E-2</v>
      </c>
      <c r="O5" s="2">
        <f t="shared" si="6"/>
        <v>0.46153846153846156</v>
      </c>
    </row>
    <row r="6" spans="1:16">
      <c r="B6" s="1">
        <v>2027</v>
      </c>
      <c r="C6" s="1">
        <v>0</v>
      </c>
      <c r="D6" s="1">
        <v>35</v>
      </c>
      <c r="E6" s="1">
        <v>37</v>
      </c>
      <c r="F6" s="1">
        <v>0</v>
      </c>
      <c r="G6" s="1">
        <v>5</v>
      </c>
      <c r="H6" s="1">
        <v>2</v>
      </c>
      <c r="I6" s="1">
        <v>2027</v>
      </c>
      <c r="J6" s="2">
        <f t="shared" si="1"/>
        <v>0</v>
      </c>
      <c r="K6" s="2">
        <f t="shared" si="2"/>
        <v>0.12962962962962962</v>
      </c>
      <c r="L6" s="2">
        <f t="shared" si="3"/>
        <v>0.84090909090909094</v>
      </c>
      <c r="M6" s="2">
        <f t="shared" si="4"/>
        <v>0</v>
      </c>
      <c r="N6" s="2">
        <f t="shared" si="5"/>
        <v>0.41666666666666669</v>
      </c>
      <c r="O6" s="2">
        <f t="shared" si="6"/>
        <v>7.6923076923076927E-2</v>
      </c>
    </row>
    <row r="7" spans="1:16">
      <c r="B7" s="1">
        <v>2028</v>
      </c>
      <c r="C7" s="1">
        <v>2</v>
      </c>
      <c r="D7" s="1">
        <v>50</v>
      </c>
      <c r="E7" s="1">
        <v>0</v>
      </c>
      <c r="F7" s="1">
        <v>13</v>
      </c>
      <c r="G7" s="1">
        <v>4</v>
      </c>
      <c r="H7" s="1">
        <v>0</v>
      </c>
      <c r="I7" s="1">
        <v>2028</v>
      </c>
      <c r="J7" s="2">
        <f t="shared" si="1"/>
        <v>1.7094017094017096E-2</v>
      </c>
      <c r="K7" s="2">
        <f t="shared" si="2"/>
        <v>0.18518518518518517</v>
      </c>
      <c r="L7" s="2">
        <f t="shared" si="3"/>
        <v>0</v>
      </c>
      <c r="M7" s="2">
        <f t="shared" si="4"/>
        <v>0.61904761904761907</v>
      </c>
      <c r="N7" s="2">
        <f t="shared" si="5"/>
        <v>0.33333333333333331</v>
      </c>
      <c r="O7" s="2">
        <f t="shared" si="6"/>
        <v>0</v>
      </c>
    </row>
    <row r="8" spans="1:16">
      <c r="B8" s="1">
        <v>2029</v>
      </c>
      <c r="C8" s="1">
        <v>3</v>
      </c>
      <c r="D8" s="1">
        <v>22</v>
      </c>
      <c r="E8" s="1">
        <v>7</v>
      </c>
      <c r="F8" s="1">
        <v>4</v>
      </c>
      <c r="G8" s="1">
        <v>0</v>
      </c>
      <c r="H8" s="1">
        <v>3</v>
      </c>
      <c r="I8" s="1">
        <v>2029</v>
      </c>
      <c r="J8" s="2">
        <f t="shared" si="1"/>
        <v>2.564102564102564E-2</v>
      </c>
      <c r="K8" s="2">
        <f t="shared" si="2"/>
        <v>8.1481481481481488E-2</v>
      </c>
      <c r="L8" s="2">
        <f t="shared" si="3"/>
        <v>0.15909090909090909</v>
      </c>
      <c r="M8" s="2">
        <f t="shared" si="4"/>
        <v>0.19047619047619047</v>
      </c>
      <c r="N8" s="2">
        <f t="shared" si="5"/>
        <v>0</v>
      </c>
      <c r="O8" s="2">
        <f t="shared" si="6"/>
        <v>0.11538461538461539</v>
      </c>
    </row>
    <row r="9" spans="1:16">
      <c r="B9" s="1">
        <v>2030</v>
      </c>
      <c r="C9" s="1">
        <v>0</v>
      </c>
      <c r="D9" s="1">
        <v>16</v>
      </c>
      <c r="E9" s="1">
        <v>0</v>
      </c>
      <c r="F9" s="1">
        <v>4</v>
      </c>
      <c r="G9" s="1">
        <v>1</v>
      </c>
      <c r="H9" s="1">
        <v>0</v>
      </c>
      <c r="I9" s="1">
        <v>2030</v>
      </c>
      <c r="J9" s="2">
        <f t="shared" si="1"/>
        <v>0</v>
      </c>
      <c r="K9" s="2">
        <f t="shared" si="2"/>
        <v>5.9259259259259262E-2</v>
      </c>
      <c r="L9" s="2">
        <f t="shared" si="3"/>
        <v>0</v>
      </c>
      <c r="M9" s="2">
        <f t="shared" si="4"/>
        <v>0.19047619047619047</v>
      </c>
      <c r="N9" s="2">
        <f t="shared" si="5"/>
        <v>8.3333333333333329E-2</v>
      </c>
      <c r="O9" s="2">
        <f t="shared" si="6"/>
        <v>0</v>
      </c>
    </row>
    <row r="10" spans="1:16">
      <c r="B10" s="1">
        <v>2031</v>
      </c>
      <c r="C10" s="1">
        <v>0</v>
      </c>
      <c r="D10" s="1">
        <v>7</v>
      </c>
      <c r="E10" s="1">
        <v>0</v>
      </c>
      <c r="F10" s="1">
        <v>0</v>
      </c>
      <c r="G10" s="1">
        <v>1</v>
      </c>
      <c r="H10" s="1">
        <v>0</v>
      </c>
      <c r="I10" s="1">
        <v>2031</v>
      </c>
      <c r="J10" s="2">
        <f t="shared" si="1"/>
        <v>0</v>
      </c>
      <c r="K10" s="2">
        <f t="shared" si="2"/>
        <v>2.5925925925925925E-2</v>
      </c>
      <c r="L10" s="2">
        <f t="shared" si="3"/>
        <v>0</v>
      </c>
      <c r="M10" s="2">
        <f t="shared" si="4"/>
        <v>0</v>
      </c>
      <c r="N10" s="2">
        <f t="shared" si="5"/>
        <v>8.3333333333333329E-2</v>
      </c>
      <c r="O10" s="2">
        <f t="shared" si="6"/>
        <v>0</v>
      </c>
    </row>
    <row r="11" spans="1:16">
      <c r="B11" s="1">
        <v>2032</v>
      </c>
      <c r="C11" s="1">
        <v>0</v>
      </c>
      <c r="D11" s="1">
        <v>3</v>
      </c>
      <c r="E11" s="1">
        <v>0</v>
      </c>
      <c r="F11" s="1">
        <v>0</v>
      </c>
      <c r="G11" s="1">
        <v>0</v>
      </c>
      <c r="H11" s="1">
        <v>0</v>
      </c>
      <c r="I11" s="1">
        <v>2032</v>
      </c>
      <c r="J11" s="2">
        <f t="shared" si="1"/>
        <v>0</v>
      </c>
      <c r="K11" s="2">
        <f t="shared" si="2"/>
        <v>1.1111111111111112E-2</v>
      </c>
      <c r="L11" s="2">
        <f t="shared" si="3"/>
        <v>0</v>
      </c>
      <c r="M11" s="2">
        <f t="shared" si="4"/>
        <v>0</v>
      </c>
      <c r="N11" s="2">
        <f t="shared" si="5"/>
        <v>0</v>
      </c>
      <c r="O11" s="2">
        <f t="shared" si="6"/>
        <v>0</v>
      </c>
    </row>
    <row r="12" spans="1:16">
      <c r="B12" s="1">
        <v>2033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2033</v>
      </c>
      <c r="J12" s="2">
        <f t="shared" si="1"/>
        <v>0</v>
      </c>
      <c r="K12" s="2">
        <f t="shared" si="2"/>
        <v>3.7037037037037038E-3</v>
      </c>
      <c r="L12" s="2">
        <f t="shared" si="3"/>
        <v>0</v>
      </c>
      <c r="M12" s="2">
        <f t="shared" si="4"/>
        <v>0</v>
      </c>
      <c r="N12" s="2">
        <f t="shared" si="5"/>
        <v>0</v>
      </c>
      <c r="O12" s="2">
        <f t="shared" si="6"/>
        <v>0</v>
      </c>
    </row>
    <row r="13" spans="1:16">
      <c r="A13">
        <f>SUM(C13:H13)</f>
        <v>490</v>
      </c>
      <c r="B13" s="1" t="s">
        <v>14</v>
      </c>
      <c r="C13" s="1">
        <f>SUM(C3:C12)</f>
        <v>117</v>
      </c>
      <c r="D13" s="1">
        <f t="shared" ref="D13:G13" si="7">SUM(D3:D12)</f>
        <v>270</v>
      </c>
      <c r="E13" s="1">
        <f t="shared" si="7"/>
        <v>44</v>
      </c>
      <c r="F13" s="1">
        <f t="shared" si="7"/>
        <v>21</v>
      </c>
      <c r="G13" s="1">
        <f t="shared" si="7"/>
        <v>12</v>
      </c>
      <c r="H13" s="1">
        <f>SUM(H3:H12)</f>
        <v>26</v>
      </c>
      <c r="I13" s="1"/>
      <c r="J13" s="1">
        <f>SUM(J3:J12)</f>
        <v>1</v>
      </c>
      <c r="K13" s="1">
        <f t="shared" ref="K13:N13" si="8">SUM(K3:K12)</f>
        <v>0.99999999999999978</v>
      </c>
      <c r="L13" s="1">
        <f t="shared" si="8"/>
        <v>1</v>
      </c>
      <c r="M13" s="1">
        <f t="shared" si="8"/>
        <v>1</v>
      </c>
      <c r="N13" s="1">
        <f t="shared" si="8"/>
        <v>1</v>
      </c>
      <c r="O13" s="1">
        <f>SUM(O3:O12)</f>
        <v>1</v>
      </c>
    </row>
    <row r="14" spans="1:16">
      <c r="J14" s="8">
        <f>MAX(J3:J12)</f>
        <v>0.95726495726495731</v>
      </c>
      <c r="K14" s="8">
        <f t="shared" ref="K14:O14" si="9">MAX(K3:K12)</f>
        <v>0.50370370370370365</v>
      </c>
      <c r="L14" s="8">
        <f t="shared" si="9"/>
        <v>0.84090909090909094</v>
      </c>
      <c r="M14" s="8">
        <f t="shared" si="9"/>
        <v>0.61904761904761907</v>
      </c>
      <c r="N14" s="8">
        <f t="shared" si="9"/>
        <v>0.41666666666666669</v>
      </c>
      <c r="O14" s="8">
        <f t="shared" si="9"/>
        <v>0.46153846153846156</v>
      </c>
      <c r="P14" s="8">
        <f>AVERAGE(J14:O14)</f>
        <v>0.63318841652174984</v>
      </c>
    </row>
    <row r="15" spans="1:16">
      <c r="B15">
        <f>SUM(C15:H15)</f>
        <v>4098</v>
      </c>
      <c r="C15">
        <f>C13*C1</f>
        <v>117</v>
      </c>
      <c r="D15">
        <f t="shared" ref="D15:H15" si="10">D13*D1</f>
        <v>1350</v>
      </c>
      <c r="E15">
        <f t="shared" si="10"/>
        <v>396</v>
      </c>
      <c r="F15">
        <f t="shared" si="10"/>
        <v>315</v>
      </c>
      <c r="G15">
        <f t="shared" si="10"/>
        <v>360</v>
      </c>
      <c r="H15">
        <f t="shared" si="10"/>
        <v>1560</v>
      </c>
    </row>
    <row r="16" spans="1:16">
      <c r="C16" s="7">
        <f>C15/$B$15</f>
        <v>2.8550512445095169E-2</v>
      </c>
      <c r="D16" s="7">
        <f t="shared" ref="D16:H16" si="11">D15/$B$15</f>
        <v>0.32942898975109808</v>
      </c>
      <c r="E16" s="7">
        <f t="shared" si="11"/>
        <v>9.6632503660322111E-2</v>
      </c>
      <c r="F16" s="7">
        <f t="shared" si="11"/>
        <v>7.6866764275256225E-2</v>
      </c>
      <c r="G16" s="7">
        <f t="shared" si="11"/>
        <v>8.7847730600292828E-2</v>
      </c>
      <c r="H16" s="7">
        <f t="shared" si="11"/>
        <v>0.38067349926793559</v>
      </c>
    </row>
    <row r="18" spans="2:16">
      <c r="B18" s="1" t="s">
        <v>19</v>
      </c>
      <c r="C18" s="1" t="s">
        <v>24</v>
      </c>
      <c r="D18" s="1" t="s">
        <v>25</v>
      </c>
      <c r="E18" s="1" t="s">
        <v>26</v>
      </c>
      <c r="F18" s="1" t="s">
        <v>27</v>
      </c>
      <c r="G18" s="1" t="s">
        <v>28</v>
      </c>
      <c r="H18" s="1" t="s">
        <v>29</v>
      </c>
      <c r="I18" s="1" t="s">
        <v>19</v>
      </c>
      <c r="J18" s="1" t="s">
        <v>24</v>
      </c>
      <c r="K18" s="1" t="s">
        <v>25</v>
      </c>
      <c r="L18" s="1" t="s">
        <v>26</v>
      </c>
      <c r="M18" s="1" t="s">
        <v>27</v>
      </c>
      <c r="N18" s="1" t="s">
        <v>28</v>
      </c>
      <c r="O18" s="1" t="s">
        <v>29</v>
      </c>
    </row>
    <row r="19" spans="2:16">
      <c r="B19" s="1">
        <v>2024</v>
      </c>
      <c r="C19" s="1">
        <v>43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2024</v>
      </c>
      <c r="J19" s="2">
        <f>C19/$C$13</f>
        <v>0.36752136752136755</v>
      </c>
      <c r="K19" s="2">
        <f>D19/$D$13</f>
        <v>0</v>
      </c>
      <c r="L19" s="2">
        <f>E19/$E$13</f>
        <v>0</v>
      </c>
      <c r="M19" s="2">
        <f>F19/$F$13</f>
        <v>0</v>
      </c>
      <c r="N19" s="2">
        <f>G19/$G$13</f>
        <v>0</v>
      </c>
      <c r="O19" s="2">
        <f>H19/$H$13</f>
        <v>0</v>
      </c>
    </row>
    <row r="20" spans="2:16">
      <c r="B20" s="1">
        <v>2025</v>
      </c>
      <c r="C20" s="1">
        <v>0</v>
      </c>
      <c r="D20" s="1">
        <v>5</v>
      </c>
      <c r="E20" s="1">
        <v>3</v>
      </c>
      <c r="F20" s="1">
        <v>0</v>
      </c>
      <c r="G20" s="1">
        <v>0</v>
      </c>
      <c r="H20" s="1">
        <v>1</v>
      </c>
      <c r="I20" s="1">
        <v>2025</v>
      </c>
      <c r="J20" s="2">
        <f t="shared" ref="J20:J28" si="12">C20/$C$13</f>
        <v>0</v>
      </c>
      <c r="K20" s="2">
        <f t="shared" ref="K20:K28" si="13">D20/$D$13</f>
        <v>1.8518518518518517E-2</v>
      </c>
      <c r="L20" s="2">
        <f t="shared" ref="L20:L28" si="14">E20/$E$13</f>
        <v>6.8181818181818177E-2</v>
      </c>
      <c r="M20" s="2">
        <f t="shared" ref="M20:M28" si="15">F20/$F$13</f>
        <v>0</v>
      </c>
      <c r="N20" s="2">
        <f t="shared" ref="N20:N28" si="16">G20/$G$13</f>
        <v>0</v>
      </c>
      <c r="O20" s="2">
        <f t="shared" ref="O20:O28" si="17">H20/$H$13</f>
        <v>3.8461538461538464E-2</v>
      </c>
    </row>
    <row r="21" spans="2:16">
      <c r="B21" s="1">
        <v>2026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6</v>
      </c>
      <c r="I21" s="1">
        <v>2026</v>
      </c>
      <c r="J21" s="2">
        <f t="shared" si="12"/>
        <v>0</v>
      </c>
      <c r="K21" s="2">
        <f t="shared" si="13"/>
        <v>0</v>
      </c>
      <c r="L21" s="2">
        <f t="shared" si="14"/>
        <v>0</v>
      </c>
      <c r="M21" s="2">
        <f t="shared" si="15"/>
        <v>0</v>
      </c>
      <c r="N21" s="2">
        <f t="shared" si="16"/>
        <v>0</v>
      </c>
      <c r="O21" s="2">
        <f t="shared" si="17"/>
        <v>0.23076923076923078</v>
      </c>
    </row>
    <row r="22" spans="2:16">
      <c r="B22" s="1">
        <v>2027</v>
      </c>
      <c r="C22" s="1">
        <v>14</v>
      </c>
      <c r="D22" s="1">
        <v>104</v>
      </c>
      <c r="E22" s="1">
        <v>41</v>
      </c>
      <c r="F22" s="1">
        <v>5</v>
      </c>
      <c r="G22" s="1">
        <v>0</v>
      </c>
      <c r="H22" s="1">
        <v>0</v>
      </c>
      <c r="I22" s="1">
        <v>2027</v>
      </c>
      <c r="J22" s="2">
        <f t="shared" si="12"/>
        <v>0.11965811965811966</v>
      </c>
      <c r="K22" s="2">
        <f t="shared" si="13"/>
        <v>0.38518518518518519</v>
      </c>
      <c r="L22" s="2">
        <f t="shared" si="14"/>
        <v>0.93181818181818177</v>
      </c>
      <c r="M22" s="2">
        <f t="shared" si="15"/>
        <v>0.23809523809523808</v>
      </c>
      <c r="N22" s="2">
        <f t="shared" si="16"/>
        <v>0</v>
      </c>
      <c r="O22" s="2">
        <f t="shared" si="17"/>
        <v>0</v>
      </c>
    </row>
    <row r="23" spans="2:16">
      <c r="B23" s="1">
        <v>2028</v>
      </c>
      <c r="C23" s="1">
        <v>56</v>
      </c>
      <c r="D23" s="1">
        <v>1</v>
      </c>
      <c r="E23" s="1">
        <v>0</v>
      </c>
      <c r="F23" s="1">
        <v>0</v>
      </c>
      <c r="G23" s="1">
        <v>0</v>
      </c>
      <c r="H23" s="1">
        <v>17</v>
      </c>
      <c r="I23" s="1">
        <v>2028</v>
      </c>
      <c r="J23" s="2">
        <f t="shared" si="12"/>
        <v>0.47863247863247865</v>
      </c>
      <c r="K23" s="2">
        <f t="shared" si="13"/>
        <v>3.7037037037037038E-3</v>
      </c>
      <c r="L23" s="2">
        <f t="shared" si="14"/>
        <v>0</v>
      </c>
      <c r="M23" s="2">
        <f t="shared" si="15"/>
        <v>0</v>
      </c>
      <c r="N23" s="2">
        <f t="shared" si="16"/>
        <v>0</v>
      </c>
      <c r="O23" s="2">
        <f t="shared" si="17"/>
        <v>0.65384615384615385</v>
      </c>
    </row>
    <row r="24" spans="2:16">
      <c r="B24" s="1">
        <v>2029</v>
      </c>
      <c r="C24" s="1">
        <v>4</v>
      </c>
      <c r="D24" s="1">
        <v>5</v>
      </c>
      <c r="E24" s="1">
        <v>0</v>
      </c>
      <c r="F24" s="1">
        <v>16</v>
      </c>
      <c r="G24" s="1">
        <v>12</v>
      </c>
      <c r="H24" s="1">
        <v>2</v>
      </c>
      <c r="I24" s="1">
        <v>2029</v>
      </c>
      <c r="J24" s="2">
        <f t="shared" si="12"/>
        <v>3.4188034188034191E-2</v>
      </c>
      <c r="K24" s="2">
        <f t="shared" si="13"/>
        <v>1.8518518518518517E-2</v>
      </c>
      <c r="L24" s="2">
        <f t="shared" si="14"/>
        <v>0</v>
      </c>
      <c r="M24" s="2">
        <f t="shared" si="15"/>
        <v>0.76190476190476186</v>
      </c>
      <c r="N24" s="2">
        <f t="shared" si="16"/>
        <v>1</v>
      </c>
      <c r="O24" s="2">
        <f t="shared" si="17"/>
        <v>7.6923076923076927E-2</v>
      </c>
    </row>
    <row r="25" spans="2:16">
      <c r="B25" s="1">
        <v>2030</v>
      </c>
      <c r="C25" s="1">
        <v>0</v>
      </c>
      <c r="D25" s="1">
        <v>131</v>
      </c>
      <c r="E25" s="1">
        <v>0</v>
      </c>
      <c r="F25" s="1">
        <v>0</v>
      </c>
      <c r="G25" s="1">
        <v>0</v>
      </c>
      <c r="H25" s="1">
        <v>0</v>
      </c>
      <c r="I25" s="1">
        <v>2030</v>
      </c>
      <c r="J25" s="2">
        <f t="shared" si="12"/>
        <v>0</v>
      </c>
      <c r="K25" s="2">
        <f t="shared" si="13"/>
        <v>0.48518518518518516</v>
      </c>
      <c r="L25" s="2">
        <f t="shared" si="14"/>
        <v>0</v>
      </c>
      <c r="M25" s="2">
        <f t="shared" si="15"/>
        <v>0</v>
      </c>
      <c r="N25" s="2">
        <f t="shared" si="16"/>
        <v>0</v>
      </c>
      <c r="O25" s="2">
        <f t="shared" si="17"/>
        <v>0</v>
      </c>
    </row>
    <row r="26" spans="2:16">
      <c r="B26" s="1">
        <v>2031</v>
      </c>
      <c r="C26" s="1">
        <v>0</v>
      </c>
      <c r="D26" s="1">
        <v>22</v>
      </c>
      <c r="E26" s="1">
        <v>0</v>
      </c>
      <c r="F26" s="1">
        <v>0</v>
      </c>
      <c r="G26" s="1">
        <v>0</v>
      </c>
      <c r="H26" s="1">
        <v>0</v>
      </c>
      <c r="I26" s="1">
        <v>2031</v>
      </c>
      <c r="J26" s="2">
        <f t="shared" si="12"/>
        <v>0</v>
      </c>
      <c r="K26" s="2">
        <f t="shared" si="13"/>
        <v>8.1481481481481488E-2</v>
      </c>
      <c r="L26" s="2">
        <f t="shared" si="14"/>
        <v>0</v>
      </c>
      <c r="M26" s="2">
        <f t="shared" si="15"/>
        <v>0</v>
      </c>
      <c r="N26" s="2">
        <f t="shared" si="16"/>
        <v>0</v>
      </c>
      <c r="O26" s="2">
        <f t="shared" si="17"/>
        <v>0</v>
      </c>
    </row>
    <row r="27" spans="2:16">
      <c r="B27" s="1">
        <v>2032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2032</v>
      </c>
      <c r="J27" s="2">
        <f t="shared" si="12"/>
        <v>0</v>
      </c>
      <c r="K27" s="2">
        <f t="shared" si="13"/>
        <v>3.7037037037037038E-3</v>
      </c>
      <c r="L27" s="2">
        <f t="shared" si="14"/>
        <v>0</v>
      </c>
      <c r="M27" s="2">
        <f t="shared" si="15"/>
        <v>0</v>
      </c>
      <c r="N27" s="2">
        <f t="shared" si="16"/>
        <v>0</v>
      </c>
      <c r="O27" s="2">
        <f t="shared" si="17"/>
        <v>0</v>
      </c>
    </row>
    <row r="28" spans="2:16">
      <c r="B28" s="1">
        <v>2033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2033</v>
      </c>
      <c r="J28" s="2">
        <f t="shared" si="12"/>
        <v>0</v>
      </c>
      <c r="K28" s="2">
        <f t="shared" si="13"/>
        <v>3.7037037037037038E-3</v>
      </c>
      <c r="L28" s="2">
        <f t="shared" si="14"/>
        <v>0</v>
      </c>
      <c r="M28" s="2">
        <f t="shared" si="15"/>
        <v>0</v>
      </c>
      <c r="N28" s="2">
        <f t="shared" si="16"/>
        <v>0</v>
      </c>
      <c r="O28" s="2">
        <f t="shared" si="17"/>
        <v>0</v>
      </c>
    </row>
    <row r="29" spans="2:16">
      <c r="B29" t="s">
        <v>14</v>
      </c>
      <c r="C29">
        <f>SUM(C19:C28)</f>
        <v>117</v>
      </c>
      <c r="D29">
        <f t="shared" ref="D29:G29" si="18">SUM(D19:D28)</f>
        <v>270</v>
      </c>
      <c r="E29">
        <f t="shared" si="18"/>
        <v>44</v>
      </c>
      <c r="F29">
        <f t="shared" si="18"/>
        <v>21</v>
      </c>
      <c r="G29">
        <f t="shared" si="18"/>
        <v>12</v>
      </c>
      <c r="H29">
        <f>SUM(H19:H28)</f>
        <v>26</v>
      </c>
      <c r="J29">
        <f>SUM(J19:J28)</f>
        <v>1.0000000000000002</v>
      </c>
      <c r="K29">
        <f t="shared" ref="K29:N29" si="19">SUM(K19:K28)</f>
        <v>0.99999999999999989</v>
      </c>
      <c r="L29">
        <f t="shared" si="19"/>
        <v>1</v>
      </c>
      <c r="M29">
        <f t="shared" si="19"/>
        <v>1</v>
      </c>
      <c r="N29">
        <f t="shared" si="19"/>
        <v>1</v>
      </c>
      <c r="O29">
        <f>SUM(O19:O28)</f>
        <v>1</v>
      </c>
    </row>
    <row r="30" spans="2:16">
      <c r="J30" s="8">
        <f>MAX(J19:J28)</f>
        <v>0.47863247863247865</v>
      </c>
      <c r="K30" s="8">
        <f t="shared" ref="K30:O30" si="20">MAX(K19:K28)</f>
        <v>0.48518518518518516</v>
      </c>
      <c r="L30" s="8">
        <f t="shared" si="20"/>
        <v>0.93181818181818177</v>
      </c>
      <c r="M30" s="8">
        <f t="shared" si="20"/>
        <v>0.76190476190476186</v>
      </c>
      <c r="N30" s="8">
        <f t="shared" si="20"/>
        <v>1</v>
      </c>
      <c r="O30" s="8">
        <f t="shared" si="20"/>
        <v>0.65384615384615385</v>
      </c>
      <c r="P30" s="8">
        <f>AVERAGE(J30:O30)</f>
        <v>0.71856446023112686</v>
      </c>
    </row>
    <row r="36" spans="6:12" ht="16" thickBot="1"/>
    <row r="37" spans="6:12" ht="17" thickBot="1">
      <c r="F37" s="9"/>
      <c r="G37" s="10" t="s">
        <v>30</v>
      </c>
      <c r="H37" s="10" t="s">
        <v>31</v>
      </c>
      <c r="I37" s="10" t="s">
        <v>32</v>
      </c>
      <c r="J37" s="10" t="s">
        <v>33</v>
      </c>
      <c r="K37" s="10" t="s">
        <v>34</v>
      </c>
      <c r="L37" s="10" t="s">
        <v>35</v>
      </c>
    </row>
    <row r="38" spans="6:12" ht="36">
      <c r="F38" s="11" t="s">
        <v>36</v>
      </c>
      <c r="G38" s="12">
        <v>187594</v>
      </c>
      <c r="H38" s="12">
        <v>516364</v>
      </c>
      <c r="I38" s="12">
        <v>747400</v>
      </c>
      <c r="J38" s="12">
        <v>1594072</v>
      </c>
      <c r="K38" s="12">
        <v>1594072</v>
      </c>
      <c r="L38" s="12">
        <v>2465430</v>
      </c>
    </row>
    <row r="39" spans="6:12" ht="48">
      <c r="F39" s="11" t="s">
        <v>37</v>
      </c>
      <c r="G39" s="13">
        <v>177918</v>
      </c>
      <c r="H39" s="13">
        <v>800325</v>
      </c>
      <c r="I39" s="12">
        <v>1721144</v>
      </c>
      <c r="J39" s="12">
        <v>5719800</v>
      </c>
      <c r="K39" s="12">
        <v>5719800</v>
      </c>
      <c r="L39" s="12">
        <v>11891738</v>
      </c>
    </row>
    <row r="40" spans="6:12" ht="49" thickBot="1">
      <c r="F40" s="14" t="s">
        <v>38</v>
      </c>
      <c r="G40" s="15">
        <v>163790</v>
      </c>
      <c r="H40" s="16">
        <v>767357</v>
      </c>
      <c r="I40" s="16">
        <v>1661428</v>
      </c>
      <c r="J40" s="16">
        <v>5634716</v>
      </c>
      <c r="K40" s="16">
        <v>5634716</v>
      </c>
      <c r="L40" s="16">
        <v>11830075</v>
      </c>
    </row>
    <row r="42" spans="6:12" ht="48">
      <c r="I42" s="17"/>
      <c r="J42" s="18" t="s">
        <v>36</v>
      </c>
      <c r="K42" s="18" t="s">
        <v>37</v>
      </c>
      <c r="L42" s="18" t="s">
        <v>38</v>
      </c>
    </row>
    <row r="43" spans="6:12">
      <c r="I43" s="11" t="s">
        <v>30</v>
      </c>
      <c r="J43" s="12">
        <v>187594</v>
      </c>
      <c r="K43" s="13">
        <v>177918</v>
      </c>
      <c r="L43" s="19">
        <v>163790</v>
      </c>
    </row>
    <row r="44" spans="6:12">
      <c r="I44" s="11" t="s">
        <v>31</v>
      </c>
      <c r="J44" s="12">
        <v>516364</v>
      </c>
      <c r="K44" s="13">
        <v>800325</v>
      </c>
      <c r="L44" s="12">
        <v>767357</v>
      </c>
    </row>
    <row r="45" spans="6:12">
      <c r="I45" s="11" t="s">
        <v>32</v>
      </c>
      <c r="J45" s="12">
        <v>747400</v>
      </c>
      <c r="K45" s="12">
        <v>1721144</v>
      </c>
      <c r="L45" s="12">
        <v>1661428</v>
      </c>
    </row>
    <row r="46" spans="6:12">
      <c r="I46" s="11" t="s">
        <v>33</v>
      </c>
      <c r="J46" s="12">
        <v>1594072</v>
      </c>
      <c r="K46" s="12">
        <v>5719800</v>
      </c>
      <c r="L46" s="12">
        <v>5634716</v>
      </c>
    </row>
    <row r="47" spans="6:12">
      <c r="I47" s="11" t="s">
        <v>34</v>
      </c>
      <c r="J47" s="12">
        <v>1594072</v>
      </c>
      <c r="K47" s="12">
        <v>5719800</v>
      </c>
      <c r="L47" s="12">
        <v>5634716</v>
      </c>
    </row>
    <row r="48" spans="6:12" ht="16" thickBot="1">
      <c r="I48" s="14" t="s">
        <v>35</v>
      </c>
      <c r="J48" s="20">
        <v>2465430</v>
      </c>
      <c r="K48" s="20">
        <v>11891738</v>
      </c>
      <c r="L48" s="16">
        <v>11830075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42D7-21E4-274E-AC3C-11046655BBC8}">
  <sheetPr codeName="Sheet7"/>
  <dimension ref="B1:AM64"/>
  <sheetViews>
    <sheetView topLeftCell="AH1" zoomScale="144" zoomScaleNormal="115" workbookViewId="0">
      <selection activeCell="AX16" sqref="AX16"/>
    </sheetView>
  </sheetViews>
  <sheetFormatPr baseColWidth="10" defaultColWidth="8.83203125" defaultRowHeight="15"/>
  <sheetData>
    <row r="1" spans="2:39">
      <c r="B1" s="25"/>
      <c r="C1" s="25"/>
      <c r="D1" s="25"/>
      <c r="E1" s="25"/>
      <c r="F1" s="25"/>
      <c r="G1" s="25"/>
    </row>
    <row r="10" spans="2:39">
      <c r="AB10" s="1"/>
    </row>
    <row r="12" spans="2:39">
      <c r="E12" s="1"/>
    </row>
    <row r="14" spans="2:39">
      <c r="AB14" s="1" t="s">
        <v>61</v>
      </c>
    </row>
    <row r="15" spans="2:39">
      <c r="AB15" s="1" t="s">
        <v>62</v>
      </c>
      <c r="AC15" s="1">
        <v>5</v>
      </c>
    </row>
    <row r="16" spans="2:39">
      <c r="B16" s="26"/>
      <c r="C16" s="1" t="s">
        <v>62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1"/>
      <c r="AA16" s="26"/>
      <c r="AB16" s="1" t="s">
        <v>19</v>
      </c>
      <c r="AC16" s="1">
        <v>2023</v>
      </c>
      <c r="AD16" s="117">
        <v>2024</v>
      </c>
      <c r="AE16" s="1">
        <v>2025</v>
      </c>
      <c r="AF16" s="1">
        <v>2026</v>
      </c>
      <c r="AG16" s="1">
        <v>2027</v>
      </c>
      <c r="AH16" s="1">
        <v>2028</v>
      </c>
      <c r="AI16" s="1">
        <v>2029</v>
      </c>
      <c r="AJ16" s="1">
        <v>2030</v>
      </c>
      <c r="AK16" s="1">
        <v>2031</v>
      </c>
      <c r="AL16" s="1">
        <v>2032</v>
      </c>
      <c r="AM16" s="1">
        <v>2033</v>
      </c>
    </row>
    <row r="17" spans="2:39">
      <c r="C17" s="1" t="s">
        <v>19</v>
      </c>
      <c r="D17" s="1">
        <v>2023</v>
      </c>
      <c r="E17" s="1">
        <v>2024</v>
      </c>
      <c r="F17" s="1">
        <v>2025</v>
      </c>
      <c r="G17" s="1">
        <v>2026</v>
      </c>
      <c r="H17" s="1">
        <v>2027</v>
      </c>
      <c r="I17" s="1">
        <v>2028</v>
      </c>
      <c r="J17" s="1">
        <v>2029</v>
      </c>
      <c r="K17" s="1">
        <v>2030</v>
      </c>
      <c r="L17" s="1">
        <v>2031</v>
      </c>
      <c r="M17" s="1">
        <v>2032</v>
      </c>
      <c r="N17" s="1">
        <v>2033</v>
      </c>
      <c r="AA17" s="27"/>
      <c r="AB17" s="1" t="s">
        <v>63</v>
      </c>
      <c r="AC17" s="1">
        <v>1</v>
      </c>
      <c r="AD17" s="1">
        <v>0.78983995427947162</v>
      </c>
      <c r="AE17" s="1">
        <v>1</v>
      </c>
      <c r="AF17" s="1">
        <v>1</v>
      </c>
      <c r="AG17" s="1">
        <v>1</v>
      </c>
      <c r="AH17" s="1">
        <v>0.9659363289248456</v>
      </c>
      <c r="AI17" s="1">
        <v>0.94655082264015922</v>
      </c>
      <c r="AJ17" s="1">
        <v>1</v>
      </c>
      <c r="AK17" s="1">
        <v>1</v>
      </c>
      <c r="AL17" s="1">
        <v>1</v>
      </c>
      <c r="AM17" s="1">
        <v>1</v>
      </c>
    </row>
    <row r="18" spans="2:39">
      <c r="B18" s="27"/>
      <c r="C18" s="1" t="s">
        <v>63</v>
      </c>
      <c r="D18" s="1">
        <v>1</v>
      </c>
      <c r="E18" s="1">
        <v>0.8285649870487416</v>
      </c>
      <c r="F18" s="1">
        <v>1</v>
      </c>
      <c r="G18" s="1">
        <v>1</v>
      </c>
      <c r="H18" s="1">
        <v>0.87638230108796422</v>
      </c>
      <c r="I18" s="1">
        <v>0.81769360011401437</v>
      </c>
      <c r="J18" s="1">
        <v>0.93303299153680741</v>
      </c>
      <c r="K18" s="1">
        <v>1</v>
      </c>
      <c r="L18" s="1">
        <v>1</v>
      </c>
      <c r="M18" s="1">
        <v>1</v>
      </c>
      <c r="N18" s="1">
        <v>1</v>
      </c>
      <c r="AA18" s="27"/>
      <c r="AB18" s="1" t="s">
        <v>64</v>
      </c>
      <c r="AC18" s="1">
        <v>1</v>
      </c>
      <c r="AD18" s="1">
        <v>0.78220944306788076</v>
      </c>
      <c r="AE18" s="1">
        <v>1</v>
      </c>
      <c r="AF18" s="1">
        <v>1</v>
      </c>
      <c r="AG18" s="1">
        <v>0.83713711636492105</v>
      </c>
      <c r="AH18" s="1">
        <v>0.82234015942688909</v>
      </c>
      <c r="AI18" s="1">
        <v>0.85679883233720422</v>
      </c>
      <c r="AJ18" s="1">
        <v>0.87055056329612412</v>
      </c>
      <c r="AK18" s="1">
        <v>0.90728785619176244</v>
      </c>
      <c r="AL18">
        <v>0.856798832337204</v>
      </c>
      <c r="AM18" s="1">
        <v>1</v>
      </c>
    </row>
    <row r="19" spans="2:39">
      <c r="B19" s="27"/>
      <c r="C19" s="1" t="s">
        <v>64</v>
      </c>
      <c r="D19" s="1">
        <v>1</v>
      </c>
      <c r="E19" s="1">
        <v>1</v>
      </c>
      <c r="F19" s="1">
        <v>0.92268083459058836</v>
      </c>
      <c r="G19" s="1">
        <v>1</v>
      </c>
      <c r="H19" s="1">
        <v>0.792772055092683</v>
      </c>
      <c r="I19" s="1">
        <v>1</v>
      </c>
      <c r="J19" s="1">
        <v>0.92268083459058836</v>
      </c>
      <c r="K19" s="1">
        <v>0.78367600000000004</v>
      </c>
      <c r="L19" s="1">
        <v>0.71661219885282157</v>
      </c>
      <c r="M19" s="1">
        <v>0.856798832337204</v>
      </c>
      <c r="N19" s="1">
        <v>1</v>
      </c>
      <c r="AA19" s="27"/>
      <c r="AB19" s="1" t="s">
        <v>65</v>
      </c>
      <c r="AC19" s="1">
        <v>1</v>
      </c>
      <c r="AD19" s="1">
        <v>1</v>
      </c>
      <c r="AE19" s="1">
        <v>1</v>
      </c>
      <c r="AF19" s="1">
        <v>1</v>
      </c>
      <c r="AG19" s="1">
        <v>0.83481436548461685</v>
      </c>
      <c r="AH19" s="1">
        <v>1</v>
      </c>
      <c r="AI19" s="1">
        <v>0.90728785619176244</v>
      </c>
      <c r="AJ19" s="1">
        <v>1</v>
      </c>
      <c r="AK19" s="1">
        <v>1</v>
      </c>
      <c r="AL19" s="1">
        <v>1</v>
      </c>
      <c r="AM19" s="1">
        <v>1</v>
      </c>
    </row>
    <row r="20" spans="2:39">
      <c r="B20" s="27"/>
      <c r="C20" s="1" t="s">
        <v>65</v>
      </c>
      <c r="D20" s="1">
        <v>1</v>
      </c>
      <c r="E20" s="1">
        <v>1</v>
      </c>
      <c r="F20" s="1">
        <v>0.94655082264015922</v>
      </c>
      <c r="G20" s="1">
        <v>1</v>
      </c>
      <c r="H20" s="1">
        <v>0.83054048503270728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AA20" s="27"/>
      <c r="AB20" s="1" t="s">
        <v>66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0.8796356706393289</v>
      </c>
      <c r="AI20" s="1">
        <v>0.93303299153680741</v>
      </c>
      <c r="AJ20" s="1">
        <v>0.93303299153680741</v>
      </c>
      <c r="AK20" s="1">
        <v>1</v>
      </c>
      <c r="AL20" s="1">
        <v>1</v>
      </c>
      <c r="AM20" s="1">
        <v>1</v>
      </c>
    </row>
    <row r="21" spans="2:39">
      <c r="B21" s="26"/>
      <c r="C21" s="1" t="s">
        <v>66</v>
      </c>
      <c r="D21" s="1">
        <v>1</v>
      </c>
      <c r="E21" s="1">
        <v>1</v>
      </c>
      <c r="F21" s="1">
        <v>1</v>
      </c>
      <c r="G21" s="1">
        <v>1</v>
      </c>
      <c r="H21" s="1">
        <v>0.92268083459058836</v>
      </c>
      <c r="I21" s="1">
        <v>1</v>
      </c>
      <c r="J21" s="1">
        <v>0.87055056329612412</v>
      </c>
      <c r="K21" s="1">
        <v>1</v>
      </c>
      <c r="L21" s="1">
        <v>1</v>
      </c>
      <c r="M21" s="1">
        <v>1</v>
      </c>
      <c r="N21" s="1">
        <v>1</v>
      </c>
      <c r="AA21" s="26"/>
      <c r="AB21" s="1" t="s">
        <v>67</v>
      </c>
      <c r="AC21" s="1">
        <v>1</v>
      </c>
      <c r="AD21" s="1">
        <v>1</v>
      </c>
      <c r="AE21" s="1">
        <v>1</v>
      </c>
      <c r="AF21" s="1">
        <v>1</v>
      </c>
      <c r="AG21" s="1">
        <v>0.92268083459058836</v>
      </c>
      <c r="AH21" s="1">
        <v>0.93303299153680741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</row>
    <row r="22" spans="2:39">
      <c r="C22" s="1" t="s">
        <v>67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0.88316314568957377</v>
      </c>
      <c r="K22" s="1">
        <v>1</v>
      </c>
      <c r="L22" s="1">
        <v>1</v>
      </c>
      <c r="M22" s="1">
        <v>1</v>
      </c>
      <c r="N22" s="1">
        <v>1</v>
      </c>
      <c r="P22" t="s">
        <v>69</v>
      </c>
      <c r="Q22" t="s">
        <v>70</v>
      </c>
      <c r="R22" t="s">
        <v>71</v>
      </c>
      <c r="S22" t="s">
        <v>72</v>
      </c>
      <c r="T22" t="s">
        <v>73</v>
      </c>
      <c r="U22" t="s">
        <v>74</v>
      </c>
      <c r="AB22" s="1" t="s">
        <v>68</v>
      </c>
      <c r="AC22" s="1">
        <v>1</v>
      </c>
      <c r="AD22" s="1">
        <v>1</v>
      </c>
      <c r="AE22" s="1">
        <v>0.89595845984076217</v>
      </c>
      <c r="AF22" s="1">
        <v>0.88316314568957377</v>
      </c>
      <c r="AG22" s="1">
        <v>0.9659363289248456</v>
      </c>
      <c r="AH22" s="1">
        <v>1</v>
      </c>
      <c r="AI22" s="1">
        <v>0.94655082264015922</v>
      </c>
      <c r="AJ22" s="1">
        <v>1</v>
      </c>
      <c r="AK22" s="1">
        <v>1</v>
      </c>
      <c r="AL22" s="1">
        <v>1</v>
      </c>
      <c r="AM22" s="1">
        <v>1</v>
      </c>
    </row>
    <row r="23" spans="2:39" ht="16" customHeight="1">
      <c r="C23" s="1" t="s">
        <v>68</v>
      </c>
      <c r="D23" s="1">
        <v>1</v>
      </c>
      <c r="E23" s="1">
        <v>1</v>
      </c>
      <c r="F23" s="1">
        <v>1</v>
      </c>
      <c r="G23" s="1">
        <v>0.91430782676182798</v>
      </c>
      <c r="H23" s="1">
        <v>1</v>
      </c>
      <c r="I23" s="1">
        <v>0.86791571879131157</v>
      </c>
      <c r="J23" s="1">
        <v>0.9659363289248456</v>
      </c>
      <c r="K23" s="1">
        <v>1</v>
      </c>
      <c r="L23" s="1">
        <v>1</v>
      </c>
      <c r="M23" s="1">
        <v>1</v>
      </c>
      <c r="N23" s="1">
        <v>1</v>
      </c>
      <c r="AB23" s="1" t="s">
        <v>19</v>
      </c>
      <c r="AC23" s="1">
        <v>2023</v>
      </c>
      <c r="AD23" s="1">
        <v>2024</v>
      </c>
      <c r="AE23" s="1">
        <v>2025</v>
      </c>
      <c r="AF23" s="1">
        <v>2026</v>
      </c>
      <c r="AG23" s="1">
        <v>2027</v>
      </c>
      <c r="AH23" s="1">
        <v>2028</v>
      </c>
      <c r="AI23" s="1">
        <v>2029</v>
      </c>
      <c r="AJ23" s="1">
        <v>2030</v>
      </c>
      <c r="AK23" s="1">
        <v>2031</v>
      </c>
      <c r="AL23" s="1">
        <v>2032</v>
      </c>
      <c r="AM23" s="1">
        <v>2033</v>
      </c>
    </row>
    <row r="24" spans="2:39">
      <c r="C24" s="1" t="s">
        <v>69</v>
      </c>
      <c r="D24" s="115">
        <v>1</v>
      </c>
      <c r="E24" s="2">
        <f>D18*E18</f>
        <v>0.8285649870487416</v>
      </c>
      <c r="F24" s="2">
        <f>E24*F18</f>
        <v>0.8285649870487416</v>
      </c>
      <c r="G24" s="2">
        <f>F24*G18</f>
        <v>0.8285649870487416</v>
      </c>
      <c r="H24" s="2">
        <f>G24*H18</f>
        <v>0.72613968995069544</v>
      </c>
      <c r="I24" s="2">
        <f>H24*I18</f>
        <v>0.59375977726145834</v>
      </c>
      <c r="J24" s="2">
        <f>I24*J18</f>
        <v>0.55399746123248694</v>
      </c>
      <c r="K24" s="2">
        <f>J24*K18</f>
        <v>0.55399746123248694</v>
      </c>
      <c r="L24" s="2">
        <f>K24*L18</f>
        <v>0.55399746123248694</v>
      </c>
      <c r="M24" s="2">
        <f>L24*M18</f>
        <v>0.55399746123248694</v>
      </c>
      <c r="N24" s="2">
        <f>M24*N18</f>
        <v>0.55399746123248694</v>
      </c>
      <c r="AB24" s="1" t="s">
        <v>63</v>
      </c>
      <c r="AC24" s="115">
        <v>1</v>
      </c>
      <c r="AD24" s="2">
        <f>AC17*AD17</f>
        <v>0.78983995427947162</v>
      </c>
      <c r="AE24" s="2">
        <f>AD24*AE17</f>
        <v>0.78983995427947162</v>
      </c>
      <c r="AF24" s="2">
        <f>AE24*AF17</f>
        <v>0.78983995427947162</v>
      </c>
      <c r="AG24" s="2">
        <f>AF24*AG17</f>
        <v>0.78983995427947162</v>
      </c>
      <c r="AH24" s="2">
        <f>AG24*AH17</f>
        <v>0.76293510587488067</v>
      </c>
      <c r="AI24" s="2">
        <f>AH24*AI17</f>
        <v>0.72215685208692526</v>
      </c>
      <c r="AJ24" s="2">
        <f>AI24*AJ17</f>
        <v>0.72215685208692526</v>
      </c>
      <c r="AK24" s="2">
        <f>AJ24*AK17</f>
        <v>0.72215685208692526</v>
      </c>
      <c r="AL24" s="2">
        <f>AK24*AL17</f>
        <v>0.72215685208692526</v>
      </c>
      <c r="AM24" s="2">
        <f>AL24*AM17</f>
        <v>0.72215685208692526</v>
      </c>
    </row>
    <row r="25" spans="2:39">
      <c r="C25" s="1" t="s">
        <v>70</v>
      </c>
      <c r="D25" s="115">
        <v>1</v>
      </c>
      <c r="E25" s="2">
        <f>D19*E19</f>
        <v>1</v>
      </c>
      <c r="F25" s="2">
        <f>E25*F19</f>
        <v>0.92268083459058836</v>
      </c>
      <c r="G25" s="2">
        <f>F25*G19</f>
        <v>0.92268083459058836</v>
      </c>
      <c r="H25" s="2">
        <f>G25*H19</f>
        <v>0.73147558143301261</v>
      </c>
      <c r="I25" s="2">
        <f>H25*I19</f>
        <v>0.73147558143301261</v>
      </c>
      <c r="J25" s="2">
        <f>I25*J19</f>
        <v>0.67491849995924791</v>
      </c>
      <c r="K25" s="2">
        <f>J25*K19</f>
        <v>0.52891743037406358</v>
      </c>
      <c r="L25" s="2">
        <f>K25*L19</f>
        <v>0.37902868279194185</v>
      </c>
      <c r="M25" s="2">
        <f>L25*M19</f>
        <v>0.32475133283844426</v>
      </c>
      <c r="N25" s="2">
        <f>M25*N19</f>
        <v>0.32475133283844426</v>
      </c>
      <c r="AB25" s="1" t="s">
        <v>64</v>
      </c>
      <c r="AC25" s="115">
        <v>1</v>
      </c>
      <c r="AD25" s="2">
        <f>AC18*AD18</f>
        <v>0.78220944306788076</v>
      </c>
      <c r="AE25" s="2">
        <f>AD25*AE18</f>
        <v>0.78220944306788076</v>
      </c>
      <c r="AF25" s="2">
        <f>AE25*AF18</f>
        <v>0.78220944306788076</v>
      </c>
      <c r="AG25" s="2">
        <f>AF25*AG18</f>
        <v>0.65481655756325663</v>
      </c>
      <c r="AH25" s="2">
        <f>AG25*AH18</f>
        <v>0.53848195234193519</v>
      </c>
      <c r="AI25" s="2">
        <f>AH25*AI18</f>
        <v>0.46137070800122815</v>
      </c>
      <c r="AJ25" s="2">
        <f>AI25*AJ18</f>
        <v>0.40164652973880077</v>
      </c>
      <c r="AK25" s="2">
        <f>AJ25*AK18</f>
        <v>0.36440901891357752</v>
      </c>
      <c r="AL25" s="2">
        <f>AK25*AL18</f>
        <v>0.31222522189829932</v>
      </c>
      <c r="AM25" s="2">
        <f>AL25*AM18</f>
        <v>0.31222522189829932</v>
      </c>
    </row>
    <row r="26" spans="2:39">
      <c r="C26" s="1" t="s">
        <v>71</v>
      </c>
      <c r="D26" s="115">
        <v>1</v>
      </c>
      <c r="E26" s="2">
        <f>D20*E20</f>
        <v>1</v>
      </c>
      <c r="F26" s="2">
        <f>E26*F20</f>
        <v>0.94655082264015922</v>
      </c>
      <c r="G26" s="2">
        <f>F26*G20</f>
        <v>0.94655082264015922</v>
      </c>
      <c r="H26" s="2">
        <f>G26*H20</f>
        <v>0.78614877934366589</v>
      </c>
      <c r="I26" s="2">
        <f>H26*I20</f>
        <v>0.78614877934366589</v>
      </c>
      <c r="J26" s="2">
        <f>I26*J20</f>
        <v>0.78614877934366589</v>
      </c>
      <c r="K26" s="2">
        <f>J26*K20</f>
        <v>0.78614877934366589</v>
      </c>
      <c r="L26" s="2">
        <f>K26*L20</f>
        <v>0.78614877934366589</v>
      </c>
      <c r="M26" s="2">
        <f>L26*M20</f>
        <v>0.78614877934366589</v>
      </c>
      <c r="N26" s="2">
        <f>M26*N20</f>
        <v>0.78614877934366589</v>
      </c>
      <c r="AB26" s="1" t="s">
        <v>65</v>
      </c>
      <c r="AC26" s="115">
        <v>1</v>
      </c>
      <c r="AD26" s="2">
        <f>AC19*AD19</f>
        <v>1</v>
      </c>
      <c r="AE26" s="2">
        <f>AD26*AE19</f>
        <v>1</v>
      </c>
      <c r="AF26" s="2">
        <f>AE26*AF19</f>
        <v>1</v>
      </c>
      <c r="AG26" s="2">
        <f>AF26*AG19</f>
        <v>0.83481436548461685</v>
      </c>
      <c r="AH26" s="2">
        <f>AG26*AH19</f>
        <v>0.83481436548461685</v>
      </c>
      <c r="AI26" s="2">
        <f>AH26*AI19</f>
        <v>0.75741693597862447</v>
      </c>
      <c r="AJ26" s="2">
        <f>AI26*AJ19</f>
        <v>0.75741693597862447</v>
      </c>
      <c r="AK26" s="2">
        <f>AJ26*AK19</f>
        <v>0.75741693597862447</v>
      </c>
      <c r="AL26" s="2">
        <f>AK26*AL19</f>
        <v>0.75741693597862447</v>
      </c>
      <c r="AM26" s="2">
        <f>AL26*AM19</f>
        <v>0.75741693597862447</v>
      </c>
    </row>
    <row r="27" spans="2:39">
      <c r="C27" s="1" t="s">
        <v>72</v>
      </c>
      <c r="D27" s="115">
        <v>1</v>
      </c>
      <c r="E27" s="2">
        <f>D21*E21</f>
        <v>1</v>
      </c>
      <c r="F27" s="2">
        <f>E27*F21</f>
        <v>1</v>
      </c>
      <c r="G27" s="2">
        <f>F27*G21</f>
        <v>1</v>
      </c>
      <c r="H27" s="2">
        <f>G27*H21</f>
        <v>0.92268083459058836</v>
      </c>
      <c r="I27" s="2">
        <f>H27*I21</f>
        <v>0.92268083459058836</v>
      </c>
      <c r="J27" s="2">
        <f>I27*J21</f>
        <v>0.80324032029537462</v>
      </c>
      <c r="K27" s="2">
        <f>J27*K21</f>
        <v>0.80324032029537462</v>
      </c>
      <c r="L27" s="2">
        <f>K27*L21</f>
        <v>0.80324032029537462</v>
      </c>
      <c r="M27" s="2">
        <f>L27*M21</f>
        <v>0.80324032029537462</v>
      </c>
      <c r="N27" s="2">
        <f>M27*N21</f>
        <v>0.80324032029537462</v>
      </c>
      <c r="AB27" s="1" t="s">
        <v>66</v>
      </c>
      <c r="AC27" s="115">
        <v>1</v>
      </c>
      <c r="AD27" s="2">
        <f>AC20*AD20</f>
        <v>1</v>
      </c>
      <c r="AE27" s="2">
        <f>AD27*AE20</f>
        <v>1</v>
      </c>
      <c r="AF27" s="2">
        <f>AE27*AF20</f>
        <v>1</v>
      </c>
      <c r="AG27" s="2">
        <f>AF27*AG20</f>
        <v>1</v>
      </c>
      <c r="AH27" s="2">
        <f>AG27*AH20</f>
        <v>0.8796356706393289</v>
      </c>
      <c r="AI27" s="2">
        <f>AH27*AI20</f>
        <v>0.82072910123909892</v>
      </c>
      <c r="AJ27" s="2">
        <f>AI27*AJ20</f>
        <v>0.76576732857043173</v>
      </c>
      <c r="AK27" s="2">
        <f>AJ27*AK20</f>
        <v>0.76576732857043173</v>
      </c>
      <c r="AL27" s="2">
        <f>AK27*AL20</f>
        <v>0.76576732857043173</v>
      </c>
      <c r="AM27" s="2">
        <f>AL27*AM20</f>
        <v>0.76576732857043173</v>
      </c>
    </row>
    <row r="28" spans="2:39">
      <c r="C28" s="1" t="s">
        <v>73</v>
      </c>
      <c r="D28" s="115">
        <v>1</v>
      </c>
      <c r="E28" s="2">
        <f>D22*E22</f>
        <v>1</v>
      </c>
      <c r="F28" s="2">
        <f>E28*F22</f>
        <v>1</v>
      </c>
      <c r="G28" s="2">
        <f>F28*G22</f>
        <v>1</v>
      </c>
      <c r="H28" s="2">
        <f>G28*H22</f>
        <v>1</v>
      </c>
      <c r="I28" s="2">
        <f>H28*I22</f>
        <v>1</v>
      </c>
      <c r="J28" s="2">
        <f>I28*J22</f>
        <v>0.88316314568957377</v>
      </c>
      <c r="K28" s="2">
        <f>J28*K22</f>
        <v>0.88316314568957377</v>
      </c>
      <c r="L28" s="2">
        <f>K28*L22</f>
        <v>0.88316314568957377</v>
      </c>
      <c r="M28" s="2">
        <f>L28*M22</f>
        <v>0.88316314568957377</v>
      </c>
      <c r="N28" s="2">
        <f>M28*N22</f>
        <v>0.88316314568957377</v>
      </c>
      <c r="AB28" s="1" t="s">
        <v>67</v>
      </c>
      <c r="AC28" s="115">
        <v>1</v>
      </c>
      <c r="AD28" s="2">
        <f>AC21*AD21</f>
        <v>1</v>
      </c>
      <c r="AE28" s="2">
        <f>AD28*AE21</f>
        <v>1</v>
      </c>
      <c r="AF28" s="2">
        <f>AE28*AF21</f>
        <v>1</v>
      </c>
      <c r="AG28" s="2">
        <f>AF28*AG21</f>
        <v>0.92268083459058836</v>
      </c>
      <c r="AH28" s="2">
        <f>AG28*AH21</f>
        <v>0.86089165933173484</v>
      </c>
      <c r="AI28" s="2">
        <f>AH28*AI21</f>
        <v>0.86089165933173484</v>
      </c>
      <c r="AJ28" s="2">
        <f>AI28*AJ21</f>
        <v>0.86089165933173484</v>
      </c>
      <c r="AK28" s="2">
        <f>AJ28*AK21</f>
        <v>0.86089165933173484</v>
      </c>
      <c r="AL28" s="2">
        <f>AK28*AL21</f>
        <v>0.86089165933173484</v>
      </c>
      <c r="AM28" s="2">
        <f>AL28*AM21</f>
        <v>0.86089165933173484</v>
      </c>
    </row>
    <row r="29" spans="2:39">
      <c r="C29" s="1" t="s">
        <v>74</v>
      </c>
      <c r="D29" s="115">
        <v>1</v>
      </c>
      <c r="E29" s="2">
        <f>D23*E23</f>
        <v>1</v>
      </c>
      <c r="F29" s="2">
        <f>E29*F23</f>
        <v>1</v>
      </c>
      <c r="G29" s="2">
        <f>F29*G23</f>
        <v>0.91430782676182798</v>
      </c>
      <c r="H29" s="2">
        <f>G29*H23</f>
        <v>0.91430782676182798</v>
      </c>
      <c r="I29" s="2">
        <f>H29*I23</f>
        <v>0.79354213466051393</v>
      </c>
      <c r="J29" s="2">
        <f>I29*J23</f>
        <v>0.76651117640116229</v>
      </c>
      <c r="K29" s="2">
        <f>J29*K23</f>
        <v>0.76651117640116229</v>
      </c>
      <c r="L29" s="2">
        <f>K29*L23</f>
        <v>0.76651117640116229</v>
      </c>
      <c r="M29" s="2">
        <f>L29*M23</f>
        <v>0.76651117640116229</v>
      </c>
      <c r="N29" s="2">
        <f>M29*N23</f>
        <v>0.76651117640116229</v>
      </c>
      <c r="AB29" s="1" t="s">
        <v>68</v>
      </c>
      <c r="AC29" s="115">
        <v>1</v>
      </c>
      <c r="AD29" s="2">
        <f>AC22*AD22</f>
        <v>1</v>
      </c>
      <c r="AE29" s="2">
        <f>AD29*AE22</f>
        <v>0.89595845984076217</v>
      </c>
      <c r="AF29" s="2">
        <f>AE29*AF22</f>
        <v>0.79127749180015317</v>
      </c>
      <c r="AG29" s="2">
        <f>AF29*AG22</f>
        <v>0.76432367559029957</v>
      </c>
      <c r="AH29" s="2">
        <f>AG29*AH22</f>
        <v>0.76432367559029957</v>
      </c>
      <c r="AI29" s="2">
        <f>AH29*AI22</f>
        <v>0.72347120389334829</v>
      </c>
      <c r="AJ29" s="2">
        <f>AI29*AJ22</f>
        <v>0.72347120389334829</v>
      </c>
      <c r="AK29" s="2">
        <f>AJ29*AK22</f>
        <v>0.72347120389334829</v>
      </c>
      <c r="AL29" s="2">
        <f>AK29*AL22</f>
        <v>0.72347120389334829</v>
      </c>
      <c r="AM29" s="2">
        <f>AL29*AM22</f>
        <v>0.72347120389334829</v>
      </c>
    </row>
    <row r="30" spans="2:39">
      <c r="C30" s="1" t="s">
        <v>75</v>
      </c>
      <c r="D30" s="2">
        <v>0</v>
      </c>
      <c r="E30" s="2">
        <v>0.01</v>
      </c>
      <c r="F30" s="2">
        <v>0.05</v>
      </c>
      <c r="G30" s="2">
        <v>0.14000000000000001</v>
      </c>
      <c r="H30" s="2">
        <v>0.3</v>
      </c>
      <c r="I30" s="2">
        <v>0.5</v>
      </c>
      <c r="J30" s="2">
        <v>0.7</v>
      </c>
      <c r="K30" s="2">
        <v>0.86</v>
      </c>
      <c r="L30" s="2">
        <v>0.95</v>
      </c>
      <c r="M30" s="2">
        <v>0.99</v>
      </c>
      <c r="N30" s="2">
        <v>1</v>
      </c>
      <c r="AB30" s="1" t="s">
        <v>76</v>
      </c>
      <c r="AC30" s="115">
        <v>0</v>
      </c>
      <c r="AD30" s="1">
        <v>0.1</v>
      </c>
      <c r="AE30" s="1">
        <v>0.2</v>
      </c>
      <c r="AF30" s="1">
        <v>0.3</v>
      </c>
      <c r="AG30" s="1">
        <v>0.4</v>
      </c>
      <c r="AH30" s="1">
        <v>0.5</v>
      </c>
      <c r="AI30" s="1">
        <v>0.6</v>
      </c>
      <c r="AJ30" s="1">
        <v>0.7</v>
      </c>
      <c r="AK30" s="1">
        <v>0.8</v>
      </c>
      <c r="AL30" s="1">
        <v>0.9</v>
      </c>
      <c r="AM30" s="1">
        <v>1</v>
      </c>
    </row>
    <row r="31" spans="2:39">
      <c r="E31" s="7"/>
      <c r="F31" s="7"/>
      <c r="G31" s="7"/>
      <c r="H31" s="7"/>
      <c r="I31" s="7"/>
      <c r="J31" s="7"/>
      <c r="K31" s="7"/>
      <c r="L31" s="7"/>
      <c r="M31" s="7"/>
      <c r="N31" s="7"/>
    </row>
    <row r="33" spans="2:14">
      <c r="C33" s="1" t="s">
        <v>62</v>
      </c>
      <c r="D33" s="1">
        <v>10</v>
      </c>
    </row>
    <row r="34" spans="2:14">
      <c r="C34" s="1" t="s">
        <v>19</v>
      </c>
      <c r="D34" s="1">
        <v>2023</v>
      </c>
      <c r="E34" s="1">
        <v>2024</v>
      </c>
      <c r="F34" s="1">
        <v>2025</v>
      </c>
      <c r="G34" s="1">
        <v>2026</v>
      </c>
      <c r="H34" s="1">
        <v>2027</v>
      </c>
      <c r="I34" s="1">
        <v>2028</v>
      </c>
      <c r="J34" s="1">
        <v>2029</v>
      </c>
      <c r="K34" s="1">
        <v>2030</v>
      </c>
      <c r="L34" s="1">
        <v>2031</v>
      </c>
      <c r="M34" s="1">
        <v>2032</v>
      </c>
      <c r="N34" s="1">
        <v>2033</v>
      </c>
    </row>
    <row r="35" spans="2:14">
      <c r="B35" s="26"/>
      <c r="C35" s="1" t="s">
        <v>63</v>
      </c>
      <c r="D35" s="1">
        <v>1</v>
      </c>
      <c r="E35" s="1">
        <v>0.93303299153680697</v>
      </c>
      <c r="F35" s="1">
        <v>0.72477966367769497</v>
      </c>
      <c r="G35" s="1">
        <v>0.66744043624217231</v>
      </c>
      <c r="H35" s="1">
        <v>0.7049342406834318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</row>
    <row r="36" spans="2:14">
      <c r="B36" s="27"/>
      <c r="C36" s="1" t="s">
        <v>64</v>
      </c>
      <c r="D36" s="1">
        <v>1</v>
      </c>
      <c r="E36" s="1">
        <v>0.75327769492503804</v>
      </c>
      <c r="F36" s="1">
        <v>1</v>
      </c>
      <c r="G36" s="1">
        <v>0.81225239635623547</v>
      </c>
      <c r="H36" s="1">
        <v>0.62060004004191427</v>
      </c>
      <c r="I36" s="1">
        <v>0.81225239635623547</v>
      </c>
      <c r="J36" s="1">
        <v>0.74494573817718701</v>
      </c>
      <c r="K36" s="1">
        <v>0.65386816906006795</v>
      </c>
      <c r="L36" s="1">
        <v>0.92671142576842003</v>
      </c>
      <c r="M36" s="1">
        <v>0.71661219885282101</v>
      </c>
      <c r="N36" s="1">
        <v>1</v>
      </c>
    </row>
    <row r="37" spans="2:14">
      <c r="B37" s="27"/>
      <c r="C37" s="1" t="s">
        <v>65</v>
      </c>
      <c r="D37" s="1">
        <v>1</v>
      </c>
      <c r="E37" s="1">
        <v>1</v>
      </c>
      <c r="F37" s="1">
        <v>1</v>
      </c>
      <c r="G37" s="1">
        <v>1</v>
      </c>
      <c r="H37" s="1">
        <v>0.6897974972783647</v>
      </c>
      <c r="I37" s="1">
        <v>0.93303299153680741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</row>
    <row r="38" spans="2:14">
      <c r="B38" s="27"/>
      <c r="C38" s="1" t="s">
        <v>66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0.73752724891279675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</row>
    <row r="39" spans="2:14">
      <c r="B39" s="27"/>
      <c r="C39" s="1" t="s">
        <v>67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0.77997714190430334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</row>
    <row r="40" spans="2:14">
      <c r="B40" s="26"/>
      <c r="C40" s="1" t="s">
        <v>68</v>
      </c>
      <c r="D40" s="1">
        <v>1</v>
      </c>
      <c r="E40" s="1">
        <v>1</v>
      </c>
      <c r="F40" s="1">
        <v>0.93303299153680697</v>
      </c>
      <c r="G40" s="1">
        <v>0.85133992252078461</v>
      </c>
      <c r="H40" s="1">
        <v>1</v>
      </c>
      <c r="I40" s="1">
        <v>0.85133992252078461</v>
      </c>
      <c r="J40" s="1">
        <v>0.78679344219677205</v>
      </c>
      <c r="K40" s="1">
        <v>0.89595845984076194</v>
      </c>
      <c r="L40" s="1">
        <v>1</v>
      </c>
      <c r="M40" s="1">
        <v>1</v>
      </c>
      <c r="N40" s="1">
        <v>1</v>
      </c>
    </row>
    <row r="41" spans="2:14">
      <c r="C41" s="1" t="s">
        <v>63</v>
      </c>
      <c r="D41" s="1"/>
      <c r="E41" s="2">
        <f>D35*E35</f>
        <v>0.93303299153680697</v>
      </c>
      <c r="F41" s="2">
        <f>E41*F35</f>
        <v>0.67624333780624057</v>
      </c>
      <c r="G41" s="2">
        <f>F41*G35</f>
        <v>0.45135214839125992</v>
      </c>
      <c r="H41" s="2">
        <f>G41*H35</f>
        <v>0.31817358400702844</v>
      </c>
      <c r="I41" s="2">
        <f>H41*I35</f>
        <v>0.31817358400702844</v>
      </c>
      <c r="J41" s="2">
        <f>I41*J35</f>
        <v>0.31817358400702844</v>
      </c>
      <c r="K41" s="2">
        <f>J41*K35</f>
        <v>0.31817358400702844</v>
      </c>
      <c r="L41" s="2">
        <f>K41*L35</f>
        <v>0.31817358400702844</v>
      </c>
      <c r="M41" s="2">
        <f>L41*M35</f>
        <v>0.31817358400702844</v>
      </c>
      <c r="N41" s="2">
        <f>M41*N35</f>
        <v>0.31817358400702844</v>
      </c>
    </row>
    <row r="42" spans="2:14">
      <c r="C42" s="1" t="s">
        <v>64</v>
      </c>
      <c r="D42" s="1"/>
      <c r="E42" s="2">
        <f>D36*E36</f>
        <v>0.75327769492503804</v>
      </c>
      <c r="F42" s="2">
        <f>E42*F36</f>
        <v>0.75327769492503804</v>
      </c>
      <c r="G42" s="2">
        <f>F42*G36</f>
        <v>0.61185161282456346</v>
      </c>
      <c r="H42" s="2">
        <f>G42*H36</f>
        <v>0.37971513541863389</v>
      </c>
      <c r="I42" s="2">
        <f>H42*I36</f>
        <v>0.30842452867651782</v>
      </c>
      <c r="J42" s="2">
        <f>I42*J36</f>
        <v>0.22975953818687955</v>
      </c>
      <c r="K42" s="2">
        <f>J42*K36</f>
        <v>0.1502324485583417</v>
      </c>
      <c r="L42" s="2">
        <f>K42*L36</f>
        <v>0.13922212660018166</v>
      </c>
      <c r="M42" s="2">
        <f>L42*M36</f>
        <v>9.9768274271922003E-2</v>
      </c>
      <c r="N42" s="116">
        <f>M42*N36</f>
        <v>9.9768274271922003E-2</v>
      </c>
    </row>
    <row r="43" spans="2:14">
      <c r="C43" s="1" t="s">
        <v>65</v>
      </c>
      <c r="D43" s="1"/>
      <c r="E43" s="2">
        <f>D37*E37</f>
        <v>1</v>
      </c>
      <c r="F43" s="2">
        <f>E43*F37</f>
        <v>1</v>
      </c>
      <c r="G43" s="2">
        <f>F43*G37</f>
        <v>1</v>
      </c>
      <c r="H43" s="2">
        <f>G43*H37</f>
        <v>0.6897974972783647</v>
      </c>
      <c r="I43" s="2">
        <f>H43*I37</f>
        <v>0.6436038224402354</v>
      </c>
      <c r="J43" s="2">
        <f>I43*J37</f>
        <v>0.6436038224402354</v>
      </c>
      <c r="K43" s="2">
        <f>J43*K37</f>
        <v>0.6436038224402354</v>
      </c>
      <c r="L43" s="2">
        <f>K43*L37</f>
        <v>0.6436038224402354</v>
      </c>
      <c r="M43" s="2">
        <f>L43*M37</f>
        <v>0.6436038224402354</v>
      </c>
      <c r="N43" s="2">
        <f>M43*N37</f>
        <v>0.6436038224402354</v>
      </c>
    </row>
    <row r="44" spans="2:14">
      <c r="C44" s="1" t="s">
        <v>66</v>
      </c>
      <c r="D44" s="1"/>
      <c r="E44" s="2">
        <f>D38*E38</f>
        <v>1</v>
      </c>
      <c r="F44" s="2">
        <f>E44*F38</f>
        <v>1</v>
      </c>
      <c r="G44" s="2">
        <f>F44*G38</f>
        <v>1</v>
      </c>
      <c r="H44" s="2">
        <f>G44*H38</f>
        <v>1</v>
      </c>
      <c r="I44" s="2">
        <f>H44*I38</f>
        <v>0.73752724891279675</v>
      </c>
      <c r="J44" s="2">
        <f>I44*J38</f>
        <v>0.73752724891279675</v>
      </c>
      <c r="K44" s="2">
        <f>J44*K38</f>
        <v>0.73752724891279675</v>
      </c>
      <c r="L44" s="2">
        <f>K44*L38</f>
        <v>0.73752724891279675</v>
      </c>
      <c r="M44" s="2">
        <f>L44*M38</f>
        <v>0.73752724891279675</v>
      </c>
      <c r="N44" s="2">
        <f>M44*N38</f>
        <v>0.73752724891279675</v>
      </c>
    </row>
    <row r="45" spans="2:14">
      <c r="C45" s="1" t="s">
        <v>67</v>
      </c>
      <c r="D45" s="1"/>
      <c r="E45" s="2">
        <f>D39*E39</f>
        <v>1</v>
      </c>
      <c r="F45" s="2">
        <f>E45*F39</f>
        <v>1</v>
      </c>
      <c r="G45" s="2">
        <f>F45*G39</f>
        <v>1</v>
      </c>
      <c r="H45" s="2">
        <f>G45*H39</f>
        <v>1</v>
      </c>
      <c r="I45" s="2">
        <f>H45*I39</f>
        <v>0.77997714190430334</v>
      </c>
      <c r="J45" s="2">
        <f>I45*J39</f>
        <v>0.77997714190430334</v>
      </c>
      <c r="K45" s="2">
        <f>J45*K39</f>
        <v>0.77997714190430334</v>
      </c>
      <c r="L45" s="2">
        <f>K45*L39</f>
        <v>0.77997714190430334</v>
      </c>
      <c r="M45" s="2">
        <f>L45*M39</f>
        <v>0.77997714190430334</v>
      </c>
      <c r="N45" s="2">
        <f>M45*N39</f>
        <v>0.77997714190430334</v>
      </c>
    </row>
    <row r="46" spans="2:14">
      <c r="C46" s="1" t="s">
        <v>68</v>
      </c>
      <c r="D46" s="1"/>
      <c r="E46" s="2">
        <f>D40*E40</f>
        <v>1</v>
      </c>
      <c r="F46" s="2">
        <f>E46*F40</f>
        <v>0.93303299153680697</v>
      </c>
      <c r="G46" s="2">
        <f>F46*G40</f>
        <v>0.79432823472428116</v>
      </c>
      <c r="H46" s="2">
        <f>G46*H40</f>
        <v>0.79432823472428116</v>
      </c>
      <c r="I46" s="2">
        <f>H46*I40</f>
        <v>0.67624333780624113</v>
      </c>
      <c r="J46" s="2">
        <f>I46*J40</f>
        <v>0.53206382351520698</v>
      </c>
      <c r="K46" s="2">
        <f>J46*K40</f>
        <v>0.47670708385367183</v>
      </c>
      <c r="L46" s="2">
        <f>K46*L40</f>
        <v>0.47670708385367183</v>
      </c>
      <c r="M46" s="2">
        <f>L46*M40</f>
        <v>0.47670708385367183</v>
      </c>
      <c r="N46" s="2">
        <f>M46*N40</f>
        <v>0.47670708385367183</v>
      </c>
    </row>
    <row r="51" spans="2:14">
      <c r="C51" s="1" t="s">
        <v>62</v>
      </c>
      <c r="D51" s="1">
        <v>2.5</v>
      </c>
    </row>
    <row r="52" spans="2:14">
      <c r="C52" s="1" t="s">
        <v>19</v>
      </c>
      <c r="D52" s="1">
        <v>2023</v>
      </c>
      <c r="E52" s="1">
        <v>2024</v>
      </c>
      <c r="F52" s="1">
        <v>2025</v>
      </c>
      <c r="G52" s="1">
        <v>2026</v>
      </c>
      <c r="H52" s="1">
        <v>2027</v>
      </c>
      <c r="I52" s="1">
        <v>2028</v>
      </c>
      <c r="J52" s="1">
        <v>2029</v>
      </c>
      <c r="K52" s="1">
        <v>2030</v>
      </c>
      <c r="L52" s="1">
        <v>2031</v>
      </c>
      <c r="M52" s="1">
        <v>2032</v>
      </c>
      <c r="N52" s="1">
        <v>2033</v>
      </c>
    </row>
    <row r="53" spans="2:14">
      <c r="B53" s="26"/>
      <c r="C53" s="1" t="s">
        <v>63</v>
      </c>
      <c r="D53" s="1">
        <v>1</v>
      </c>
      <c r="E53" s="1">
        <v>0.95619445028813499</v>
      </c>
      <c r="F53" s="1">
        <v>0.88974469152735902</v>
      </c>
      <c r="G53" s="1">
        <v>1</v>
      </c>
      <c r="H53" s="1">
        <v>0.96593632892484504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</row>
    <row r="54" spans="2:14">
      <c r="B54" s="27"/>
      <c r="C54" s="1" t="s">
        <v>64</v>
      </c>
      <c r="D54" s="1">
        <v>1</v>
      </c>
      <c r="E54" s="1">
        <v>0.93976760195783204</v>
      </c>
      <c r="F54" s="1">
        <v>0.96056276972959298</v>
      </c>
      <c r="G54" s="1">
        <v>0.89385124591848197</v>
      </c>
      <c r="H54" s="1">
        <v>0.89286937327856197</v>
      </c>
      <c r="I54" s="1">
        <v>0.91773217424963005</v>
      </c>
      <c r="J54" s="1">
        <v>0.93788894365981701</v>
      </c>
      <c r="K54" s="1">
        <v>0.96593632892484504</v>
      </c>
      <c r="L54" s="1">
        <v>0.92671142576842003</v>
      </c>
      <c r="M54" s="1">
        <v>1</v>
      </c>
      <c r="N54" s="1">
        <v>1</v>
      </c>
    </row>
    <row r="55" spans="2:14">
      <c r="B55" s="27"/>
      <c r="C55" s="1" t="s">
        <v>65</v>
      </c>
      <c r="D55" s="1">
        <v>1</v>
      </c>
      <c r="E55" s="1">
        <v>1</v>
      </c>
      <c r="F55" s="1">
        <v>1</v>
      </c>
      <c r="G55" s="1">
        <v>1</v>
      </c>
      <c r="H55" s="1">
        <v>0.93028964606070108</v>
      </c>
      <c r="I55" s="1">
        <v>0.936152926</v>
      </c>
      <c r="J55" s="1">
        <v>1</v>
      </c>
      <c r="K55" s="1">
        <v>0.93976760195783182</v>
      </c>
      <c r="L55" s="1">
        <v>1</v>
      </c>
      <c r="M55" s="1">
        <v>1</v>
      </c>
      <c r="N55" s="1">
        <v>1</v>
      </c>
    </row>
    <row r="56" spans="2:14">
      <c r="B56" s="27"/>
      <c r="C56" s="1" t="s">
        <v>66</v>
      </c>
      <c r="D56" s="1">
        <v>1</v>
      </c>
      <c r="E56" s="1">
        <v>1</v>
      </c>
      <c r="F56" s="1">
        <v>1</v>
      </c>
      <c r="G56" s="1">
        <v>1</v>
      </c>
      <c r="H56" s="1">
        <v>0.94406087628592339</v>
      </c>
      <c r="I56" s="1">
        <v>0.96056277000000001</v>
      </c>
      <c r="J56" s="1">
        <v>1</v>
      </c>
      <c r="K56" s="1">
        <v>0.96056276972959365</v>
      </c>
      <c r="L56" s="1">
        <v>1</v>
      </c>
      <c r="M56" s="1">
        <v>1</v>
      </c>
      <c r="N56" s="1">
        <v>1</v>
      </c>
    </row>
    <row r="57" spans="2:14">
      <c r="B57" s="27"/>
      <c r="C57" s="1" t="s">
        <v>67</v>
      </c>
      <c r="D57" s="1">
        <v>1</v>
      </c>
      <c r="E57" s="1">
        <v>1</v>
      </c>
      <c r="F57" s="1">
        <v>1</v>
      </c>
      <c r="G57" s="1">
        <v>1</v>
      </c>
      <c r="H57" s="1">
        <v>0.94934212095051917</v>
      </c>
      <c r="I57" s="1">
        <v>1</v>
      </c>
      <c r="J57" s="1">
        <v>1</v>
      </c>
      <c r="K57" s="1">
        <v>0.97290843486946876</v>
      </c>
      <c r="L57" s="1">
        <v>1</v>
      </c>
      <c r="M57" s="1">
        <v>1</v>
      </c>
      <c r="N57" s="1">
        <v>1</v>
      </c>
    </row>
    <row r="58" spans="2:14">
      <c r="B58" s="26"/>
      <c r="C58" s="1" t="s">
        <v>68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0.936152926</v>
      </c>
      <c r="J58" s="1">
        <v>0.94406087628592339</v>
      </c>
      <c r="K58" s="1">
        <v>1</v>
      </c>
      <c r="L58" s="1">
        <v>1</v>
      </c>
      <c r="M58" s="1">
        <v>1</v>
      </c>
      <c r="N58" s="1">
        <v>1</v>
      </c>
    </row>
    <row r="59" spans="2:14">
      <c r="C59" s="1" t="s">
        <v>63</v>
      </c>
      <c r="D59" s="1"/>
      <c r="E59" s="2">
        <f>D53*E53</f>
        <v>0.95619445028813499</v>
      </c>
      <c r="F59" s="2">
        <f>E59*F53</f>
        <v>0.85076893621178928</v>
      </c>
      <c r="G59" s="2">
        <f>F59*G53</f>
        <v>0.85076893621178928</v>
      </c>
      <c r="H59" s="2">
        <f>G59*H53</f>
        <v>0.82178862300771138</v>
      </c>
      <c r="I59" s="2">
        <f>H59*I53</f>
        <v>0.82178862300771138</v>
      </c>
      <c r="J59" s="2">
        <f>I59*J53</f>
        <v>0.82178862300771138</v>
      </c>
      <c r="K59" s="2">
        <f>J59*K53</f>
        <v>0.82178862300771138</v>
      </c>
      <c r="L59" s="2">
        <f>K59*L53</f>
        <v>0.82178862300771138</v>
      </c>
      <c r="M59" s="2">
        <f>L59*M53</f>
        <v>0.82178862300771138</v>
      </c>
      <c r="N59" s="2">
        <f>M59*N53</f>
        <v>0.82178862300771138</v>
      </c>
    </row>
    <row r="60" spans="2:14">
      <c r="C60" s="1" t="s">
        <v>64</v>
      </c>
      <c r="D60" s="1"/>
      <c r="E60" s="2">
        <f>D54*E54</f>
        <v>0.93976760195783204</v>
      </c>
      <c r="F60" s="2">
        <f>E60*F54</f>
        <v>0.90270577063875279</v>
      </c>
      <c r="G60" s="2">
        <f>F60*G54</f>
        <v>0.80688467778325257</v>
      </c>
      <c r="H60" s="2">
        <f>G60*H54</f>
        <v>0.72044261656040709</v>
      </c>
      <c r="I60" s="2">
        <f>H60*I54</f>
        <v>0.66117336891807488</v>
      </c>
      <c r="J60" s="2">
        <f>I60*J54</f>
        <v>0.62010719255057578</v>
      </c>
      <c r="K60" s="2">
        <f>J60*K54</f>
        <v>0.59898406511219515</v>
      </c>
      <c r="L60" s="2">
        <f>K60*L54</f>
        <v>0.55508537699268645</v>
      </c>
      <c r="M60" s="2">
        <f>L60*M54</f>
        <v>0.55508537699268645</v>
      </c>
      <c r="N60" s="2">
        <f>M60*N54</f>
        <v>0.55508537699268645</v>
      </c>
    </row>
    <row r="61" spans="2:14">
      <c r="C61" s="1" t="s">
        <v>65</v>
      </c>
      <c r="D61" s="1"/>
      <c r="E61" s="2">
        <f>D55*E55</f>
        <v>1</v>
      </c>
      <c r="F61" s="2">
        <f>E61*F55</f>
        <v>1</v>
      </c>
      <c r="G61" s="2">
        <f>F61*G55</f>
        <v>1</v>
      </c>
      <c r="H61" s="2">
        <f>G61*H55</f>
        <v>0.93028964606070108</v>
      </c>
      <c r="I61" s="2">
        <f>H61*I55</f>
        <v>0.87089337418722967</v>
      </c>
      <c r="J61" s="2">
        <f>I61*J55</f>
        <v>0.87089337418722967</v>
      </c>
      <c r="K61" s="2">
        <f>J61*K55</f>
        <v>0.81843737782089754</v>
      </c>
      <c r="L61" s="2">
        <f>K61*L55</f>
        <v>0.81843737782089754</v>
      </c>
      <c r="M61" s="2">
        <f>L61*M55</f>
        <v>0.81843737782089754</v>
      </c>
      <c r="N61" s="2">
        <f>M61*N55</f>
        <v>0.81843737782089754</v>
      </c>
    </row>
    <row r="62" spans="2:14">
      <c r="C62" s="1" t="s">
        <v>66</v>
      </c>
      <c r="D62" s="1"/>
      <c r="E62" s="2">
        <f>D56*E56</f>
        <v>1</v>
      </c>
      <c r="F62" s="2">
        <f>E62*F56</f>
        <v>1</v>
      </c>
      <c r="G62" s="2">
        <f>F62*G56</f>
        <v>1</v>
      </c>
      <c r="H62" s="2">
        <f>G62*H56</f>
        <v>0.94406087628592339</v>
      </c>
      <c r="I62" s="2">
        <f>H62*I56</f>
        <v>0.90682973037383385</v>
      </c>
      <c r="J62" s="2">
        <f>I62*J56</f>
        <v>0.90682973037383385</v>
      </c>
      <c r="K62" s="2">
        <f>J62*K56</f>
        <v>0.87106687748103051</v>
      </c>
      <c r="L62" s="2">
        <f>K62*L56</f>
        <v>0.87106687748103051</v>
      </c>
      <c r="M62" s="2">
        <f>L62*M56</f>
        <v>0.87106687748103051</v>
      </c>
      <c r="N62" s="2">
        <f>M62*N56</f>
        <v>0.87106687748103051</v>
      </c>
    </row>
    <row r="63" spans="2:14">
      <c r="C63" s="1" t="s">
        <v>67</v>
      </c>
      <c r="D63" s="1"/>
      <c r="E63" s="2">
        <f>D57*E57</f>
        <v>1</v>
      </c>
      <c r="F63" s="2">
        <f>E63*F57</f>
        <v>1</v>
      </c>
      <c r="G63" s="2">
        <f>F63*G57</f>
        <v>1</v>
      </c>
      <c r="H63" s="2">
        <f>G63*H57</f>
        <v>0.94934212095051917</v>
      </c>
      <c r="I63" s="2">
        <f>H63*I57</f>
        <v>0.94934212095051917</v>
      </c>
      <c r="J63" s="2">
        <f>I63*J57</f>
        <v>0.94934212095051917</v>
      </c>
      <c r="K63" s="2">
        <f>J63*K57</f>
        <v>0.92362295704963149</v>
      </c>
      <c r="L63" s="2">
        <f>K63*L57</f>
        <v>0.92362295704963149</v>
      </c>
      <c r="M63" s="2">
        <f>L63*M57</f>
        <v>0.92362295704963149</v>
      </c>
      <c r="N63" s="2">
        <f>M63*N57</f>
        <v>0.92362295704963149</v>
      </c>
    </row>
    <row r="64" spans="2:14">
      <c r="C64" s="1" t="s">
        <v>68</v>
      </c>
      <c r="D64" s="1"/>
      <c r="E64" s="2">
        <f>D58*E58</f>
        <v>1</v>
      </c>
      <c r="F64" s="2">
        <f>E64*F58</f>
        <v>1</v>
      </c>
      <c r="G64" s="2">
        <f>F64*G58</f>
        <v>1</v>
      </c>
      <c r="H64" s="2">
        <f>G64*H58</f>
        <v>1</v>
      </c>
      <c r="I64" s="2">
        <f>H64*I58</f>
        <v>0.936152926</v>
      </c>
      <c r="J64" s="2">
        <f>I64*J58</f>
        <v>0.88378535165719119</v>
      </c>
      <c r="K64" s="2">
        <f>J64*K58</f>
        <v>0.88378535165719119</v>
      </c>
      <c r="L64" s="2">
        <f>K64*L58</f>
        <v>0.88378535165719119</v>
      </c>
      <c r="M64" s="2">
        <f>L64*M58</f>
        <v>0.88378535165719119</v>
      </c>
      <c r="N64" s="2">
        <f>M64*N58</f>
        <v>0.88378535165719119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F000-1F00-B544-BFC0-12C6DF763F84}">
  <dimension ref="B1:AX79"/>
  <sheetViews>
    <sheetView zoomScale="80" zoomScaleNormal="80" workbookViewId="0">
      <selection activeCell="N7" sqref="N7"/>
    </sheetView>
  </sheetViews>
  <sheetFormatPr baseColWidth="10" defaultColWidth="8.83203125" defaultRowHeight="15"/>
  <cols>
    <col min="3" max="3" width="15" customWidth="1"/>
    <col min="4" max="4" width="26" bestFit="1" customWidth="1"/>
    <col min="15" max="15" width="12.83203125" bestFit="1" customWidth="1"/>
    <col min="16" max="16" width="12.83203125" customWidth="1"/>
    <col min="19" max="19" width="14.5" customWidth="1"/>
    <col min="20" max="20" width="13.83203125" customWidth="1"/>
    <col min="21" max="22" width="9.83203125" bestFit="1" customWidth="1"/>
    <col min="23" max="23" width="9.83203125" customWidth="1"/>
    <col min="24" max="24" width="16.6640625" bestFit="1" customWidth="1"/>
    <col min="25" max="25" width="20.5" bestFit="1" customWidth="1"/>
    <col min="26" max="27" width="20.5" customWidth="1"/>
    <col min="28" max="28" width="10.83203125" bestFit="1" customWidth="1"/>
    <col min="29" max="29" width="20.5" bestFit="1" customWidth="1"/>
    <col min="30" max="30" width="11.5" customWidth="1"/>
    <col min="31" max="31" width="11.5" bestFit="1" customWidth="1"/>
    <col min="32" max="32" width="11.33203125" bestFit="1" customWidth="1"/>
    <col min="33" max="33" width="11.83203125" bestFit="1" customWidth="1"/>
    <col min="38" max="39" width="9.83203125" bestFit="1" customWidth="1"/>
    <col min="41" max="41" width="14" customWidth="1"/>
    <col min="45" max="45" width="13.83203125" bestFit="1" customWidth="1"/>
    <col min="46" max="46" width="27.33203125" bestFit="1" customWidth="1"/>
  </cols>
  <sheetData>
    <row r="1" spans="2:50">
      <c r="B1" s="1" t="s">
        <v>196</v>
      </c>
      <c r="C1" s="1" t="s">
        <v>189</v>
      </c>
      <c r="D1" s="1" t="s">
        <v>190</v>
      </c>
      <c r="E1" s="1" t="s">
        <v>191</v>
      </c>
    </row>
    <row r="2" spans="2:50">
      <c r="B2" s="1">
        <v>2023</v>
      </c>
      <c r="C2" s="1">
        <v>1764591.2</v>
      </c>
      <c r="D2" s="1">
        <f>C2*0.44</f>
        <v>776420.12800000003</v>
      </c>
      <c r="E2" s="1">
        <f>C2*1/3</f>
        <v>588197.06666666665</v>
      </c>
    </row>
    <row r="3" spans="2:50">
      <c r="B3" s="1">
        <v>2024</v>
      </c>
      <c r="C3" s="1">
        <v>1764591.2</v>
      </c>
      <c r="D3" s="1">
        <f>C3*0.44</f>
        <v>776420.12800000003</v>
      </c>
      <c r="E3" s="1">
        <f>C3*1/3</f>
        <v>588197.06666666665</v>
      </c>
    </row>
    <row r="4" spans="2:50">
      <c r="B4" s="1">
        <v>2025</v>
      </c>
      <c r="C4" s="1">
        <v>1764591.2</v>
      </c>
      <c r="D4" s="1">
        <f>C4*0.44</f>
        <v>776420.12800000003</v>
      </c>
      <c r="E4" s="1">
        <f>C4*1/3</f>
        <v>588197.06666666665</v>
      </c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</row>
    <row r="5" spans="2:50">
      <c r="B5" s="1">
        <v>2026</v>
      </c>
      <c r="C5" s="1">
        <v>1764591.2</v>
      </c>
      <c r="D5" s="1">
        <f>C5*0.44</f>
        <v>776420.12800000003</v>
      </c>
      <c r="E5" s="1">
        <f>C5*1/3</f>
        <v>588197.06666666665</v>
      </c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</row>
    <row r="6" spans="2:50">
      <c r="B6" s="1">
        <v>2027</v>
      </c>
      <c r="C6" s="1">
        <v>1764591.2</v>
      </c>
      <c r="D6" s="1">
        <f>C6*0.44</f>
        <v>776420.12800000003</v>
      </c>
      <c r="E6" s="1">
        <f>C6*1/3</f>
        <v>588197.06666666665</v>
      </c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</row>
    <row r="7" spans="2:50">
      <c r="B7" s="1">
        <v>2028</v>
      </c>
      <c r="C7" s="1">
        <v>1764591.2</v>
      </c>
      <c r="D7" s="1">
        <f>C7*0.44</f>
        <v>776420.12800000003</v>
      </c>
      <c r="E7" s="1">
        <f>C7*1/3</f>
        <v>588197.06666666665</v>
      </c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</row>
    <row r="8" spans="2:50">
      <c r="B8" s="1">
        <v>2029</v>
      </c>
      <c r="C8" s="1">
        <v>1764591.2</v>
      </c>
      <c r="D8" s="1">
        <f>C8*0.44</f>
        <v>776420.12800000003</v>
      </c>
      <c r="E8" s="1">
        <f>C8*1/3</f>
        <v>588197.06666666665</v>
      </c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</row>
    <row r="9" spans="2:50">
      <c r="B9" s="1">
        <v>2030</v>
      </c>
      <c r="C9" s="1">
        <v>1764591.2</v>
      </c>
      <c r="D9" s="1">
        <f>C9*0.44</f>
        <v>776420.12800000003</v>
      </c>
      <c r="E9" s="1">
        <f>C9*1/3</f>
        <v>588197.06666666665</v>
      </c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</row>
    <row r="10" spans="2:50">
      <c r="B10" s="1">
        <v>2031</v>
      </c>
      <c r="C10" s="1">
        <v>1764591.2</v>
      </c>
      <c r="D10" s="1">
        <f>C10*0.44</f>
        <v>776420.12800000003</v>
      </c>
      <c r="E10" s="1">
        <f>C10*1/3</f>
        <v>588197.06666666665</v>
      </c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</row>
    <row r="11" spans="2:50">
      <c r="B11" s="1">
        <v>2032</v>
      </c>
      <c r="C11" s="1">
        <v>1764591.2</v>
      </c>
      <c r="D11" s="1">
        <f>C11*0.44</f>
        <v>776420.12800000003</v>
      </c>
      <c r="E11" s="1">
        <f>C11*1/3</f>
        <v>588197.06666666665</v>
      </c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</row>
    <row r="12" spans="2:50" ht="16" customHeight="1">
      <c r="B12" s="1">
        <v>2033</v>
      </c>
      <c r="C12" s="1">
        <v>1764591.2</v>
      </c>
      <c r="D12" s="1">
        <f>C12*0.44</f>
        <v>776420.12800000003</v>
      </c>
      <c r="E12" s="1">
        <f>C12*1/3</f>
        <v>588197.06666666665</v>
      </c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</row>
    <row r="13" spans="2:50" ht="16" customHeight="1">
      <c r="I13" s="1"/>
      <c r="J13" s="1"/>
      <c r="K13" s="1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</row>
    <row r="14" spans="2:50">
      <c r="B14" s="1" t="s">
        <v>19</v>
      </c>
      <c r="C14" s="1" t="s">
        <v>182</v>
      </c>
      <c r="D14" s="1"/>
      <c r="E14" s="1" t="s">
        <v>183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</row>
    <row r="15" spans="2:50">
      <c r="B15" s="1">
        <v>2024</v>
      </c>
      <c r="C15" s="1">
        <v>5160.7720822000001</v>
      </c>
      <c r="D15" s="1">
        <f>C15</f>
        <v>5160.7720822000001</v>
      </c>
      <c r="E15" s="1">
        <v>0.14599999999999999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f>SUM(F15:O15)+D15</f>
        <v>5160.7720822000001</v>
      </c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</row>
    <row r="16" spans="2:50">
      <c r="B16" s="1">
        <v>2025</v>
      </c>
      <c r="C16" s="1">
        <v>27245.877312956502</v>
      </c>
      <c r="D16" s="1">
        <f>C16+D15</f>
        <v>32406.649395156503</v>
      </c>
      <c r="E16" s="1">
        <v>0.127</v>
      </c>
      <c r="F16" s="1">
        <f>$D$15*(E15-E16)/E15</f>
        <v>671.6073257657531</v>
      </c>
      <c r="G16" s="1"/>
      <c r="H16" s="1"/>
      <c r="I16" s="1"/>
      <c r="J16" s="1"/>
      <c r="K16" s="1"/>
      <c r="L16" s="1"/>
      <c r="M16" s="1"/>
      <c r="N16" s="1"/>
      <c r="O16" s="1"/>
      <c r="P16" s="1">
        <f t="shared" ref="P16:P24" si="0">SUM(F16:O16)+D16</f>
        <v>33078.256720922254</v>
      </c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</row>
    <row r="17" spans="2:50">
      <c r="B17" s="1">
        <v>2026</v>
      </c>
      <c r="C17" s="1">
        <v>111962.773202873</v>
      </c>
      <c r="D17" s="1">
        <f t="shared" ref="D17:D24" si="1">C17+D16</f>
        <v>144369.42259802949</v>
      </c>
      <c r="E17" s="1">
        <v>9.5000000000000001E-2</v>
      </c>
      <c r="F17" s="1">
        <f t="shared" ref="F17:F24" si="2">$D$15*($E$15-E17)/$E$15</f>
        <v>1802.7354533712328</v>
      </c>
      <c r="G17" s="1">
        <f t="shared" ref="G17:G24" si="3">$C$16*($E$16-E17)/$E$16</f>
        <v>6865.1029449969137</v>
      </c>
      <c r="H17" s="1"/>
      <c r="I17" s="1"/>
      <c r="J17" s="1"/>
      <c r="K17" s="1"/>
      <c r="L17" s="1"/>
      <c r="M17" s="1"/>
      <c r="N17" s="1"/>
      <c r="O17" s="1"/>
      <c r="P17" s="1">
        <f t="shared" si="0"/>
        <v>153037.26099639764</v>
      </c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</row>
    <row r="18" spans="2:50">
      <c r="B18" s="1">
        <v>2027</v>
      </c>
      <c r="C18" s="1">
        <v>284642.88295019203</v>
      </c>
      <c r="D18" s="1">
        <f>C18+D17</f>
        <v>429012.30554822151</v>
      </c>
      <c r="E18" s="1">
        <v>7.0000000000000007E-2</v>
      </c>
      <c r="F18" s="1">
        <f t="shared" si="2"/>
        <v>2686.4293030630133</v>
      </c>
      <c r="G18" s="1">
        <f t="shared" si="3"/>
        <v>12228.464620775752</v>
      </c>
      <c r="H18" s="1">
        <f t="shared" ref="H18:H24" si="4">$C$17*($E$17-E18)/$E$17</f>
        <v>29463.887684966572</v>
      </c>
      <c r="I18" s="1"/>
      <c r="J18" s="1"/>
      <c r="K18" s="1"/>
      <c r="L18" s="1"/>
      <c r="M18" s="1"/>
      <c r="N18" s="1"/>
      <c r="O18" s="1"/>
      <c r="P18" s="1">
        <f t="shared" si="0"/>
        <v>473391.08715702686</v>
      </c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</row>
    <row r="19" spans="2:50">
      <c r="B19" s="1">
        <v>2028</v>
      </c>
      <c r="C19" s="1">
        <v>361795.09469150001</v>
      </c>
      <c r="D19" s="1">
        <f t="shared" si="1"/>
        <v>790807.40023972152</v>
      </c>
      <c r="E19" s="1">
        <v>6.0999999999999999E-2</v>
      </c>
      <c r="F19" s="1">
        <f t="shared" si="2"/>
        <v>3004.5590889520549</v>
      </c>
      <c r="G19" s="1">
        <f t="shared" si="3"/>
        <v>14159.274824056134</v>
      </c>
      <c r="H19" s="1">
        <f t="shared" si="4"/>
        <v>40070.887251554552</v>
      </c>
      <c r="I19" s="1">
        <f t="shared" ref="I19:I24" si="5">$C$18*($E$18-E19)/$E$18</f>
        <v>36596.942093596146</v>
      </c>
      <c r="J19" s="1"/>
      <c r="K19" s="1"/>
      <c r="L19" s="1"/>
      <c r="M19" s="1"/>
      <c r="N19" s="1"/>
      <c r="O19" s="1"/>
      <c r="P19" s="1">
        <f t="shared" si="0"/>
        <v>884639.06349788047</v>
      </c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</row>
    <row r="20" spans="2:50">
      <c r="B20" s="1">
        <v>2029</v>
      </c>
      <c r="C20" s="1">
        <v>274319.30555934401</v>
      </c>
      <c r="D20" s="1">
        <f t="shared" si="1"/>
        <v>1065126.7057990655</v>
      </c>
      <c r="E20" s="1">
        <v>5.1999999999999998E-2</v>
      </c>
      <c r="F20" s="1">
        <f t="shared" si="2"/>
        <v>3322.6888748410961</v>
      </c>
      <c r="G20" s="1">
        <f t="shared" si="3"/>
        <v>16090.085027336519</v>
      </c>
      <c r="H20" s="1">
        <f t="shared" si="4"/>
        <v>50677.886818142513</v>
      </c>
      <c r="I20" s="1">
        <f t="shared" si="5"/>
        <v>73193.884187192263</v>
      </c>
      <c r="J20" s="1">
        <f>$C$19*($E$19-E20)/$E$19</f>
        <v>53379.604134811481</v>
      </c>
      <c r="K20" s="1"/>
      <c r="L20" s="1"/>
      <c r="M20" s="1"/>
      <c r="N20" s="1"/>
      <c r="O20" s="1"/>
      <c r="P20" s="1">
        <f t="shared" si="0"/>
        <v>1261790.8548413895</v>
      </c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</row>
    <row r="21" spans="2:50">
      <c r="B21" s="1">
        <v>2030</v>
      </c>
      <c r="C21" s="1">
        <v>105098.12628518901</v>
      </c>
      <c r="D21" s="1">
        <f t="shared" si="1"/>
        <v>1170224.8320842546</v>
      </c>
      <c r="E21" s="1">
        <v>4.8000000000000001E-2</v>
      </c>
      <c r="F21" s="1">
        <f t="shared" si="2"/>
        <v>3464.0798907917806</v>
      </c>
      <c r="G21" s="1">
        <f t="shared" si="3"/>
        <v>16948.222895461131</v>
      </c>
      <c r="H21" s="1">
        <f t="shared" si="4"/>
        <v>55392.108847737167</v>
      </c>
      <c r="I21" s="1">
        <f t="shared" si="5"/>
        <v>89459.191784346069</v>
      </c>
      <c r="J21" s="1">
        <f>$C$19*($E$19-E21)/$E$19</f>
        <v>77103.872639172114</v>
      </c>
      <c r="K21" s="1">
        <f>$C$20*($E$20-E21)/$E$20</f>
        <v>21101.485043026445</v>
      </c>
      <c r="L21" s="1"/>
      <c r="M21" s="1"/>
      <c r="N21" s="1"/>
      <c r="O21" s="1"/>
      <c r="P21" s="1">
        <f t="shared" si="0"/>
        <v>1433693.7931847894</v>
      </c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</row>
    <row r="22" spans="2:50">
      <c r="B22" s="1">
        <v>2031</v>
      </c>
      <c r="C22" s="1">
        <v>16719.756592000002</v>
      </c>
      <c r="D22" s="1">
        <f t="shared" si="1"/>
        <v>1186944.5886762545</v>
      </c>
      <c r="E22" s="1">
        <v>0.04</v>
      </c>
      <c r="F22" s="1">
        <f t="shared" si="2"/>
        <v>3746.8619226931505</v>
      </c>
      <c r="G22" s="1">
        <f t="shared" si="3"/>
        <v>18664.498631710358</v>
      </c>
      <c r="H22" s="1">
        <f t="shared" si="4"/>
        <v>64820.552906926467</v>
      </c>
      <c r="I22" s="1">
        <f t="shared" si="5"/>
        <v>121989.80697865374</v>
      </c>
      <c r="J22" s="1">
        <f>$C$19*($E$19-E22)/$E$19</f>
        <v>124552.40964789344</v>
      </c>
      <c r="K22" s="1">
        <f>$C$20*($E$20-E22)/$E$20</f>
        <v>63304.455129079368</v>
      </c>
      <c r="L22" s="1">
        <f>$C$21*($E$21-E22)/$E$21</f>
        <v>17516.354380864836</v>
      </c>
      <c r="M22" s="1"/>
      <c r="N22" s="1"/>
      <c r="O22" s="1"/>
      <c r="P22" s="1">
        <f t="shared" si="0"/>
        <v>1601539.5282740758</v>
      </c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</row>
    <row r="23" spans="2:50">
      <c r="B23" s="1">
        <v>2032</v>
      </c>
      <c r="C23" s="1">
        <v>796.50282879999997</v>
      </c>
      <c r="D23" s="1">
        <f t="shared" si="1"/>
        <v>1187741.0915050544</v>
      </c>
      <c r="E23" s="1">
        <v>3.2000000000000001E-2</v>
      </c>
      <c r="F23" s="1">
        <f t="shared" si="2"/>
        <v>4029.6439545945209</v>
      </c>
      <c r="G23" s="1">
        <f t="shared" si="3"/>
        <v>20380.774367959588</v>
      </c>
      <c r="H23" s="1">
        <f t="shared" si="4"/>
        <v>74248.996966115781</v>
      </c>
      <c r="I23" s="1">
        <f t="shared" si="5"/>
        <v>154520.42217296138</v>
      </c>
      <c r="J23" s="1">
        <f>$C$19*($E$19-E23)/$E$19</f>
        <v>172000.94665661475</v>
      </c>
      <c r="K23" s="1">
        <f>$C$20*($E$20-E23)/$E$20</f>
        <v>105507.4252151323</v>
      </c>
      <c r="L23" s="1">
        <f>$C$21*($E$21-E23)/$E$21</f>
        <v>35032.708761729671</v>
      </c>
      <c r="M23" s="1">
        <f>$C$22*($E$22-E23)/$E$22</f>
        <v>3343.9513184000007</v>
      </c>
      <c r="N23" s="1"/>
      <c r="O23" s="1"/>
      <c r="P23" s="1">
        <f t="shared" si="0"/>
        <v>1756805.9609185625</v>
      </c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</row>
    <row r="24" spans="2:50">
      <c r="B24" s="1">
        <v>2033</v>
      </c>
      <c r="C24" s="1">
        <v>701.82911333927495</v>
      </c>
      <c r="D24" s="1">
        <f t="shared" si="1"/>
        <v>1188442.9206183937</v>
      </c>
      <c r="E24" s="1">
        <v>2.5000000000000001E-2</v>
      </c>
      <c r="F24" s="1">
        <f t="shared" si="2"/>
        <v>4277.07823250822</v>
      </c>
      <c r="G24" s="1">
        <f t="shared" si="3"/>
        <v>21882.515637177665</v>
      </c>
      <c r="H24" s="1">
        <f t="shared" si="4"/>
        <v>82498.885517906427</v>
      </c>
      <c r="I24" s="1">
        <f t="shared" si="5"/>
        <v>182984.71046798059</v>
      </c>
      <c r="J24" s="1">
        <f>$C$19*($E$19-E24)/$E$19</f>
        <v>213518.4165392459</v>
      </c>
      <c r="K24" s="1">
        <f>$C$20*($E$20-E24)/$E$20</f>
        <v>142435.0240404286</v>
      </c>
      <c r="L24" s="1">
        <f>$C$21*($E$21-E24)/$E$21</f>
        <v>50359.5188449864</v>
      </c>
      <c r="M24" s="1">
        <f>$C$22*($E$22-E24)/$E$22</f>
        <v>6269.9087220000001</v>
      </c>
      <c r="N24" s="1">
        <f>$C$23*($E$23-E24)/$E$23</f>
        <v>174.23499379999998</v>
      </c>
      <c r="O24" s="1"/>
      <c r="P24" s="1">
        <f t="shared" si="0"/>
        <v>1892843.2136144275</v>
      </c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</row>
    <row r="25" spans="2:50">
      <c r="B25" s="1"/>
      <c r="C25" s="1"/>
      <c r="D25" s="1"/>
      <c r="E25" s="1"/>
      <c r="F25" s="1">
        <f>SUM(F16:F24)</f>
        <v>27005.684046580827</v>
      </c>
      <c r="G25" s="1">
        <f t="shared" ref="G25:N25" si="6">SUM(G16:G24)</f>
        <v>127218.93894947408</v>
      </c>
      <c r="H25" s="1">
        <f t="shared" si="6"/>
        <v>397173.20599334943</v>
      </c>
      <c r="I25" s="1">
        <f t="shared" si="6"/>
        <v>658744.95768473018</v>
      </c>
      <c r="J25" s="1">
        <f t="shared" si="6"/>
        <v>640555.2496177376</v>
      </c>
      <c r="K25" s="1">
        <f t="shared" si="6"/>
        <v>332348.38942766667</v>
      </c>
      <c r="L25" s="1">
        <f t="shared" si="6"/>
        <v>102908.5819875809</v>
      </c>
      <c r="M25" s="1">
        <f t="shared" si="6"/>
        <v>9613.8600404000008</v>
      </c>
      <c r="N25" s="1">
        <f t="shared" si="6"/>
        <v>174.23499379999998</v>
      </c>
      <c r="O25" s="1">
        <f>SUM(F25:N25)</f>
        <v>2295743.1027413197</v>
      </c>
      <c r="P25" s="1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1"/>
      <c r="AT25" s="120"/>
      <c r="AU25" s="120"/>
      <c r="AV25" s="120"/>
      <c r="AW25" s="120"/>
      <c r="AX25" s="120"/>
    </row>
    <row r="26" spans="2:50"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1"/>
      <c r="AP26" s="120"/>
      <c r="AQ26" s="120"/>
      <c r="AR26" s="120"/>
      <c r="AS26" s="121"/>
      <c r="AT26" s="120"/>
      <c r="AU26" s="120"/>
      <c r="AV26" s="120"/>
      <c r="AW26" s="120"/>
      <c r="AX26" s="120"/>
    </row>
    <row r="27" spans="2:50">
      <c r="P27" s="1" t="s">
        <v>19</v>
      </c>
      <c r="Q27" s="1" t="s">
        <v>186</v>
      </c>
      <c r="R27" s="1"/>
      <c r="S27" s="1" t="s">
        <v>187</v>
      </c>
      <c r="T27" s="1" t="s">
        <v>188</v>
      </c>
      <c r="U27" s="1"/>
    </row>
    <row r="28" spans="2:50">
      <c r="B28" s="1" t="s">
        <v>19</v>
      </c>
      <c r="C28" s="1" t="s">
        <v>183</v>
      </c>
      <c r="D28" s="1" t="s">
        <v>182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>
        <v>2023</v>
      </c>
      <c r="Q28" s="1">
        <v>0.187</v>
      </c>
      <c r="R28" s="1"/>
      <c r="S28" s="1"/>
      <c r="T28" s="1"/>
      <c r="U28" s="1"/>
    </row>
    <row r="29" spans="2:50">
      <c r="B29" s="1">
        <v>2024</v>
      </c>
      <c r="C29" s="1">
        <v>0.14599999999999999</v>
      </c>
      <c r="D29" s="1">
        <v>5160.7720822000001</v>
      </c>
      <c r="E29" s="1">
        <v>5160.7720822000001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2024</v>
      </c>
      <c r="Q29" s="1">
        <v>0.14599999999999999</v>
      </c>
      <c r="R29" s="1">
        <f>SUM(F29:N29)+D29</f>
        <v>5160.7720822000001</v>
      </c>
      <c r="S29" s="1">
        <f>SUM(F29:O29)+D29</f>
        <v>5160.7720822000001</v>
      </c>
      <c r="T29" s="1">
        <f>S28+S29</f>
        <v>5160.7720822000001</v>
      </c>
      <c r="U29" s="1">
        <f>$C$3-R29</f>
        <v>1759430.4279177999</v>
      </c>
    </row>
    <row r="30" spans="2:50">
      <c r="B30" s="1">
        <v>2025</v>
      </c>
      <c r="C30" s="1">
        <v>0.127</v>
      </c>
      <c r="D30" s="1">
        <v>27245.877312956502</v>
      </c>
      <c r="E30" s="1">
        <v>32406.649395156503</v>
      </c>
      <c r="F30" s="1">
        <v>671.6073257657531</v>
      </c>
      <c r="G30" s="1"/>
      <c r="H30" s="1"/>
      <c r="I30" s="1"/>
      <c r="J30" s="1"/>
      <c r="K30" s="1"/>
      <c r="L30" s="1"/>
      <c r="M30" s="1"/>
      <c r="N30" s="1"/>
      <c r="O30" s="1"/>
      <c r="P30" s="1">
        <v>2025</v>
      </c>
      <c r="Q30" s="1">
        <v>0.127</v>
      </c>
      <c r="R30" s="1">
        <f>SUM(F30:N30)+D30</f>
        <v>27917.484638722253</v>
      </c>
      <c r="S30" s="1">
        <f>SUM(F30:O30)+E30</f>
        <v>33078.256720922254</v>
      </c>
      <c r="T30" s="1">
        <f>T29+S30</f>
        <v>38239.028803122252</v>
      </c>
      <c r="U30" s="1">
        <f>$C$3-R30</f>
        <v>1736673.7153612778</v>
      </c>
    </row>
    <row r="31" spans="2:50">
      <c r="B31" s="1">
        <v>2026</v>
      </c>
      <c r="C31" s="1">
        <v>9.5000000000000001E-2</v>
      </c>
      <c r="D31" s="1">
        <v>111962.773202873</v>
      </c>
      <c r="E31" s="1">
        <v>144369.42259802949</v>
      </c>
      <c r="F31" s="1">
        <v>1802.7354533712328</v>
      </c>
      <c r="G31" s="1">
        <v>6865.1029449969137</v>
      </c>
      <c r="H31" s="1"/>
      <c r="I31" s="1"/>
      <c r="J31" s="1"/>
      <c r="K31" s="1"/>
      <c r="L31" s="1"/>
      <c r="M31" s="1"/>
      <c r="N31" s="1"/>
      <c r="O31" s="1"/>
      <c r="P31" s="1">
        <v>2026</v>
      </c>
      <c r="Q31" s="1">
        <v>9.5000000000000001E-2</v>
      </c>
      <c r="R31" s="1">
        <f>SUM(F31:N31)+D31</f>
        <v>120630.61160124114</v>
      </c>
      <c r="S31" s="1">
        <f>SUM(F31:O31)+E31</f>
        <v>153037.26099639764</v>
      </c>
      <c r="T31" s="1">
        <f t="shared" ref="T31:T38" si="7">T30+S31</f>
        <v>191276.2897995199</v>
      </c>
      <c r="U31" s="1">
        <f>$C$3-R31</f>
        <v>1643960.5883987588</v>
      </c>
    </row>
    <row r="32" spans="2:50">
      <c r="B32" s="1">
        <v>2027</v>
      </c>
      <c r="C32" s="1">
        <v>7.0000000000000007E-2</v>
      </c>
      <c r="D32" s="1">
        <v>284642.88295019203</v>
      </c>
      <c r="E32" s="1">
        <v>429012.30554822151</v>
      </c>
      <c r="F32" s="1">
        <v>2686.4293030630133</v>
      </c>
      <c r="G32" s="1">
        <v>12228.464620775752</v>
      </c>
      <c r="H32" s="1">
        <v>29463.887684966572</v>
      </c>
      <c r="I32" s="1"/>
      <c r="J32" s="1"/>
      <c r="K32" s="1"/>
      <c r="L32" s="1"/>
      <c r="M32" s="1"/>
      <c r="N32" s="1"/>
      <c r="O32" s="1"/>
      <c r="P32" s="1">
        <v>2027</v>
      </c>
      <c r="Q32" s="1">
        <v>7.0000000000000007E-2</v>
      </c>
      <c r="R32" s="1">
        <f>SUM(F32:N32)+D32</f>
        <v>329021.66455899738</v>
      </c>
      <c r="S32" s="1">
        <f>SUM(F32:O32)+E32</f>
        <v>473391.08715702686</v>
      </c>
      <c r="T32" s="1">
        <f t="shared" si="7"/>
        <v>664667.3769565468</v>
      </c>
      <c r="U32" s="1">
        <f>$C$3-R32</f>
        <v>1435569.5354410026</v>
      </c>
    </row>
    <row r="33" spans="2:21">
      <c r="B33" s="1">
        <v>2028</v>
      </c>
      <c r="C33" s="1">
        <v>6.0999999999999999E-2</v>
      </c>
      <c r="D33" s="1">
        <v>361795.09469150001</v>
      </c>
      <c r="E33" s="1">
        <v>790807.40023972152</v>
      </c>
      <c r="F33" s="1">
        <v>3004.5590889520549</v>
      </c>
      <c r="G33" s="1">
        <v>14159.274824056134</v>
      </c>
      <c r="H33" s="1">
        <v>40070.887251554552</v>
      </c>
      <c r="I33" s="1">
        <v>36596.942093596146</v>
      </c>
      <c r="J33" s="1"/>
      <c r="K33" s="1"/>
      <c r="L33" s="1"/>
      <c r="M33" s="1"/>
      <c r="N33" s="1"/>
      <c r="O33" s="1"/>
      <c r="P33" s="1">
        <v>2028</v>
      </c>
      <c r="Q33" s="1">
        <v>6.0999999999999999E-2</v>
      </c>
      <c r="R33" s="1">
        <f>SUM(F33:N33)+D33</f>
        <v>455626.7579496589</v>
      </c>
      <c r="S33" s="1">
        <f>SUM(F33:O33)+E33</f>
        <v>884639.06349788047</v>
      </c>
      <c r="T33" s="1">
        <f t="shared" si="7"/>
        <v>1549306.4404544272</v>
      </c>
      <c r="U33" s="1">
        <f>$C$3-R33</f>
        <v>1308964.4420503411</v>
      </c>
    </row>
    <row r="34" spans="2:21">
      <c r="B34" s="1">
        <v>2029</v>
      </c>
      <c r="C34" s="1">
        <v>5.1999999999999998E-2</v>
      </c>
      <c r="D34" s="1">
        <v>274319.30555934401</v>
      </c>
      <c r="E34" s="1">
        <v>1065126.7057990655</v>
      </c>
      <c r="F34" s="1">
        <v>3322.6888748410961</v>
      </c>
      <c r="G34" s="1">
        <v>16090.085027336519</v>
      </c>
      <c r="H34" s="1">
        <v>50677.886818142513</v>
      </c>
      <c r="I34" s="1">
        <v>73193.884187192263</v>
      </c>
      <c r="J34" s="1">
        <v>53379.604134811481</v>
      </c>
      <c r="K34" s="1"/>
      <c r="L34" s="1"/>
      <c r="M34" s="1"/>
      <c r="N34" s="1"/>
      <c r="O34" s="1"/>
      <c r="P34" s="1">
        <v>2029</v>
      </c>
      <c r="Q34" s="1">
        <v>5.1999999999999998E-2</v>
      </c>
      <c r="R34" s="1">
        <f>SUM(F34:N34)+D34</f>
        <v>470983.45460166788</v>
      </c>
      <c r="S34" s="1">
        <f>SUM(F34:O34)+E34</f>
        <v>1261790.8548413895</v>
      </c>
      <c r="T34" s="1">
        <f t="shared" si="7"/>
        <v>2811097.2952958168</v>
      </c>
      <c r="U34" s="1">
        <f>$C$3-R34</f>
        <v>1293607.7453983321</v>
      </c>
    </row>
    <row r="35" spans="2:21">
      <c r="B35" s="1">
        <v>2030</v>
      </c>
      <c r="C35" s="1">
        <v>4.8000000000000001E-2</v>
      </c>
      <c r="D35" s="1">
        <v>105098.12628518901</v>
      </c>
      <c r="E35" s="1">
        <v>1170224.8320842546</v>
      </c>
      <c r="F35" s="1">
        <v>3464.0798907917806</v>
      </c>
      <c r="G35" s="1">
        <v>16948.222895461131</v>
      </c>
      <c r="H35" s="1">
        <v>55392.108847737167</v>
      </c>
      <c r="I35" s="1">
        <v>89459.191784346069</v>
      </c>
      <c r="J35" s="1">
        <v>77103.872639172114</v>
      </c>
      <c r="K35" s="1">
        <v>21101.485043026445</v>
      </c>
      <c r="L35" s="1"/>
      <c r="M35" s="1"/>
      <c r="N35" s="1"/>
      <c r="O35" s="1"/>
      <c r="P35" s="1">
        <v>2030</v>
      </c>
      <c r="Q35" s="1">
        <v>4.8000000000000001E-2</v>
      </c>
      <c r="R35" s="1">
        <f>SUM(F35:N35)+D35</f>
        <v>368567.08738572372</v>
      </c>
      <c r="S35" s="1">
        <f>SUM(F35:O35)+E35</f>
        <v>1433693.7931847894</v>
      </c>
      <c r="T35" s="1">
        <f t="shared" si="7"/>
        <v>4244791.0884806067</v>
      </c>
      <c r="U35" s="1">
        <f>$C$3-R35</f>
        <v>1396024.1126142764</v>
      </c>
    </row>
    <row r="36" spans="2:21">
      <c r="B36" s="1">
        <v>2031</v>
      </c>
      <c r="C36" s="1">
        <v>0.04</v>
      </c>
      <c r="D36" s="1">
        <v>16719.756592000002</v>
      </c>
      <c r="E36" s="1">
        <v>1186944.5886762545</v>
      </c>
      <c r="F36" s="1">
        <v>3746.8619226931505</v>
      </c>
      <c r="G36" s="1">
        <v>18664.498631710358</v>
      </c>
      <c r="H36" s="1">
        <v>64820.552906926467</v>
      </c>
      <c r="I36" s="1">
        <v>121989.80697865374</v>
      </c>
      <c r="J36" s="1">
        <v>124552.40964789344</v>
      </c>
      <c r="K36" s="1">
        <v>63304.455129079368</v>
      </c>
      <c r="L36" s="1">
        <v>17516.354380864836</v>
      </c>
      <c r="M36" s="1"/>
      <c r="N36" s="1"/>
      <c r="O36" s="1"/>
      <c r="P36" s="1">
        <v>2031</v>
      </c>
      <c r="Q36" s="1">
        <v>0.04</v>
      </c>
      <c r="R36" s="1">
        <f>SUM(F36:N36)+D36</f>
        <v>431314.69618982135</v>
      </c>
      <c r="S36" s="1">
        <f>SUM(F36:O36)+E36</f>
        <v>1601539.5282740758</v>
      </c>
      <c r="T36" s="1">
        <f t="shared" si="7"/>
        <v>5846330.6167546827</v>
      </c>
      <c r="U36" s="1">
        <f>$C$3-R36</f>
        <v>1333276.5038101785</v>
      </c>
    </row>
    <row r="37" spans="2:21">
      <c r="B37" s="1">
        <v>2032</v>
      </c>
      <c r="C37" s="1">
        <v>3.2000000000000001E-2</v>
      </c>
      <c r="D37" s="1">
        <v>796.50282879999997</v>
      </c>
      <c r="E37" s="1">
        <v>1187741.0915050544</v>
      </c>
      <c r="F37" s="1">
        <v>4029.6439545945209</v>
      </c>
      <c r="G37" s="1">
        <v>20380.774367959588</v>
      </c>
      <c r="H37" s="1">
        <v>74248.996966115781</v>
      </c>
      <c r="I37" s="1">
        <v>154520.42217296138</v>
      </c>
      <c r="J37" s="1">
        <v>172000.94665661475</v>
      </c>
      <c r="K37" s="1">
        <v>105507.4252151323</v>
      </c>
      <c r="L37" s="1">
        <v>35032.708761729671</v>
      </c>
      <c r="M37" s="1">
        <v>3343.9513184000007</v>
      </c>
      <c r="N37" s="1"/>
      <c r="O37" s="1"/>
      <c r="P37" s="1">
        <v>2032</v>
      </c>
      <c r="Q37" s="1">
        <v>3.2000000000000001E-2</v>
      </c>
      <c r="R37" s="1">
        <f>SUM(F37:N37)+D37</f>
        <v>569861.37224230799</v>
      </c>
      <c r="S37" s="1">
        <f>SUM(F37:O37)+E37</f>
        <v>1756805.9609185625</v>
      </c>
      <c r="T37" s="1">
        <f t="shared" si="7"/>
        <v>7603136.5776732452</v>
      </c>
      <c r="U37" s="1">
        <f>$C$3-R37</f>
        <v>1194729.827757692</v>
      </c>
    </row>
    <row r="38" spans="2:21">
      <c r="B38" s="1">
        <v>2033</v>
      </c>
      <c r="C38" s="1">
        <v>2.5000000000000001E-2</v>
      </c>
      <c r="D38" s="1">
        <v>701.82911333927495</v>
      </c>
      <c r="E38" s="1">
        <v>1188442.9206183937</v>
      </c>
      <c r="F38" s="1">
        <v>4277.07823250822</v>
      </c>
      <c r="G38" s="1">
        <v>21882.515637177665</v>
      </c>
      <c r="H38" s="1">
        <v>82498.885517906427</v>
      </c>
      <c r="I38" s="1">
        <v>182984.71046798059</v>
      </c>
      <c r="J38" s="1">
        <v>213518.4165392459</v>
      </c>
      <c r="K38" s="1">
        <v>142435.0240404286</v>
      </c>
      <c r="L38" s="1">
        <v>50359.5188449864</v>
      </c>
      <c r="M38" s="1">
        <v>6269.9087220000001</v>
      </c>
      <c r="N38" s="1">
        <v>174.23499379999998</v>
      </c>
      <c r="O38" s="1"/>
      <c r="P38" s="1">
        <v>2033</v>
      </c>
      <c r="Q38" s="1">
        <v>2.5000000000000001E-2</v>
      </c>
      <c r="R38" s="1">
        <f>SUM(F38:N38)+D38</f>
        <v>705102.1221093731</v>
      </c>
      <c r="S38" s="1">
        <f>SUM(F38:O38)+E38</f>
        <v>1892843.2136144275</v>
      </c>
      <c r="T38" s="1">
        <f t="shared" si="7"/>
        <v>9495979.7912876718</v>
      </c>
      <c r="U38" s="1">
        <f>$C$3-R38</f>
        <v>1059489.0778906269</v>
      </c>
    </row>
    <row r="40" spans="2:21">
      <c r="Q40">
        <v>8637254.95910131</v>
      </c>
    </row>
    <row r="41" spans="2:21">
      <c r="B41" s="1" t="s">
        <v>184</v>
      </c>
      <c r="C41" s="1" t="s">
        <v>185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Q41">
        <f>P42*E42</f>
        <v>197703.07172774864</v>
      </c>
    </row>
    <row r="42" spans="2:21">
      <c r="B42" s="1">
        <v>2024</v>
      </c>
      <c r="C42" s="1">
        <v>51727.79</v>
      </c>
      <c r="D42" s="1">
        <f>C42</f>
        <v>51727.79</v>
      </c>
      <c r="E42" s="1">
        <v>0.14599999999999999</v>
      </c>
      <c r="F42" s="1"/>
      <c r="G42" s="1"/>
      <c r="H42" s="1"/>
      <c r="I42" s="1"/>
      <c r="J42" s="1"/>
      <c r="K42" s="1"/>
      <c r="L42" s="1"/>
      <c r="M42" s="1"/>
      <c r="N42" s="1"/>
      <c r="O42" s="1">
        <f ca="1">SUM(F42:O42)+D42</f>
        <v>51727.79</v>
      </c>
      <c r="P42">
        <f>C42/(0.1842-E42)</f>
        <v>1354130.628272251</v>
      </c>
      <c r="Q42">
        <f>P43*E43</f>
        <v>258871.89318181819</v>
      </c>
    </row>
    <row r="43" spans="2:21">
      <c r="B43" s="1">
        <v>2025</v>
      </c>
      <c r="C43" s="118">
        <v>116594.27</v>
      </c>
      <c r="D43" s="118">
        <f>C43+D42</f>
        <v>168322.06</v>
      </c>
      <c r="E43" s="1">
        <v>0.127</v>
      </c>
      <c r="F43" s="1">
        <f>$C$42*(E42-E43)/E42</f>
        <v>6731.6986986301335</v>
      </c>
      <c r="G43" s="1"/>
      <c r="H43" s="1"/>
      <c r="I43" s="1"/>
      <c r="J43" s="1"/>
      <c r="K43" s="1"/>
      <c r="L43" s="1"/>
      <c r="M43" s="1"/>
      <c r="N43" s="1"/>
      <c r="O43" s="118">
        <f>SUM(AF16:AP16)+D43</f>
        <v>168322.06</v>
      </c>
      <c r="P43">
        <f>C43/(0.1842-E43)</f>
        <v>2038361.3636363638</v>
      </c>
      <c r="Q43">
        <f>P44*E44</f>
        <v>218310.66031390135</v>
      </c>
    </row>
    <row r="44" spans="2:21">
      <c r="B44" s="1">
        <v>2026</v>
      </c>
      <c r="C44" s="1">
        <v>204982.22</v>
      </c>
      <c r="D44" s="1">
        <f t="shared" ref="D44" si="8">C44+D43</f>
        <v>373304.28</v>
      </c>
      <c r="E44" s="1">
        <v>9.5000000000000001E-2</v>
      </c>
      <c r="F44" s="1">
        <f>$D$42*($E$15-E44)/$E$15</f>
        <v>18069.296506849314</v>
      </c>
      <c r="G44" s="1">
        <f>$C$43*($E$16-E44)/$E$16</f>
        <v>29378.083779527562</v>
      </c>
      <c r="H44" s="1"/>
      <c r="I44" s="1"/>
      <c r="J44" s="1"/>
      <c r="K44" s="1"/>
      <c r="L44" s="1"/>
      <c r="M44" s="1"/>
      <c r="N44" s="1"/>
      <c r="O44" s="118">
        <f>SUM(AF17:AP17)+D44</f>
        <v>373304.28</v>
      </c>
      <c r="P44">
        <f>C44/(0.1842-E44)</f>
        <v>2298006.9506726456</v>
      </c>
      <c r="Q44">
        <f>P45*E45</f>
        <v>144062.67250437831</v>
      </c>
    </row>
    <row r="45" spans="2:21">
      <c r="B45" s="1">
        <v>2027</v>
      </c>
      <c r="C45" s="1">
        <v>235027.96</v>
      </c>
      <c r="D45" s="1">
        <f>C45+D44</f>
        <v>608332.24</v>
      </c>
      <c r="E45" s="1">
        <v>7.0000000000000007E-2</v>
      </c>
      <c r="F45" s="1">
        <f>$D$42*($E$15-E45)/$E$15</f>
        <v>26926.794794520545</v>
      </c>
      <c r="G45" s="1">
        <f>$C$43*($E$16-E45)/$E$16</f>
        <v>52329.71173228346</v>
      </c>
      <c r="H45" s="1">
        <f>$C$44*($E$17-E45)/$E$17</f>
        <v>53942.689473684193</v>
      </c>
      <c r="I45" s="1"/>
      <c r="J45" s="1"/>
      <c r="K45" s="1"/>
      <c r="L45" s="1"/>
      <c r="M45" s="1"/>
      <c r="N45" s="1"/>
      <c r="O45" s="118">
        <f>SUM(AF18:AP18)+D45</f>
        <v>608332.24</v>
      </c>
      <c r="P45">
        <f>C45/(0.1842-E45)</f>
        <v>2058038.1786339756</v>
      </c>
      <c r="Q45">
        <f>P46*E46</f>
        <v>95005.643262987011</v>
      </c>
    </row>
    <row r="46" spans="2:21">
      <c r="B46" s="1">
        <v>2028</v>
      </c>
      <c r="C46" s="118">
        <v>191880.25</v>
      </c>
      <c r="D46" s="1">
        <f t="shared" ref="D46:D48" si="9">C46+D45</f>
        <v>800212.49</v>
      </c>
      <c r="E46" s="1">
        <v>6.0999999999999999E-2</v>
      </c>
      <c r="F46" s="1">
        <f>$D$42*($E$15-E46)/$E$15</f>
        <v>30115.494178082194</v>
      </c>
      <c r="G46" s="1">
        <f>$C$43*($E$16-E46)/$E$16</f>
        <v>60592.297795275597</v>
      </c>
      <c r="H46" s="1">
        <f>$C$44*($E$17-E46)/$E$17</f>
        <v>73362.057684210522</v>
      </c>
      <c r="I46" s="1">
        <f t="shared" ref="I46:I51" si="10">$C$18*($E$18-E46)/$E$18</f>
        <v>36596.942093596146</v>
      </c>
      <c r="J46" s="1"/>
      <c r="K46" s="1"/>
      <c r="L46" s="1"/>
      <c r="M46" s="1"/>
      <c r="N46" s="1"/>
      <c r="O46" s="118">
        <f>SUM(AF19:AP19)+D46</f>
        <v>800212.49</v>
      </c>
      <c r="P46">
        <f>C46/(0.1842-E46)</f>
        <v>1557469.5616883116</v>
      </c>
      <c r="Q46">
        <f>P47*E47</f>
        <v>49128.030559757935</v>
      </c>
    </row>
    <row r="47" spans="2:21">
      <c r="B47" s="1">
        <v>2029</v>
      </c>
      <c r="C47" s="1">
        <v>124898.57</v>
      </c>
      <c r="D47" s="1">
        <f t="shared" si="9"/>
        <v>925111.06</v>
      </c>
      <c r="E47" s="1">
        <v>5.1999999999999998E-2</v>
      </c>
      <c r="F47" s="1">
        <f>$D$42*($E$15-E47)/$E$15</f>
        <v>33304.193561643835</v>
      </c>
      <c r="G47" s="1">
        <f>$C$43*($E$16-E47)/$E$16</f>
        <v>68854.883858267742</v>
      </c>
      <c r="H47" s="1">
        <f>$C$44*($E$17-E47)/$E$17</f>
        <v>92781.425894736836</v>
      </c>
      <c r="I47" s="1">
        <f t="shared" si="10"/>
        <v>73193.884187192263</v>
      </c>
      <c r="J47" s="1">
        <f>$C$19*($E$19-E47)/$E$19</f>
        <v>53379.604134811481</v>
      </c>
      <c r="K47" s="1"/>
      <c r="L47" s="1"/>
      <c r="M47" s="1"/>
      <c r="N47" s="1"/>
      <c r="O47" s="118">
        <f>SUM(AF20:AP20)+D47</f>
        <v>925111.06</v>
      </c>
      <c r="P47">
        <f>C47/(0.1842-E47)</f>
        <v>944769.81845688343</v>
      </c>
      <c r="Q47">
        <f>P48*E48</f>
        <v>21240.422907488988</v>
      </c>
    </row>
    <row r="48" spans="2:21">
      <c r="B48" s="1">
        <v>2030</v>
      </c>
      <c r="C48" s="118">
        <v>60269.7</v>
      </c>
      <c r="D48" s="1">
        <f t="shared" si="9"/>
        <v>985380.76</v>
      </c>
      <c r="E48" s="1">
        <v>4.8000000000000001E-2</v>
      </c>
      <c r="F48" s="1">
        <f>$D$42*($E$15-E48)/$E$15</f>
        <v>34721.393287671235</v>
      </c>
      <c r="G48" s="1">
        <f>$C$43*($E$16-E48)/$E$16</f>
        <v>72527.144330708674</v>
      </c>
      <c r="H48" s="1">
        <f>$C$44*($E$17-E48)/$E$17</f>
        <v>101412.25621052631</v>
      </c>
      <c r="I48" s="1">
        <f t="shared" si="10"/>
        <v>89459.191784346069</v>
      </c>
      <c r="J48" s="1">
        <f>$C$19*($E$19-E48)/$E$19</f>
        <v>77103.872639172114</v>
      </c>
      <c r="K48" s="1">
        <f>$C$20*($E$20-E48)/$E$20</f>
        <v>21101.485043026445</v>
      </c>
      <c r="L48" s="1"/>
      <c r="M48" s="1"/>
      <c r="N48" s="1"/>
      <c r="O48" s="118">
        <f>SUM(AF21:AP21)+D48</f>
        <v>985380.76</v>
      </c>
      <c r="P48">
        <f>C48/(0.1842-E48)</f>
        <v>442508.81057268725</v>
      </c>
      <c r="Q48">
        <f>P49*E49</f>
        <v>5794.7961165048555</v>
      </c>
    </row>
    <row r="49" spans="2:22">
      <c r="B49" s="1">
        <v>2031</v>
      </c>
      <c r="C49" s="118">
        <v>20890.240000000002</v>
      </c>
      <c r="D49" s="118">
        <f>C49+D48</f>
        <v>1006271</v>
      </c>
      <c r="E49" s="1">
        <v>0.04</v>
      </c>
      <c r="F49" s="1">
        <f>$D$42*($E$15-E49)/$E$15</f>
        <v>37555.792739726021</v>
      </c>
      <c r="G49" s="1">
        <f>$C$43*($E$16-E49)/$E$16</f>
        <v>79871.665275590552</v>
      </c>
      <c r="H49" s="1">
        <f>$C$44*($E$17-E49)/$E$17</f>
        <v>118673.91684210526</v>
      </c>
      <c r="I49" s="1">
        <f t="shared" si="10"/>
        <v>121989.80697865374</v>
      </c>
      <c r="J49" s="1">
        <f>$C$19*($E$19-E49)/$E$19</f>
        <v>124552.40964789344</v>
      </c>
      <c r="K49" s="1">
        <f>$C$20*($E$20-E49)/$E$20</f>
        <v>63304.455129079368</v>
      </c>
      <c r="L49" s="1">
        <f>$C$21*($E$21-E49)/$E$21</f>
        <v>17516.354380864836</v>
      </c>
      <c r="M49" s="1"/>
      <c r="N49" s="1"/>
      <c r="O49" s="118">
        <f>SUM(AF22:AP22)+D49</f>
        <v>1006271</v>
      </c>
      <c r="P49">
        <f>C49/(0.1842-E49)</f>
        <v>144869.90291262139</v>
      </c>
      <c r="Q49">
        <f>P50*E50</f>
        <v>1048.6202365308804</v>
      </c>
    </row>
    <row r="50" spans="2:22">
      <c r="B50" s="1">
        <v>2032</v>
      </c>
      <c r="C50" s="1">
        <v>4987.5</v>
      </c>
      <c r="D50" s="1">
        <f>C50+D49</f>
        <v>1011258.5</v>
      </c>
      <c r="E50" s="1">
        <v>3.2000000000000001E-2</v>
      </c>
      <c r="F50" s="1">
        <f>$D$42*($E$15-E50)/$E$15</f>
        <v>40390.192191780821</v>
      </c>
      <c r="G50" s="1">
        <f>$C$43*($E$16-E50)/$E$16</f>
        <v>87216.186220472446</v>
      </c>
      <c r="H50" s="1">
        <f>$C$44*($E$17-E50)/$E$17</f>
        <v>135935.57747368421</v>
      </c>
      <c r="I50" s="1">
        <f t="shared" si="10"/>
        <v>154520.42217296138</v>
      </c>
      <c r="J50" s="1">
        <f>$C$19*($E$19-E50)/$E$19</f>
        <v>172000.94665661475</v>
      </c>
      <c r="K50" s="1">
        <f>$C$20*($E$20-E50)/$E$20</f>
        <v>105507.4252151323</v>
      </c>
      <c r="L50" s="1">
        <f>$C$21*($E$21-E50)/$E$21</f>
        <v>35032.708761729671</v>
      </c>
      <c r="M50" s="1">
        <f>$C$22*($E$22-E50)/$E$22</f>
        <v>3343.9513184000007</v>
      </c>
      <c r="N50" s="1"/>
      <c r="O50" s="118">
        <f>SUM(AF23:AP23)+D50</f>
        <v>1011258.5</v>
      </c>
      <c r="P50">
        <f>C50/(0.1842-E50)</f>
        <v>32769.382391590014</v>
      </c>
      <c r="Q50">
        <f>P51*E51</f>
        <v>264.5021984924623</v>
      </c>
    </row>
    <row r="51" spans="2:22">
      <c r="B51" s="1">
        <v>2033</v>
      </c>
      <c r="C51" s="118">
        <v>1684.35</v>
      </c>
      <c r="D51" s="118">
        <f>C51+D50</f>
        <v>1012942.85</v>
      </c>
      <c r="E51" s="1">
        <v>2.5000000000000001E-2</v>
      </c>
      <c r="F51" s="1">
        <f>$D$42*($E$15-E51)/$E$15</f>
        <v>42870.29171232877</v>
      </c>
      <c r="G51" s="1">
        <f>$C$43*($E$16-E51)/$E$16</f>
        <v>93642.642047244095</v>
      </c>
      <c r="H51" s="1">
        <f>$C$44*($E$17-E51)/$E$17</f>
        <v>151039.53052631579</v>
      </c>
      <c r="I51" s="1">
        <f t="shared" si="10"/>
        <v>182984.71046798059</v>
      </c>
      <c r="J51" s="1">
        <f>$C$19*($E$19-E51)/$E$19</f>
        <v>213518.4165392459</v>
      </c>
      <c r="K51" s="1">
        <f>$C$20*($E$20-E51)/$E$20</f>
        <v>142435.0240404286</v>
      </c>
      <c r="L51" s="1">
        <f>$C$21*($E$21-E51)/$E$21</f>
        <v>50359.5188449864</v>
      </c>
      <c r="M51" s="1">
        <f>$C$22*($E$22-E51)/$E$22</f>
        <v>6269.9087220000001</v>
      </c>
      <c r="N51" s="1">
        <f>$C$23*($E$23-E51)/$E$23</f>
        <v>174.23499379999998</v>
      </c>
      <c r="O51" s="118">
        <f>SUM(AF24:AP24)+D51</f>
        <v>1012942.85</v>
      </c>
      <c r="P51">
        <f>C51/(0.1842-E51)</f>
        <v>10580.087939698491</v>
      </c>
      <c r="Q51">
        <f>SUM(Q41:Q50)</f>
        <v>991430.31300960865</v>
      </c>
    </row>
    <row r="54" spans="2:22">
      <c r="Q54" t="s">
        <v>19</v>
      </c>
      <c r="R54" t="s">
        <v>186</v>
      </c>
      <c r="S54" t="s">
        <v>187</v>
      </c>
      <c r="T54" t="s">
        <v>192</v>
      </c>
    </row>
    <row r="55" spans="2:22">
      <c r="B55" s="1" t="s">
        <v>19</v>
      </c>
      <c r="C55" s="1" t="s">
        <v>183</v>
      </c>
      <c r="D55" s="1" t="s">
        <v>182</v>
      </c>
      <c r="E55" s="1" t="s">
        <v>193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2023</v>
      </c>
      <c r="R55" s="1">
        <v>1.8</v>
      </c>
      <c r="S55" s="1">
        <v>0</v>
      </c>
      <c r="T55" s="1">
        <v>0</v>
      </c>
      <c r="U55" s="1">
        <f>$C$3</f>
        <v>1764591.2</v>
      </c>
      <c r="V55" s="1"/>
    </row>
    <row r="56" spans="2:22">
      <c r="B56" s="1">
        <v>2024</v>
      </c>
      <c r="C56" s="1">
        <v>0.14599999999999999</v>
      </c>
      <c r="D56" s="1">
        <v>51727.79</v>
      </c>
      <c r="E56" s="1">
        <f>D56</f>
        <v>51727.79</v>
      </c>
      <c r="F56" s="1">
        <v>0.14599999999999999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2024</v>
      </c>
      <c r="R56" s="1">
        <v>0.14599999999999999</v>
      </c>
      <c r="S56" s="1">
        <f>SUM(F56:O56)+D56</f>
        <v>51727.936000000002</v>
      </c>
      <c r="T56" s="1">
        <f>S55+S56</f>
        <v>51727.936000000002</v>
      </c>
      <c r="U56" s="1">
        <f>$C$3-D42</f>
        <v>1712863.41</v>
      </c>
      <c r="V56" s="1">
        <f>$C$3-S56</f>
        <v>1712863.264</v>
      </c>
    </row>
    <row r="57" spans="2:22">
      <c r="B57" s="1">
        <v>2025</v>
      </c>
      <c r="C57" s="1">
        <v>0.127</v>
      </c>
      <c r="D57" s="118">
        <v>116594.27</v>
      </c>
      <c r="E57" s="118">
        <f>D57+E56</f>
        <v>168322.06</v>
      </c>
      <c r="F57" s="1">
        <v>0.127</v>
      </c>
      <c r="G57" s="1">
        <f>$D$15*(F56-F57)/F56</f>
        <v>671.6073257657531</v>
      </c>
      <c r="H57" s="1"/>
      <c r="I57" s="1"/>
      <c r="J57" s="1"/>
      <c r="K57" s="1"/>
      <c r="L57" s="1"/>
      <c r="M57" s="1"/>
      <c r="N57" s="1"/>
      <c r="O57" s="1"/>
      <c r="P57" s="1"/>
      <c r="Q57" s="1">
        <v>2025</v>
      </c>
      <c r="R57" s="1">
        <v>0.127</v>
      </c>
      <c r="S57" s="118">
        <f>SUM(F57:P57)+D57</f>
        <v>117266.00432576575</v>
      </c>
      <c r="T57" s="118">
        <f>T56+S57</f>
        <v>168993.94032576575</v>
      </c>
      <c r="U57" s="1">
        <f>$C$3-D43</f>
        <v>1596269.14</v>
      </c>
      <c r="V57" s="1">
        <f>$C$3-S57</f>
        <v>1647325.1956742343</v>
      </c>
    </row>
    <row r="58" spans="2:22">
      <c r="B58" s="1">
        <v>2026</v>
      </c>
      <c r="C58" s="1">
        <v>9.5000000000000001E-2</v>
      </c>
      <c r="D58" s="1">
        <v>204982.22</v>
      </c>
      <c r="E58" s="1">
        <f t="shared" ref="E58" si="11">D58+E57</f>
        <v>373304.28</v>
      </c>
      <c r="F58" s="1">
        <v>9.5000000000000001E-2</v>
      </c>
      <c r="G58" s="1">
        <f t="shared" ref="G58:G65" si="12">$D$15*($E$15-F58)/$E$15</f>
        <v>1802.7354533712328</v>
      </c>
      <c r="H58" s="1">
        <f t="shared" ref="H58:H65" si="13">$C$16*($E$16-F58)/$E$16</f>
        <v>6865.1029449969137</v>
      </c>
      <c r="I58" s="1"/>
      <c r="J58" s="1"/>
      <c r="K58" s="1"/>
      <c r="L58" s="1"/>
      <c r="M58" s="1"/>
      <c r="N58" s="1"/>
      <c r="O58" s="1"/>
      <c r="P58" s="1"/>
      <c r="Q58" s="1">
        <v>2026</v>
      </c>
      <c r="R58" s="1">
        <v>9.5000000000000001E-2</v>
      </c>
      <c r="S58" s="118">
        <f t="shared" ref="S58:S64" si="14">SUM(F58:P58)+D58</f>
        <v>213650.15339836816</v>
      </c>
      <c r="T58" s="1">
        <f t="shared" ref="T58:T65" si="15">T57+S58</f>
        <v>382644.09372413391</v>
      </c>
      <c r="U58" s="1">
        <f>$C$3-D44</f>
        <v>1391286.92</v>
      </c>
      <c r="V58" s="1">
        <f>$C$3-S58</f>
        <v>1550941.0466016317</v>
      </c>
    </row>
    <row r="59" spans="2:22">
      <c r="B59" s="1">
        <v>2027</v>
      </c>
      <c r="C59" s="1">
        <v>7.0000000000000007E-2</v>
      </c>
      <c r="D59" s="1">
        <v>235027.96</v>
      </c>
      <c r="E59" s="1">
        <f>D59+E58</f>
        <v>608332.24</v>
      </c>
      <c r="F59" s="1">
        <v>7.0000000000000007E-2</v>
      </c>
      <c r="G59" s="1">
        <f t="shared" si="12"/>
        <v>2686.4293030630133</v>
      </c>
      <c r="H59" s="1">
        <f t="shared" si="13"/>
        <v>12228.464620775752</v>
      </c>
      <c r="I59" s="1">
        <f t="shared" ref="I59:I65" si="16">$C$17*($E$17-F59)/$E$17</f>
        <v>29463.887684966572</v>
      </c>
      <c r="J59" s="1"/>
      <c r="K59" s="1"/>
      <c r="L59" s="1"/>
      <c r="M59" s="1"/>
      <c r="N59" s="1"/>
      <c r="O59" s="1"/>
      <c r="P59" s="1"/>
      <c r="Q59" s="1">
        <v>2027</v>
      </c>
      <c r="R59" s="1">
        <v>7.0000000000000007E-2</v>
      </c>
      <c r="S59" s="118">
        <f t="shared" si="14"/>
        <v>279406.81160880532</v>
      </c>
      <c r="T59" s="1">
        <f t="shared" si="15"/>
        <v>662050.90533293923</v>
      </c>
      <c r="U59" s="1">
        <f>$C$3-D45</f>
        <v>1156258.96</v>
      </c>
      <c r="V59" s="1">
        <f>$C$3-S59</f>
        <v>1485184.3883911946</v>
      </c>
    </row>
    <row r="60" spans="2:22">
      <c r="B60" s="1">
        <v>2028</v>
      </c>
      <c r="C60" s="1">
        <v>6.0999999999999999E-2</v>
      </c>
      <c r="D60" s="118">
        <v>191880.25</v>
      </c>
      <c r="E60" s="1">
        <f t="shared" ref="E60:E65" si="17">D60+E59</f>
        <v>800212.49</v>
      </c>
      <c r="F60" s="1">
        <v>6.0999999999999999E-2</v>
      </c>
      <c r="G60" s="1">
        <f t="shared" si="12"/>
        <v>3004.5590889520549</v>
      </c>
      <c r="H60" s="1">
        <f t="shared" si="13"/>
        <v>14159.274824056134</v>
      </c>
      <c r="I60" s="1">
        <f t="shared" si="16"/>
        <v>40070.887251554552</v>
      </c>
      <c r="J60" s="1">
        <f t="shared" ref="J60:J65" si="18">$C$18*($E$18-F60)/$E$18</f>
        <v>36596.942093596146</v>
      </c>
      <c r="K60" s="1"/>
      <c r="L60" s="1"/>
      <c r="M60" s="1"/>
      <c r="N60" s="1"/>
      <c r="O60" s="1"/>
      <c r="P60" s="1"/>
      <c r="Q60" s="1">
        <v>2028</v>
      </c>
      <c r="R60" s="1">
        <v>6.0999999999999999E-2</v>
      </c>
      <c r="S60" s="118">
        <f t="shared" si="14"/>
        <v>285711.97425815888</v>
      </c>
      <c r="T60" s="1">
        <f t="shared" si="15"/>
        <v>947762.87959109806</v>
      </c>
      <c r="U60" s="1">
        <f>$C$3-D46</f>
        <v>964378.71</v>
      </c>
      <c r="V60" s="1">
        <f>$C$3-S60</f>
        <v>1478879.2257418411</v>
      </c>
    </row>
    <row r="61" spans="2:22">
      <c r="B61" s="1">
        <v>2029</v>
      </c>
      <c r="C61" s="1">
        <v>5.1999999999999998E-2</v>
      </c>
      <c r="D61" s="1">
        <v>124898.57</v>
      </c>
      <c r="E61" s="1">
        <f t="shared" si="17"/>
        <v>925111.06</v>
      </c>
      <c r="F61" s="1">
        <v>5.1999999999999998E-2</v>
      </c>
      <c r="G61" s="1">
        <f t="shared" si="12"/>
        <v>3322.6888748410961</v>
      </c>
      <c r="H61" s="1">
        <f t="shared" si="13"/>
        <v>16090.085027336519</v>
      </c>
      <c r="I61" s="1">
        <f t="shared" si="16"/>
        <v>50677.886818142513</v>
      </c>
      <c r="J61" s="1">
        <f t="shared" si="18"/>
        <v>73193.884187192263</v>
      </c>
      <c r="K61" s="1">
        <f>$C$19*($E$19-F61)/$E$19</f>
        <v>53379.604134811481</v>
      </c>
      <c r="L61" s="1"/>
      <c r="M61" s="1"/>
      <c r="N61" s="1"/>
      <c r="O61" s="1"/>
      <c r="P61" s="1"/>
      <c r="Q61" s="1">
        <v>2029</v>
      </c>
      <c r="R61" s="1">
        <v>5.1999999999999998E-2</v>
      </c>
      <c r="S61" s="118">
        <f t="shared" si="14"/>
        <v>321562.7710423239</v>
      </c>
      <c r="T61" s="1">
        <f t="shared" si="15"/>
        <v>1269325.650633422</v>
      </c>
      <c r="U61" s="1">
        <f>$C$3-D47</f>
        <v>839480.1399999999</v>
      </c>
      <c r="V61" s="1">
        <f>$C$3-S61</f>
        <v>1443028.428957676</v>
      </c>
    </row>
    <row r="62" spans="2:22">
      <c r="B62" s="1">
        <v>2030</v>
      </c>
      <c r="C62" s="1">
        <v>4.8000000000000001E-2</v>
      </c>
      <c r="D62" s="118">
        <v>60269.7</v>
      </c>
      <c r="E62" s="1">
        <f t="shared" si="17"/>
        <v>985380.76</v>
      </c>
      <c r="F62" s="1">
        <v>4.8000000000000001E-2</v>
      </c>
      <c r="G62" s="1">
        <f t="shared" si="12"/>
        <v>3464.0798907917806</v>
      </c>
      <c r="H62" s="1">
        <f t="shared" si="13"/>
        <v>16948.222895461131</v>
      </c>
      <c r="I62" s="1">
        <f t="shared" si="16"/>
        <v>55392.108847737167</v>
      </c>
      <c r="J62" s="1">
        <f t="shared" si="18"/>
        <v>89459.191784346069</v>
      </c>
      <c r="K62" s="1">
        <f>$C$19*($E$19-F62)/$E$19</f>
        <v>77103.872639172114</v>
      </c>
      <c r="L62" s="1">
        <f>$C$20*($E$20-F62)/$E$20</f>
        <v>21101.485043026445</v>
      </c>
      <c r="M62" s="1"/>
      <c r="N62" s="1"/>
      <c r="O62" s="1"/>
      <c r="P62" s="1"/>
      <c r="Q62" s="1">
        <v>2030</v>
      </c>
      <c r="R62" s="1">
        <v>4.8000000000000001E-2</v>
      </c>
      <c r="S62" s="118">
        <f t="shared" si="14"/>
        <v>323738.70910053473</v>
      </c>
      <c r="T62" s="1">
        <f t="shared" si="15"/>
        <v>1593064.3597339566</v>
      </c>
      <c r="U62" s="1">
        <f>$C$3-D48</f>
        <v>779210.44</v>
      </c>
      <c r="V62" s="1">
        <f>$C$3-S62</f>
        <v>1440852.4908994653</v>
      </c>
    </row>
    <row r="63" spans="2:22">
      <c r="B63" s="1">
        <v>2031</v>
      </c>
      <c r="C63" s="1">
        <v>0.04</v>
      </c>
      <c r="D63" s="118">
        <v>20890.240000000002</v>
      </c>
      <c r="E63" s="1">
        <f t="shared" si="17"/>
        <v>1006271</v>
      </c>
      <c r="F63" s="1">
        <v>0.04</v>
      </c>
      <c r="G63" s="1">
        <f t="shared" si="12"/>
        <v>3746.8619226931505</v>
      </c>
      <c r="H63" s="1">
        <f t="shared" si="13"/>
        <v>18664.498631710358</v>
      </c>
      <c r="I63" s="1">
        <f t="shared" si="16"/>
        <v>64820.552906926467</v>
      </c>
      <c r="J63" s="1">
        <f t="shared" si="18"/>
        <v>121989.80697865374</v>
      </c>
      <c r="K63" s="1">
        <f>$C$19*($E$19-F63)/$E$19</f>
        <v>124552.40964789344</v>
      </c>
      <c r="L63" s="1">
        <f>$C$20*($E$20-F63)/$E$20</f>
        <v>63304.455129079368</v>
      </c>
      <c r="M63" s="1">
        <f>$C$21*($E$21-F63)/$E$21</f>
        <v>17516.354380864836</v>
      </c>
      <c r="N63" s="1"/>
      <c r="O63" s="1"/>
      <c r="P63" s="1"/>
      <c r="Q63" s="1">
        <v>2031</v>
      </c>
      <c r="R63" s="1">
        <v>0.04</v>
      </c>
      <c r="S63" s="118">
        <f t="shared" si="14"/>
        <v>435485.2195978213</v>
      </c>
      <c r="T63" s="1">
        <f t="shared" si="15"/>
        <v>2028549.579331778</v>
      </c>
      <c r="U63" s="1">
        <f>$C$3-D49</f>
        <v>758320.2</v>
      </c>
      <c r="V63" s="1">
        <f>$C$3-S63</f>
        <v>1329105.9804021786</v>
      </c>
    </row>
    <row r="64" spans="2:22">
      <c r="B64" s="1">
        <v>2032</v>
      </c>
      <c r="C64" s="1">
        <v>3.2000000000000001E-2</v>
      </c>
      <c r="D64" s="1">
        <v>4987.5</v>
      </c>
      <c r="E64" s="1">
        <f t="shared" si="17"/>
        <v>1011258.5</v>
      </c>
      <c r="F64" s="1">
        <v>3.2000000000000001E-2</v>
      </c>
      <c r="G64" s="1">
        <f t="shared" si="12"/>
        <v>4029.6439545945209</v>
      </c>
      <c r="H64" s="1">
        <f t="shared" si="13"/>
        <v>20380.774367959588</v>
      </c>
      <c r="I64" s="1">
        <f t="shared" si="16"/>
        <v>74248.996966115781</v>
      </c>
      <c r="J64" s="1">
        <f t="shared" si="18"/>
        <v>154520.42217296138</v>
      </c>
      <c r="K64" s="1">
        <f>$C$19*($E$19-F64)/$E$19</f>
        <v>172000.94665661475</v>
      </c>
      <c r="L64" s="1">
        <f>$C$20*($E$20-F64)/$E$20</f>
        <v>105507.4252151323</v>
      </c>
      <c r="M64" s="1">
        <f>$C$21*($E$21-F64)/$E$21</f>
        <v>35032.708761729671</v>
      </c>
      <c r="N64" s="1">
        <f>$C$22*($E$22-F64)/$E$22</f>
        <v>3343.9513184000007</v>
      </c>
      <c r="O64" s="1"/>
      <c r="P64" s="1"/>
      <c r="Q64" s="1">
        <v>2032</v>
      </c>
      <c r="R64" s="1">
        <v>3.2000000000000001E-2</v>
      </c>
      <c r="S64" s="118">
        <f t="shared" si="14"/>
        <v>574052.40141350799</v>
      </c>
      <c r="T64" s="1">
        <f t="shared" si="15"/>
        <v>2602601.9807452857</v>
      </c>
      <c r="U64" s="1">
        <f>$C$3-D50</f>
        <v>753332.7</v>
      </c>
      <c r="V64" s="1">
        <f>$C$3-S64</f>
        <v>1190538.798586492</v>
      </c>
    </row>
    <row r="65" spans="2:22">
      <c r="B65" s="1">
        <v>2033</v>
      </c>
      <c r="C65" s="1">
        <v>2.5000000000000001E-2</v>
      </c>
      <c r="D65" s="118">
        <v>1684.35</v>
      </c>
      <c r="E65" s="1">
        <f t="shared" si="17"/>
        <v>1012942.85</v>
      </c>
      <c r="F65" s="1">
        <v>2.5000000000000001E-2</v>
      </c>
      <c r="G65" s="1">
        <f t="shared" si="12"/>
        <v>4277.07823250822</v>
      </c>
      <c r="H65" s="1">
        <f t="shared" si="13"/>
        <v>21882.515637177665</v>
      </c>
      <c r="I65" s="1">
        <f t="shared" si="16"/>
        <v>82498.885517906427</v>
      </c>
      <c r="J65" s="1">
        <f t="shared" si="18"/>
        <v>182984.71046798059</v>
      </c>
      <c r="K65" s="1">
        <f>$C$19*($E$19-F65)/$E$19</f>
        <v>213518.4165392459</v>
      </c>
      <c r="L65" s="1">
        <f>$C$20*($E$20-F65)/$E$20</f>
        <v>142435.0240404286</v>
      </c>
      <c r="M65" s="1">
        <f>$C$21*($E$21-F65)/$E$21</f>
        <v>50359.5188449864</v>
      </c>
      <c r="N65" s="1">
        <f>$C$22*($E$22-F65)/$E$22</f>
        <v>6269.9087220000001</v>
      </c>
      <c r="O65" s="1">
        <f>$C$23*($E$23-F65)/$E$23</f>
        <v>174.23499379999998</v>
      </c>
      <c r="P65" s="1"/>
      <c r="Q65" s="1">
        <v>2033</v>
      </c>
      <c r="R65" s="1">
        <v>2.5000000000000001E-2</v>
      </c>
      <c r="S65" s="118">
        <f>SUM(F65:P65)+D65</f>
        <v>706084.66799603379</v>
      </c>
      <c r="T65" s="1">
        <f t="shared" si="15"/>
        <v>3308686.6487413198</v>
      </c>
      <c r="U65" s="118">
        <f>$C$3-D51</f>
        <v>751648.35</v>
      </c>
      <c r="V65" s="1">
        <f>$C$3-S65</f>
        <v>1058506.5320039662</v>
      </c>
    </row>
    <row r="68" spans="2:22">
      <c r="B68" s="1" t="s">
        <v>19</v>
      </c>
      <c r="C68" s="1" t="s">
        <v>198</v>
      </c>
      <c r="D68" s="1"/>
      <c r="E68" s="1"/>
      <c r="F68" s="1" t="s">
        <v>197</v>
      </c>
      <c r="G68" s="1"/>
      <c r="H68" s="1" t="s">
        <v>194</v>
      </c>
      <c r="K68" t="s">
        <v>19</v>
      </c>
      <c r="R68" t="s">
        <v>195</v>
      </c>
    </row>
    <row r="69" spans="2:22">
      <c r="B69" s="1">
        <v>2023</v>
      </c>
      <c r="C69" s="115">
        <v>0</v>
      </c>
      <c r="D69" s="1"/>
      <c r="E69" s="1"/>
      <c r="F69" s="115">
        <v>1</v>
      </c>
      <c r="G69" s="1"/>
      <c r="H69" s="1">
        <v>1765838.79163849</v>
      </c>
      <c r="K69" s="1">
        <v>2023</v>
      </c>
      <c r="L69" s="1"/>
      <c r="M69" s="1"/>
      <c r="N69" s="1">
        <v>9596949.9545569904</v>
      </c>
      <c r="O69" s="1"/>
      <c r="P69" s="1"/>
      <c r="Q69" s="1"/>
      <c r="R69" s="1">
        <v>1765838.7916384863</v>
      </c>
    </row>
    <row r="70" spans="2:22">
      <c r="B70" s="1">
        <v>2024</v>
      </c>
      <c r="C70" s="2">
        <v>0.1</v>
      </c>
      <c r="D70" s="1">
        <f>$Q$40*C70</f>
        <v>863725.49591013102</v>
      </c>
      <c r="E70" s="1">
        <f>D70*E42</f>
        <v>126103.92240287912</v>
      </c>
      <c r="F70" s="115">
        <v>0.9</v>
      </c>
      <c r="G70" s="1">
        <f>$R$69*F70</f>
        <v>1589254.9124746376</v>
      </c>
      <c r="H70" s="1">
        <f t="shared" ref="H70:H79" si="19">G70+E70</f>
        <v>1715358.8348775168</v>
      </c>
      <c r="K70" s="1">
        <v>2024</v>
      </c>
      <c r="L70" s="2">
        <v>0.01</v>
      </c>
      <c r="M70" s="1">
        <f>$Q$40*L70</f>
        <v>86372.549591013099</v>
      </c>
      <c r="N70" s="1">
        <f>L70*$N$69</f>
        <v>95969.49954556991</v>
      </c>
      <c r="O70" s="1">
        <f t="shared" ref="O70:O78" si="20">N70*0.184</f>
        <v>17658.387916384861</v>
      </c>
      <c r="P70" s="1">
        <f>M70*E42</f>
        <v>12610.392240287913</v>
      </c>
      <c r="Q70" s="1">
        <v>1748180.4037221014</v>
      </c>
      <c r="R70" s="1">
        <f>P70+Q70</f>
        <v>1760790.7959623893</v>
      </c>
    </row>
    <row r="71" spans="2:22">
      <c r="B71" s="1">
        <v>2025</v>
      </c>
      <c r="C71" s="2">
        <v>0.2</v>
      </c>
      <c r="D71" s="1">
        <f>$Q$40*C71</f>
        <v>1727450.991820262</v>
      </c>
      <c r="E71" s="1">
        <f>D71*E43</f>
        <v>219386.27596117329</v>
      </c>
      <c r="F71" s="115">
        <v>0.8</v>
      </c>
      <c r="G71" s="1">
        <f>$R$69*F71</f>
        <v>1412671.0333107891</v>
      </c>
      <c r="H71" s="1">
        <f t="shared" si="19"/>
        <v>1632057.3092719624</v>
      </c>
      <c r="K71" s="1">
        <v>2025</v>
      </c>
      <c r="L71" s="2">
        <v>0.05</v>
      </c>
      <c r="M71" s="1">
        <f>$Q$40*L71</f>
        <v>431862.74795506551</v>
      </c>
      <c r="N71" s="1">
        <f>L71*$N$69</f>
        <v>479847.49772784952</v>
      </c>
      <c r="O71" s="1">
        <f t="shared" si="20"/>
        <v>88291.939581924307</v>
      </c>
      <c r="P71" s="1">
        <f>M71*E43</f>
        <v>54846.568990293323</v>
      </c>
      <c r="Q71" s="1">
        <v>1677546.8520565617</v>
      </c>
      <c r="R71" s="1">
        <f>P71+Q71</f>
        <v>1732393.4210468552</v>
      </c>
    </row>
    <row r="72" spans="2:22">
      <c r="B72" s="1">
        <v>2026</v>
      </c>
      <c r="C72" s="2">
        <v>0.3</v>
      </c>
      <c r="D72" s="1">
        <f>$Q$40*C72</f>
        <v>2591176.4877303927</v>
      </c>
      <c r="E72" s="1">
        <f>D72*E44</f>
        <v>246161.7663343873</v>
      </c>
      <c r="F72" s="115">
        <v>0.7</v>
      </c>
      <c r="G72" s="1">
        <f>$R$69*F72</f>
        <v>1236087.1541469404</v>
      </c>
      <c r="H72" s="1">
        <f t="shared" si="19"/>
        <v>1482248.9204813277</v>
      </c>
      <c r="K72" s="1">
        <v>2026</v>
      </c>
      <c r="L72" s="2">
        <v>0.14000000000000001</v>
      </c>
      <c r="M72" s="1">
        <f>$Q$40*L72</f>
        <v>1209215.6942741836</v>
      </c>
      <c r="N72" s="1">
        <f>L72*$N$69</f>
        <v>1343572.9936379788</v>
      </c>
      <c r="O72" s="1">
        <f t="shared" si="20"/>
        <v>247217.43082938809</v>
      </c>
      <c r="P72" s="1">
        <f>M72*E44</f>
        <v>114875.49095604745</v>
      </c>
      <c r="Q72" s="1">
        <v>1518621.360809098</v>
      </c>
      <c r="R72" s="1">
        <f>P72+Q72</f>
        <v>1633496.8517651455</v>
      </c>
    </row>
    <row r="73" spans="2:22">
      <c r="B73" s="1">
        <v>2027</v>
      </c>
      <c r="C73" s="2">
        <v>0.4</v>
      </c>
      <c r="D73" s="1">
        <f>$Q$40*C73</f>
        <v>3454901.9836405241</v>
      </c>
      <c r="E73" s="1">
        <f>D73*E45</f>
        <v>241843.1388548367</v>
      </c>
      <c r="F73" s="115">
        <v>0.6</v>
      </c>
      <c r="G73" s="1">
        <f>$R$69*F73</f>
        <v>1059503.2749830917</v>
      </c>
      <c r="H73" s="1">
        <f t="shared" si="19"/>
        <v>1301346.4138379283</v>
      </c>
      <c r="K73" s="1">
        <v>2027</v>
      </c>
      <c r="L73" s="2">
        <v>0.3</v>
      </c>
      <c r="M73" s="1">
        <f>$Q$40*L73</f>
        <v>2591176.4877303927</v>
      </c>
      <c r="N73" s="1">
        <f>L73*$N$69</f>
        <v>2879084.9863670971</v>
      </c>
      <c r="O73" s="1">
        <f t="shared" si="20"/>
        <v>529751.63749154587</v>
      </c>
      <c r="P73" s="1">
        <f>M73*E45</f>
        <v>181382.35414112752</v>
      </c>
      <c r="Q73" s="1">
        <v>1236087.1541469404</v>
      </c>
      <c r="R73" s="1">
        <f>P73+Q73</f>
        <v>1417469.508288068</v>
      </c>
    </row>
    <row r="74" spans="2:22">
      <c r="B74" s="1">
        <v>2028</v>
      </c>
      <c r="C74" s="2">
        <v>0.5</v>
      </c>
      <c r="D74" s="1">
        <f>$Q$40*C74</f>
        <v>4318627.479550655</v>
      </c>
      <c r="E74" s="1">
        <f>D74*E46</f>
        <v>263436.27625258995</v>
      </c>
      <c r="F74" s="115">
        <v>0.5</v>
      </c>
      <c r="G74" s="1">
        <f>$R$69*F74</f>
        <v>882919.39581924316</v>
      </c>
      <c r="H74" s="1">
        <f t="shared" si="19"/>
        <v>1146355.6720718332</v>
      </c>
      <c r="K74" s="1">
        <v>2028</v>
      </c>
      <c r="L74" s="2">
        <v>0.5</v>
      </c>
      <c r="M74" s="1">
        <f>$Q$40*L74</f>
        <v>4318627.479550655</v>
      </c>
      <c r="N74" s="1">
        <f>L74*$N$69</f>
        <v>4798474.9772784952</v>
      </c>
      <c r="O74" s="1">
        <f t="shared" si="20"/>
        <v>882919.39581924316</v>
      </c>
      <c r="P74" s="1">
        <f>M74*E46</f>
        <v>263436.27625258995</v>
      </c>
      <c r="Q74" s="1">
        <v>882919.39581924316</v>
      </c>
      <c r="R74" s="1">
        <f>P74+Q74</f>
        <v>1146355.6720718332</v>
      </c>
    </row>
    <row r="75" spans="2:22">
      <c r="B75" s="1">
        <v>2029</v>
      </c>
      <c r="C75" s="2">
        <v>0.6</v>
      </c>
      <c r="D75" s="1">
        <f>$Q$40*C75</f>
        <v>5182352.9754607854</v>
      </c>
      <c r="E75" s="1">
        <f>D75*E47</f>
        <v>269482.3547239608</v>
      </c>
      <c r="F75" s="115">
        <v>0.4</v>
      </c>
      <c r="G75" s="1">
        <f>$R$69*F75</f>
        <v>706335.51665539457</v>
      </c>
      <c r="H75" s="1">
        <f t="shared" si="19"/>
        <v>975817.87137935543</v>
      </c>
      <c r="K75" s="1">
        <v>2029</v>
      </c>
      <c r="L75" s="2">
        <v>0.7</v>
      </c>
      <c r="M75" s="1">
        <f>$Q$40*L75</f>
        <v>6046078.4713709168</v>
      </c>
      <c r="N75" s="1">
        <f>L75*$N$69</f>
        <v>6717864.9681898933</v>
      </c>
      <c r="O75" s="1">
        <f t="shared" si="20"/>
        <v>1236087.1541469404</v>
      </c>
      <c r="P75" s="1">
        <f>M75*E47</f>
        <v>314396.08051128767</v>
      </c>
      <c r="Q75" s="1">
        <v>529751.63749154587</v>
      </c>
      <c r="R75" s="1">
        <f>P75+Q75</f>
        <v>844147.71800283354</v>
      </c>
    </row>
    <row r="76" spans="2:22">
      <c r="B76" s="1">
        <v>2030</v>
      </c>
      <c r="C76" s="2">
        <v>0.7</v>
      </c>
      <c r="D76" s="1">
        <f>$Q$40*C76</f>
        <v>6046078.4713709168</v>
      </c>
      <c r="E76" s="1">
        <f>D76*E48</f>
        <v>290211.76662580401</v>
      </c>
      <c r="F76" s="115">
        <v>0.3</v>
      </c>
      <c r="G76" s="1">
        <f>$R$69*F76</f>
        <v>529751.63749154587</v>
      </c>
      <c r="H76" s="1">
        <f t="shared" si="19"/>
        <v>819963.40411734988</v>
      </c>
      <c r="K76" s="1">
        <v>2030</v>
      </c>
      <c r="L76" s="2">
        <v>0.86</v>
      </c>
      <c r="M76" s="1">
        <f>$Q$40*L76</f>
        <v>7428039.2648271266</v>
      </c>
      <c r="N76" s="1">
        <f>L76*$N$69</f>
        <v>8253376.9609190114</v>
      </c>
      <c r="O76" s="1">
        <f t="shared" si="20"/>
        <v>1518621.360809098</v>
      </c>
      <c r="P76" s="1">
        <f>M76*E48</f>
        <v>356545.88471170206</v>
      </c>
      <c r="Q76" s="1">
        <v>247217.43082938809</v>
      </c>
      <c r="R76" s="1">
        <f>P76+Q76</f>
        <v>603763.31554109021</v>
      </c>
    </row>
    <row r="77" spans="2:22">
      <c r="B77" s="1">
        <v>2031</v>
      </c>
      <c r="C77" s="2">
        <v>0.8</v>
      </c>
      <c r="D77" s="1">
        <f>$Q$40*C77</f>
        <v>6909803.9672810482</v>
      </c>
      <c r="E77" s="1">
        <f>D77*E49</f>
        <v>276392.15869124193</v>
      </c>
      <c r="F77" s="115">
        <v>0.2</v>
      </c>
      <c r="G77" s="1">
        <f>$R$69*F77</f>
        <v>353167.75832769729</v>
      </c>
      <c r="H77" s="1">
        <f t="shared" si="19"/>
        <v>629559.91701893928</v>
      </c>
      <c r="K77" s="1">
        <v>2031</v>
      </c>
      <c r="L77" s="2">
        <v>0.95</v>
      </c>
      <c r="M77" s="1">
        <f>$Q$40*L77</f>
        <v>8205392.2111462438</v>
      </c>
      <c r="N77" s="1">
        <f>L77*$N$69</f>
        <v>9117102.45682914</v>
      </c>
      <c r="O77" s="1">
        <f t="shared" si="20"/>
        <v>1677546.8520565617</v>
      </c>
      <c r="P77" s="1">
        <f>M77*E49</f>
        <v>328215.68844584975</v>
      </c>
      <c r="Q77" s="1">
        <v>88291.939581924307</v>
      </c>
      <c r="R77" s="1">
        <f>P77+Q77</f>
        <v>416507.62802777404</v>
      </c>
    </row>
    <row r="78" spans="2:22">
      <c r="B78" s="1">
        <v>2032</v>
      </c>
      <c r="C78" s="2">
        <v>0.9</v>
      </c>
      <c r="D78" s="1">
        <f>$Q$40*C78</f>
        <v>7773529.4631911796</v>
      </c>
      <c r="E78" s="1">
        <f>D78*E50</f>
        <v>248752.94282211774</v>
      </c>
      <c r="F78" s="115">
        <v>0.1</v>
      </c>
      <c r="G78" s="1">
        <f>$R$69*F78</f>
        <v>176583.87916384864</v>
      </c>
      <c r="H78" s="1">
        <f t="shared" si="19"/>
        <v>425336.82198596641</v>
      </c>
      <c r="K78" s="1">
        <v>2032</v>
      </c>
      <c r="L78" s="2">
        <v>0.99</v>
      </c>
      <c r="M78" s="1">
        <f>$Q$40*L78</f>
        <v>8550882.4095102977</v>
      </c>
      <c r="N78" s="1">
        <f>L78*$N$69</f>
        <v>9500980.45501142</v>
      </c>
      <c r="O78" s="1">
        <f t="shared" si="20"/>
        <v>1748180.4037221014</v>
      </c>
      <c r="P78" s="1">
        <f>M78*E50</f>
        <v>273628.23710432951</v>
      </c>
      <c r="Q78" s="1">
        <v>17658.387916384861</v>
      </c>
      <c r="R78" s="1">
        <f>P78+Q78</f>
        <v>291286.62502071436</v>
      </c>
    </row>
    <row r="79" spans="2:22">
      <c r="B79" s="1">
        <v>2033</v>
      </c>
      <c r="C79" s="2">
        <v>1</v>
      </c>
      <c r="D79" s="1">
        <f>$Q$40*C79</f>
        <v>8637254.95910131</v>
      </c>
      <c r="E79" s="1">
        <f>D79*E51</f>
        <v>215931.37397753276</v>
      </c>
      <c r="F79" s="1"/>
      <c r="G79" s="1">
        <f>$R$69*F79</f>
        <v>0</v>
      </c>
      <c r="H79" s="1">
        <f t="shared" si="19"/>
        <v>215931.37397753276</v>
      </c>
      <c r="K79" s="1">
        <v>2033</v>
      </c>
      <c r="L79" s="2">
        <v>1</v>
      </c>
      <c r="M79" s="1">
        <f>$Q$40*L79</f>
        <v>8637254.95910131</v>
      </c>
      <c r="N79" s="1">
        <f>L79*$N$69</f>
        <v>9596949.9545569904</v>
      </c>
      <c r="O79" s="1">
        <f>N79*0.184</f>
        <v>1765838.7916384863</v>
      </c>
      <c r="P79" s="1">
        <f>M79*E51</f>
        <v>215931.37397753276</v>
      </c>
      <c r="Q79" s="1"/>
      <c r="R79" s="1">
        <f>P79+Q79</f>
        <v>215931.37397753276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1EBA-800F-484D-9453-5F5D8BB76C95}">
  <sheetPr codeName="Sheet8"/>
  <dimension ref="A1:AC122"/>
  <sheetViews>
    <sheetView topLeftCell="A41" zoomScale="70" zoomScaleNormal="70" workbookViewId="0">
      <selection activeCell="N70" sqref="N70"/>
    </sheetView>
  </sheetViews>
  <sheetFormatPr baseColWidth="10" defaultColWidth="11.5" defaultRowHeight="26.25" customHeight="1"/>
  <cols>
    <col min="1" max="1" width="16.5" style="28" bestFit="1" customWidth="1"/>
    <col min="2" max="2" width="25.5" style="28" customWidth="1"/>
    <col min="3" max="3" width="22.5" style="28" customWidth="1"/>
    <col min="4" max="4" width="27.5" style="28" bestFit="1" customWidth="1"/>
    <col min="5" max="5" width="28.5" style="28" bestFit="1" customWidth="1"/>
    <col min="6" max="6" width="23" style="28" bestFit="1" customWidth="1"/>
    <col min="7" max="7" width="24.5" style="28" customWidth="1"/>
    <col min="8" max="8" width="26.5" style="28" customWidth="1"/>
    <col min="9" max="9" width="28.83203125" style="28" customWidth="1"/>
    <col min="10" max="10" width="25.5" style="28" customWidth="1"/>
    <col min="11" max="12" width="18.5" style="28" customWidth="1"/>
    <col min="13" max="13" width="23.1640625" style="28" customWidth="1"/>
    <col min="14" max="14" width="31.5" style="28" customWidth="1"/>
    <col min="15" max="16" width="25.5" style="28" customWidth="1"/>
    <col min="17" max="17" width="25.5" style="30" customWidth="1"/>
    <col min="18" max="18" width="28.5" style="30" bestFit="1" customWidth="1"/>
    <col min="19" max="19" width="30.5" style="28" customWidth="1"/>
    <col min="20" max="20" width="26.5" style="28" customWidth="1"/>
    <col min="21" max="21" width="19.5" style="28" customWidth="1"/>
    <col min="22" max="22" width="18.5" style="28" customWidth="1"/>
    <col min="23" max="23" width="20.5" style="28" customWidth="1"/>
    <col min="24" max="24" width="25.5" style="28" customWidth="1"/>
    <col min="25" max="25" width="25.83203125" style="29" customWidth="1"/>
    <col min="26" max="26" width="28" style="29" customWidth="1"/>
    <col min="27" max="27" width="21.5" style="29" customWidth="1"/>
    <col min="28" max="28" width="26.5" style="29" customWidth="1"/>
    <col min="29" max="29" width="27.83203125" style="29" customWidth="1"/>
    <col min="30" max="30" width="17.5" style="28" bestFit="1" customWidth="1"/>
    <col min="31" max="16384" width="11.5" style="28"/>
  </cols>
  <sheetData>
    <row r="1" spans="1:29" s="74" customFormat="1" ht="75">
      <c r="A1" s="97"/>
      <c r="C1" s="123"/>
      <c r="D1" s="124" t="s">
        <v>151</v>
      </c>
      <c r="E1" s="124" t="s">
        <v>150</v>
      </c>
      <c r="F1" s="124" t="s">
        <v>149</v>
      </c>
      <c r="G1" s="124" t="s">
        <v>148</v>
      </c>
      <c r="H1" s="125" t="s">
        <v>147</v>
      </c>
      <c r="I1" s="124" t="s">
        <v>146</v>
      </c>
      <c r="J1" s="124" t="s">
        <v>145</v>
      </c>
      <c r="K1" s="124" t="s">
        <v>144</v>
      </c>
      <c r="L1" s="124" t="s">
        <v>143</v>
      </c>
      <c r="M1" s="124" t="s">
        <v>142</v>
      </c>
      <c r="N1" s="124" t="s">
        <v>141</v>
      </c>
      <c r="O1" s="96"/>
      <c r="P1" s="96"/>
      <c r="Q1" s="96"/>
      <c r="R1" s="96"/>
      <c r="S1" s="96"/>
      <c r="T1" s="96"/>
      <c r="V1" s="95"/>
      <c r="W1" s="95"/>
      <c r="X1" s="88"/>
      <c r="Y1" s="88"/>
      <c r="Z1" s="88"/>
      <c r="AA1" s="88"/>
      <c r="AB1" s="88"/>
      <c r="AC1" s="88"/>
    </row>
    <row r="2" spans="1:29" ht="26.25" customHeight="1">
      <c r="A2" s="135"/>
      <c r="C2" s="122" t="s">
        <v>140</v>
      </c>
      <c r="D2" s="126">
        <v>33</v>
      </c>
      <c r="E2" s="127">
        <v>0.9</v>
      </c>
      <c r="F2" s="128">
        <v>30</v>
      </c>
      <c r="G2" s="128">
        <v>3260</v>
      </c>
      <c r="H2" s="129">
        <v>0.9</v>
      </c>
      <c r="I2" s="130">
        <v>0.18387000000000001</v>
      </c>
      <c r="J2" s="131">
        <v>3.5000000000000003E-2</v>
      </c>
      <c r="K2" s="128">
        <v>166</v>
      </c>
      <c r="L2" s="128" t="s">
        <v>139</v>
      </c>
      <c r="M2" s="128" t="s">
        <v>139</v>
      </c>
      <c r="N2" s="128" t="s">
        <v>138</v>
      </c>
      <c r="O2" s="92"/>
      <c r="P2" s="92"/>
      <c r="Q2" s="92"/>
      <c r="R2" s="86"/>
      <c r="S2" s="94"/>
      <c r="T2" s="86"/>
      <c r="V2" s="30"/>
      <c r="W2" s="30"/>
      <c r="X2" s="87"/>
      <c r="Y2" s="87" t="s">
        <v>137</v>
      </c>
      <c r="Z2" s="87" t="s">
        <v>136</v>
      </c>
      <c r="AA2" s="87" t="s">
        <v>135</v>
      </c>
      <c r="AB2" s="87"/>
      <c r="AC2" s="93" t="s">
        <v>134</v>
      </c>
    </row>
    <row r="3" spans="1:29" ht="26.25" customHeight="1">
      <c r="A3" s="136"/>
      <c r="C3" s="122" t="s">
        <v>133</v>
      </c>
      <c r="D3" s="132">
        <v>128</v>
      </c>
      <c r="E3" s="127">
        <v>1</v>
      </c>
      <c r="F3" s="128">
        <v>20</v>
      </c>
      <c r="G3" s="128">
        <v>3260</v>
      </c>
      <c r="H3" s="127">
        <v>0.99</v>
      </c>
      <c r="I3" s="130">
        <v>0.14699999999999999</v>
      </c>
      <c r="J3" s="133">
        <v>0.05</v>
      </c>
      <c r="K3" s="128" t="s">
        <v>132</v>
      </c>
      <c r="L3" s="134">
        <v>187.59355385519399</v>
      </c>
      <c r="M3" s="134">
        <v>-0.37087761722997137</v>
      </c>
      <c r="N3" s="128" t="s">
        <v>131</v>
      </c>
      <c r="O3" s="92"/>
      <c r="P3" s="92"/>
      <c r="Q3" s="92"/>
      <c r="R3" s="86"/>
      <c r="S3" s="85"/>
      <c r="T3" s="86"/>
      <c r="V3" s="30"/>
      <c r="W3" s="30"/>
      <c r="X3" s="87"/>
      <c r="Y3" s="91">
        <f>Y7</f>
        <v>0.10926169949393801</v>
      </c>
      <c r="Z3" s="90">
        <f>Z7</f>
        <v>79.377484201236001</v>
      </c>
      <c r="AA3" s="90">
        <f>AA7</f>
        <v>280.63378194314498</v>
      </c>
      <c r="AB3" s="90"/>
      <c r="AC3" s="89">
        <f>SUM(AC8:AC13)/($J$3*(1+$J$3)^$F$3/((1+$J$3)^$F$3-1))</f>
        <v>40634609.378651649</v>
      </c>
    </row>
    <row r="4" spans="1:29" ht="26.25" customHeight="1">
      <c r="A4" s="136"/>
      <c r="I4" s="28">
        <v>0.127</v>
      </c>
      <c r="K4" s="28">
        <f>L3*60^M3</f>
        <v>41.090498696659367</v>
      </c>
      <c r="O4" s="30"/>
      <c r="P4" s="30"/>
      <c r="Q4" s="28"/>
      <c r="R4" s="86"/>
      <c r="S4" s="85"/>
      <c r="X4" s="29"/>
      <c r="Z4" s="84" t="s">
        <v>130</v>
      </c>
      <c r="AA4" s="84" t="s">
        <v>129</v>
      </c>
      <c r="AB4" s="84"/>
      <c r="AC4" s="83" t="e">
        <f>SUMPRODUCT(AC8:AC13,WBBINRange2)</f>
        <v>#REF!</v>
      </c>
    </row>
    <row r="5" spans="1:29" ht="26.25" customHeight="1" thickBot="1">
      <c r="B5" s="154"/>
      <c r="F5" s="38"/>
      <c r="O5" s="82"/>
      <c r="P5" s="81"/>
      <c r="S5" s="80"/>
      <c r="T5" s="80"/>
      <c r="U5" s="80"/>
      <c r="V5" s="80"/>
      <c r="W5" s="80"/>
      <c r="X5" s="80"/>
    </row>
    <row r="6" spans="1:29" s="74" customFormat="1" ht="78" thickBot="1">
      <c r="A6" s="79" t="s">
        <v>128</v>
      </c>
      <c r="B6" s="153" t="s">
        <v>127</v>
      </c>
      <c r="C6" s="78" t="s">
        <v>123</v>
      </c>
      <c r="D6" s="78" t="s">
        <v>121</v>
      </c>
      <c r="E6" s="78" t="s">
        <v>126</v>
      </c>
      <c r="F6" s="78" t="s">
        <v>117</v>
      </c>
      <c r="G6" s="78" t="s">
        <v>116</v>
      </c>
      <c r="H6" s="78" t="s">
        <v>115</v>
      </c>
      <c r="I6" s="78" t="s">
        <v>125</v>
      </c>
      <c r="J6" s="78" t="s">
        <v>113</v>
      </c>
      <c r="K6" s="78" t="s">
        <v>112</v>
      </c>
      <c r="L6" s="77" t="s">
        <v>124</v>
      </c>
      <c r="M6" s="76" t="s">
        <v>123</v>
      </c>
      <c r="N6" s="76" t="s">
        <v>122</v>
      </c>
      <c r="O6" s="76" t="s">
        <v>121</v>
      </c>
      <c r="P6" s="76" t="s">
        <v>120</v>
      </c>
      <c r="Q6" s="76" t="s">
        <v>119</v>
      </c>
      <c r="R6" s="76" t="s">
        <v>118</v>
      </c>
      <c r="S6" s="76" t="s">
        <v>117</v>
      </c>
      <c r="T6" s="76" t="s">
        <v>116</v>
      </c>
      <c r="U6" s="76" t="s">
        <v>115</v>
      </c>
      <c r="V6" s="76" t="s">
        <v>114</v>
      </c>
      <c r="W6" s="76" t="s">
        <v>113</v>
      </c>
      <c r="X6" s="76" t="s">
        <v>112</v>
      </c>
      <c r="Y6" s="75" t="s">
        <v>111</v>
      </c>
      <c r="Z6" s="75" t="s">
        <v>110</v>
      </c>
      <c r="AA6" s="75" t="s">
        <v>109</v>
      </c>
      <c r="AB6" s="75" t="s">
        <v>108</v>
      </c>
      <c r="AC6" s="75" t="s">
        <v>107</v>
      </c>
    </row>
    <row r="7" spans="1:29" s="62" customFormat="1" ht="32.25" customHeight="1">
      <c r="A7" s="73" t="s">
        <v>106</v>
      </c>
      <c r="B7" s="72">
        <f>SUM(B8:B13)</f>
        <v>334804.02879000001</v>
      </c>
      <c r="C7" s="71"/>
      <c r="D7" s="70">
        <f>SUM(D8:D13)</f>
        <v>114.11180258691206</v>
      </c>
      <c r="E7" s="71"/>
      <c r="F7" s="71"/>
      <c r="G7" s="71"/>
      <c r="H7" s="71"/>
      <c r="I7" s="71"/>
      <c r="J7" s="71"/>
      <c r="K7" s="70">
        <f>SUM(K8:K13)</f>
        <v>61560.416773617304</v>
      </c>
      <c r="L7" s="69">
        <f>SUM(L8:L13)</f>
        <v>0.99999999999999989</v>
      </c>
      <c r="M7" s="66"/>
      <c r="N7" s="68">
        <f>SUM(N8:N13)</f>
        <v>301323.62591100001</v>
      </c>
      <c r="O7" s="67">
        <f>SUM(O8:O13)</f>
        <v>93.3642021165644</v>
      </c>
      <c r="P7" s="67"/>
      <c r="Q7" s="66"/>
      <c r="R7" s="66"/>
      <c r="S7" s="66"/>
      <c r="T7" s="66"/>
      <c r="U7" s="66"/>
      <c r="V7" s="66"/>
      <c r="W7" s="66"/>
      <c r="X7" s="65">
        <f>SUM(X8:X13)</f>
        <v>44294.573008916996</v>
      </c>
      <c r="Y7" s="7">
        <f>Y16</f>
        <v>0.10926169949393801</v>
      </c>
      <c r="Z7" s="5">
        <f>Z16</f>
        <v>79.377484201236001</v>
      </c>
      <c r="AA7" s="64">
        <f>AA16</f>
        <v>280.63378194314498</v>
      </c>
      <c r="AB7" s="64"/>
      <c r="AC7" s="63">
        <f>AC16</f>
        <v>0.49844948173055598</v>
      </c>
    </row>
    <row r="8" spans="1:29" ht="26.25" customHeight="1">
      <c r="A8" s="149" t="s">
        <v>105</v>
      </c>
      <c r="B8" s="150">
        <v>2800</v>
      </c>
      <c r="C8" s="151">
        <f>B8*$E$2</f>
        <v>2520</v>
      </c>
      <c r="D8" s="151">
        <f>B8/($G$2*$H$2)</f>
        <v>0.95432856169052493</v>
      </c>
      <c r="E8" s="151">
        <v>0</v>
      </c>
      <c r="F8" s="152">
        <f>$K$2*D8*1000</f>
        <v>158418.54124062715</v>
      </c>
      <c r="G8" s="152">
        <f>F8*$J$2*(1+$J$2)^$F$2/((1+$J$2)^$F$2-1)</f>
        <v>8613.4270385584532</v>
      </c>
      <c r="H8" s="152">
        <f>$D$2*B8</f>
        <v>92400</v>
      </c>
      <c r="I8" s="152">
        <f>F8*2%</f>
        <v>3168.3708248125431</v>
      </c>
      <c r="J8" s="152">
        <f>E8*G8+H8+I8</f>
        <v>95568.370824812548</v>
      </c>
      <c r="K8" s="155">
        <f>B8*$I$2</f>
        <v>514.83600000000001</v>
      </c>
      <c r="L8" s="156">
        <f>C8/SUM($C$8:$C$13)</f>
        <v>8.3631012748542847E-3</v>
      </c>
      <c r="M8" s="157">
        <f>C8</f>
        <v>2520</v>
      </c>
      <c r="N8" s="157">
        <f>M8/$E$3</f>
        <v>2520</v>
      </c>
      <c r="O8" s="158">
        <f>N8/($G$3*$H$3)</f>
        <v>0.78081427774679302</v>
      </c>
      <c r="P8" s="165">
        <v>1</v>
      </c>
      <c r="Q8" s="159">
        <v>1</v>
      </c>
      <c r="R8" s="148">
        <f>($L$3*P8^$M$3)</f>
        <v>187.59355385519399</v>
      </c>
      <c r="S8" s="148">
        <f>R8*1000*P8</f>
        <v>187593.55385519398</v>
      </c>
      <c r="T8" s="148">
        <f>S8*$J$3*(1+$J$3)^$F$3/(((1+$J$3)^$F$3)-1)</f>
        <v>15052.99210163705</v>
      </c>
      <c r="U8" s="148">
        <f>$D$3*N8</f>
        <v>322560</v>
      </c>
      <c r="V8" s="148">
        <f>S8*1%</f>
        <v>1875.9355385519398</v>
      </c>
      <c r="W8" s="148">
        <f>Q8*T8+U8+V8</f>
        <v>339488.92764018901</v>
      </c>
      <c r="X8" s="160">
        <f>N8*$I$3</f>
        <v>370.44</v>
      </c>
      <c r="Y8" s="161">
        <f>H8*(1+$Y$7)-H8</f>
        <v>10095.781033239866</v>
      </c>
      <c r="Z8" s="161">
        <f>$Z$7*N8</f>
        <v>200031.26018711473</v>
      </c>
      <c r="AA8" s="161">
        <f>K8*$AA$7</f>
        <v>144480.37376048099</v>
      </c>
      <c r="AB8" s="161">
        <f>X8*$AA$7</f>
        <v>103957.97818301863</v>
      </c>
      <c r="AC8" s="162">
        <f>$AC$7*S8</f>
        <v>93505.909695114577</v>
      </c>
    </row>
    <row r="9" spans="1:29" ht="26.25" customHeight="1">
      <c r="A9" s="61" t="s">
        <v>104</v>
      </c>
      <c r="B9" s="57">
        <v>17896.219550000002</v>
      </c>
      <c r="C9" s="56">
        <f>B9*$E$2</f>
        <v>16106.597595000001</v>
      </c>
      <c r="D9" s="56">
        <f>B9/($G$2*$H$2)</f>
        <v>6.0995976653033406</v>
      </c>
      <c r="E9" s="56">
        <v>0</v>
      </c>
      <c r="F9" s="55">
        <f>$K$2*D9*1000</f>
        <v>1012533.2124403545</v>
      </c>
      <c r="G9" s="55">
        <f>F9*$J$2*(1+$J$2)^$F$2/((1+$J$2)^$F$2-1)</f>
        <v>55052.779057124419</v>
      </c>
      <c r="H9" s="55">
        <f>$D$2*B9</f>
        <v>590575.24515000009</v>
      </c>
      <c r="I9" s="55">
        <f>F9*2%</f>
        <v>20250.66424880709</v>
      </c>
      <c r="J9" s="55">
        <f>E9*G9+H9+I9</f>
        <v>610825.90939880721</v>
      </c>
      <c r="K9" s="54">
        <f>B9*$I$2</f>
        <v>3290.5778886585003</v>
      </c>
      <c r="L9" s="53">
        <f>C9/SUM($C$8:$C$13)</f>
        <v>5.3452820190599E-2</v>
      </c>
      <c r="M9" s="52">
        <f>C9</f>
        <v>16106.597595000001</v>
      </c>
      <c r="N9" s="52">
        <f>M9/$E$3</f>
        <v>16106.597595000001</v>
      </c>
      <c r="O9" s="51">
        <f>N9/($G$3*$H$3)</f>
        <v>4.9905799079754605</v>
      </c>
      <c r="P9" s="166">
        <v>5</v>
      </c>
      <c r="Q9" s="50">
        <v>1</v>
      </c>
      <c r="R9" s="49">
        <f>($L$3*P9^$M$3)</f>
        <v>103.27271181722791</v>
      </c>
      <c r="S9" s="49">
        <f>R9*1000*P9</f>
        <v>516363.55908613955</v>
      </c>
      <c r="T9" s="49">
        <f>S9*$J$3*(1+$J$3)^$F$3/((1+$J$3)^$F$3-1)</f>
        <v>41434.347912065234</v>
      </c>
      <c r="U9" s="49">
        <f>$D$3*N9</f>
        <v>2061644.4921600001</v>
      </c>
      <c r="V9" s="49">
        <f>S9*1%</f>
        <v>5163.6355908613959</v>
      </c>
      <c r="W9" s="49">
        <f>Q9*T9+U9+V9</f>
        <v>2108242.4756629271</v>
      </c>
      <c r="X9" s="48">
        <f>N9*$I$3</f>
        <v>2367.6698464649999</v>
      </c>
      <c r="Y9" s="46">
        <f>H9*(1+$Y$7)-H9</f>
        <v>64527.254964138032</v>
      </c>
      <c r="Z9" s="46">
        <f>$Z$7*N9</f>
        <v>1278501.1961327784</v>
      </c>
      <c r="AA9" s="46">
        <f>K9*$AA$7</f>
        <v>923447.31767272402</v>
      </c>
      <c r="AB9" s="46">
        <f>X9*$AA$7</f>
        <v>664448.14340621838</v>
      </c>
      <c r="AC9" s="47">
        <f>$AC$7*S9</f>
        <v>257381.14841103158</v>
      </c>
    </row>
    <row r="10" spans="1:29" ht="26.25" customHeight="1">
      <c r="A10" s="60" t="s">
        <v>103</v>
      </c>
      <c r="B10" s="138">
        <v>18143.660059999998</v>
      </c>
      <c r="C10" s="139">
        <f>B10*$E$2</f>
        <v>16329.294053999998</v>
      </c>
      <c r="D10" s="139">
        <f>B10/($G$2*$H$2)</f>
        <v>6.183933217450579</v>
      </c>
      <c r="E10" s="139">
        <v>0</v>
      </c>
      <c r="F10" s="140">
        <f>$K$2*D10*1000</f>
        <v>1026532.9140967961</v>
      </c>
      <c r="G10" s="140">
        <f>F10*$J$2*(1+$J$2)^$F$2/((1+$J$2)^$F$2-1)</f>
        <v>55813.9614782918</v>
      </c>
      <c r="H10" s="140">
        <f>$D$2*B10</f>
        <v>598740.78197999997</v>
      </c>
      <c r="I10" s="140">
        <f>F10*2%</f>
        <v>20530.658281935921</v>
      </c>
      <c r="J10" s="140">
        <f>E10*G10+H10+I10</f>
        <v>619271.44026193593</v>
      </c>
      <c r="K10" s="141">
        <f>B10*$I$2</f>
        <v>3336.0747752322</v>
      </c>
      <c r="L10" s="59">
        <f>C10/SUM($C$8:$C$13)</f>
        <v>5.419188092082456E-2</v>
      </c>
      <c r="M10" s="142">
        <f>C10</f>
        <v>16329.294053999998</v>
      </c>
      <c r="N10" s="142">
        <f>M10/$E$3</f>
        <v>16329.294053999998</v>
      </c>
      <c r="O10" s="143">
        <f>N10/($G$3*$H$3)</f>
        <v>5.0595817233686553</v>
      </c>
      <c r="P10" s="167">
        <v>9</v>
      </c>
      <c r="Q10" s="144">
        <v>1</v>
      </c>
      <c r="R10" s="145">
        <f>($L$3*P10^$M$3)</f>
        <v>83.044470968177976</v>
      </c>
      <c r="S10" s="145">
        <f>R10*1000*P10</f>
        <v>747400.23871360184</v>
      </c>
      <c r="T10" s="145">
        <f>S10*$J$3*(1+$J$3)^$F$3/((1+$J$3)^$F$3-1)</f>
        <v>59973.328821319694</v>
      </c>
      <c r="U10" s="145">
        <f>$D$3*N10</f>
        <v>2090149.6389119998</v>
      </c>
      <c r="V10" s="145">
        <f>S10*1%</f>
        <v>7474.0023871360181</v>
      </c>
      <c r="W10" s="145">
        <f>Q10*T10+U10+V10</f>
        <v>2157596.9701204556</v>
      </c>
      <c r="X10" s="146">
        <f>N10*$I$3</f>
        <v>2400.4062259379998</v>
      </c>
      <c r="Y10" s="137">
        <f>H10*(1+$Y$7)-H10</f>
        <v>65419.435395464185</v>
      </c>
      <c r="Z10" s="137">
        <f>$Z$7*N10</f>
        <v>1296178.2807887217</v>
      </c>
      <c r="AA10" s="137">
        <f>K10*$AA$7</f>
        <v>936215.28101853956</v>
      </c>
      <c r="AB10" s="137">
        <f>X10*$AA$7</f>
        <v>673635.07738485222</v>
      </c>
      <c r="AC10" s="147">
        <f>$AC$7*S10</f>
        <v>372541.26163208863</v>
      </c>
    </row>
    <row r="11" spans="1:29" ht="26.25" customHeight="1">
      <c r="A11" s="149" t="s">
        <v>102</v>
      </c>
      <c r="B11" s="150">
        <v>33752.224200000004</v>
      </c>
      <c r="C11" s="151">
        <f>B11*$E$2</f>
        <v>30377.001780000006</v>
      </c>
      <c r="D11" s="151">
        <f>B11/($G$2*$H$2)</f>
        <v>11.503825562372189</v>
      </c>
      <c r="E11" s="151">
        <v>0</v>
      </c>
      <c r="F11" s="152">
        <f>$K$2*D11*1000</f>
        <v>1909635.0433537834</v>
      </c>
      <c r="G11" s="152">
        <f>F11*$J$2*(1+$J$2)^$F$2/((1+$J$2)^$F$2-1)</f>
        <v>103829.40019134532</v>
      </c>
      <c r="H11" s="152">
        <f>$D$2*B11</f>
        <v>1113823.3986000002</v>
      </c>
      <c r="I11" s="152">
        <f>F11*2%</f>
        <v>38192.70086707567</v>
      </c>
      <c r="J11" s="152">
        <f>E11*G11+H11+I11</f>
        <v>1152016.0994670759</v>
      </c>
      <c r="K11" s="155">
        <f>B11*$I$2</f>
        <v>6206.0214636540013</v>
      </c>
      <c r="L11" s="156">
        <f>C11/SUM($C$8:$C$13)</f>
        <v>0.10081188187006704</v>
      </c>
      <c r="M11" s="157">
        <f>C11</f>
        <v>30377.001780000006</v>
      </c>
      <c r="N11" s="157">
        <f>M11/$E$3</f>
        <v>30377.001780000006</v>
      </c>
      <c r="O11" s="158">
        <f>N11/($G$3*$H$3)</f>
        <v>9.4122209146681559</v>
      </c>
      <c r="P11" s="165">
        <v>15</v>
      </c>
      <c r="Q11" s="159">
        <v>1</v>
      </c>
      <c r="R11" s="148">
        <f>($L$3*P11^$M$3)</f>
        <v>68.7119046608519</v>
      </c>
      <c r="S11" s="148">
        <f>R11*1000*P11</f>
        <v>1030678.5699127784</v>
      </c>
      <c r="T11" s="148">
        <f>S11*$J$3*(1+$J$3)^$F$3/((1+$J$3)^$F$3-1)</f>
        <v>82704.315011803163</v>
      </c>
      <c r="U11" s="148">
        <f>$D$3*N11</f>
        <v>3888256.2278400008</v>
      </c>
      <c r="V11" s="148">
        <f>S11*1%</f>
        <v>10306.785699127784</v>
      </c>
      <c r="W11" s="148">
        <f>Q11*T11+U11+V11</f>
        <v>3981267.3285509315</v>
      </c>
      <c r="X11" s="160">
        <f>N11*$I$3</f>
        <v>4465.4192616600003</v>
      </c>
      <c r="Y11" s="161">
        <f>H11*(1+$Y$7)-H11</f>
        <v>121698.23746714997</v>
      </c>
      <c r="Z11" s="161">
        <f>$Z$7*N11</f>
        <v>2411249.9788728682</v>
      </c>
      <c r="AA11" s="161">
        <f>K11*$AA$7</f>
        <v>1741619.2741655544</v>
      </c>
      <c r="AB11" s="161">
        <f>X11*$AA$7</f>
        <v>1253147.4953614119</v>
      </c>
      <c r="AC11" s="162">
        <f>$AC$7*S11</f>
        <v>513741.19900381501</v>
      </c>
    </row>
    <row r="12" spans="1:29" ht="26.25" customHeight="1">
      <c r="A12" s="149" t="s">
        <v>101</v>
      </c>
      <c r="B12" s="150">
        <v>54060.924979999996</v>
      </c>
      <c r="C12" s="151">
        <f>B12*$E$2</f>
        <v>48654.832481999998</v>
      </c>
      <c r="D12" s="151">
        <f>B12/($G$2*$H$2)</f>
        <v>18.425673135650989</v>
      </c>
      <c r="E12" s="151">
        <v>0</v>
      </c>
      <c r="F12" s="152">
        <f>$K$2*D12*1000</f>
        <v>3058661.7405180642</v>
      </c>
      <c r="G12" s="152">
        <f>F12*$J$2*(1+$J$2)^$F$2/((1+$J$2)^$F$2-1)</f>
        <v>166303.51176864715</v>
      </c>
      <c r="H12" s="152">
        <f>$D$2*B12</f>
        <v>1784010.5243399998</v>
      </c>
      <c r="I12" s="152">
        <f>F12*2%</f>
        <v>61173.234810361289</v>
      </c>
      <c r="J12" s="152">
        <f>E12*G12+H12+I12</f>
        <v>1845183.7591503612</v>
      </c>
      <c r="K12" s="155">
        <f>B12*$I$2</f>
        <v>9940.1822760725991</v>
      </c>
      <c r="L12" s="156">
        <f>C12/SUM($C$8:$C$13)</f>
        <v>0.16147035379287139</v>
      </c>
      <c r="M12" s="157">
        <f>C12</f>
        <v>48654.832481999998</v>
      </c>
      <c r="N12" s="157">
        <f>M12/$E$3</f>
        <v>48654.832481999998</v>
      </c>
      <c r="O12" s="158">
        <f>N12/($G$3*$H$3)</f>
        <v>15.075550747350807</v>
      </c>
      <c r="P12" s="165">
        <v>30</v>
      </c>
      <c r="Q12" s="159">
        <v>1</v>
      </c>
      <c r="R12" s="148">
        <f>($L$3*P12^$M$3)</f>
        <v>53.135735893198259</v>
      </c>
      <c r="S12" s="148">
        <f>R12*1000*P12</f>
        <v>1594072.0767959477</v>
      </c>
      <c r="T12" s="148">
        <f>S12*$J$3*(1+$J$3)^$F$3/((1+$J$3)^$F$3-1)</f>
        <v>127912.46761054521</v>
      </c>
      <c r="U12" s="148">
        <f>$D$3*N12</f>
        <v>6227818.5576959997</v>
      </c>
      <c r="V12" s="148">
        <f>S12*1%</f>
        <v>15940.720767959478</v>
      </c>
      <c r="W12" s="148">
        <f>Q12*T12+U12+V12</f>
        <v>6371671.7460745042</v>
      </c>
      <c r="X12" s="160">
        <f>N12*$I$3</f>
        <v>7152.2603748539996</v>
      </c>
      <c r="Y12" s="161">
        <f>H12*(1+$Y$7)-H12</f>
        <v>194924.02180445963</v>
      </c>
      <c r="Z12" s="161">
        <f>$Z$7*N12</f>
        <v>3862098.1966537391</v>
      </c>
      <c r="AA12" s="161">
        <f>K12*$AA$7</f>
        <v>2789550.9453384723</v>
      </c>
      <c r="AB12" s="161">
        <f>X12*$AA$7</f>
        <v>2007165.8784373738</v>
      </c>
      <c r="AC12" s="162">
        <f>$AC$7*S12</f>
        <v>794564.40052009118</v>
      </c>
    </row>
    <row r="13" spans="1:29" ht="26.25" customHeight="1">
      <c r="A13" s="58" t="s">
        <v>100</v>
      </c>
      <c r="B13" s="57">
        <v>208151</v>
      </c>
      <c r="C13" s="56">
        <f>B13*$E$2</f>
        <v>187335.9</v>
      </c>
      <c r="D13" s="56">
        <f>B13/($G$2*$H$2)</f>
        <v>70.944444444444443</v>
      </c>
      <c r="E13" s="56">
        <v>0</v>
      </c>
      <c r="F13" s="55">
        <f>$K$2*D13*1000</f>
        <v>11776777.777777778</v>
      </c>
      <c r="G13" s="55">
        <f>F13*$J$2*(1+$J$2)^$F$2/((1+$J$2)^$F$2-1)</f>
        <v>640319.08982249291</v>
      </c>
      <c r="H13" s="55">
        <f>$D$2*B13</f>
        <v>6868983</v>
      </c>
      <c r="I13" s="55">
        <f>F13*2%</f>
        <v>235535.55555555556</v>
      </c>
      <c r="J13" s="55">
        <f>E13*G13+H13+I13</f>
        <v>7104518.555555556</v>
      </c>
      <c r="K13" s="54">
        <f>B13*$I$2</f>
        <v>38272.724370000004</v>
      </c>
      <c r="L13" s="53">
        <f>C13/SUM($C$8:$C$13)</f>
        <v>0.62170996195078365</v>
      </c>
      <c r="M13" s="52">
        <f>C13</f>
        <v>187335.9</v>
      </c>
      <c r="N13" s="52">
        <f>M13/$E$3</f>
        <v>187335.9</v>
      </c>
      <c r="O13" s="51">
        <f>N13/($G$3*$H$3)</f>
        <v>58.04545454545454</v>
      </c>
      <c r="P13" s="166">
        <v>60</v>
      </c>
      <c r="Q13" s="50">
        <v>1</v>
      </c>
      <c r="R13" s="49">
        <f>($L$3*P13^$M$3)</f>
        <v>41.090498696659367</v>
      </c>
      <c r="S13" s="49">
        <f>R13*1000*P13</f>
        <v>2465429.9217995619</v>
      </c>
      <c r="T13" s="49">
        <f>S13*$J$3*(1+$J$3)^$F$3/((1+$J$3)^$F$3-1)</f>
        <v>197832.47546254061</v>
      </c>
      <c r="U13" s="49">
        <f>$D$3*N13</f>
        <v>23978995.199999999</v>
      </c>
      <c r="V13" s="49">
        <f>S13*1%</f>
        <v>24654.29921799562</v>
      </c>
      <c r="W13" s="49">
        <f>Q13*T13+U13+V13</f>
        <v>24201481.974680535</v>
      </c>
      <c r="X13" s="48">
        <f>N13*$I$3</f>
        <v>27538.377299999996</v>
      </c>
      <c r="Y13" s="46">
        <f>H13*(1+$Y$7)-H13</f>
        <v>750516.75637496822</v>
      </c>
      <c r="Z13" s="46">
        <f>$Z$7*N13</f>
        <v>14870252.442574328</v>
      </c>
      <c r="AA13" s="46">
        <f>K13*$AA$7</f>
        <v>10740619.385220671</v>
      </c>
      <c r="AB13" s="46">
        <f>X13*$AA$7</f>
        <v>7728198.9702762524</v>
      </c>
      <c r="AC13" s="47">
        <f>$AC$7*S13</f>
        <v>1228892.2667639968</v>
      </c>
    </row>
    <row r="14" spans="1:29" ht="26.25" customHeight="1">
      <c r="N14" s="45">
        <f>SUM(N13:N13)</f>
        <v>187335.9</v>
      </c>
      <c r="O14" s="28">
        <f>N14/($G$3*$H$3)</f>
        <v>58.04545454545454</v>
      </c>
      <c r="U14" s="28">
        <f>$D$3*N14</f>
        <v>23978995.199999999</v>
      </c>
      <c r="X14" s="28">
        <f>N14*$I$3</f>
        <v>27538.377299999996</v>
      </c>
      <c r="Z14" s="29">
        <f>$Z$7*N14</f>
        <v>14870252.442574328</v>
      </c>
      <c r="AB14" s="29">
        <f>X14*$AA$7</f>
        <v>7728198.9702762524</v>
      </c>
    </row>
    <row r="16" spans="1:29" ht="26.25" customHeight="1">
      <c r="C16" s="38">
        <f>H8+Y8+AA8</f>
        <v>246976.15479372087</v>
      </c>
      <c r="F16" s="28">
        <f>F19/F20</f>
        <v>8.469602015599928E-2</v>
      </c>
      <c r="Y16" s="44">
        <f>Y20</f>
        <v>0.10926169949393801</v>
      </c>
      <c r="Z16" s="43">
        <f>Z20</f>
        <v>79.377484201236001</v>
      </c>
      <c r="AA16" s="42">
        <f>AA20</f>
        <v>280.63378194314498</v>
      </c>
      <c r="AB16" s="42"/>
      <c r="AC16" s="41">
        <f>AB20</f>
        <v>0.49844948173055598</v>
      </c>
    </row>
    <row r="17" spans="2:29" ht="26.25" customHeight="1">
      <c r="B17"/>
      <c r="C17" s="40">
        <f>E23+E20+E22</f>
        <v>246976.15479372087</v>
      </c>
      <c r="D17" s="39">
        <f>SUM(F19:F22)</f>
        <v>238740.35015133716</v>
      </c>
      <c r="E17" s="40">
        <f>E22+E20+E21+E23</f>
        <v>250144.52561853337</v>
      </c>
      <c r="F17" s="40">
        <f>F22+F20+F21+F19+F23</f>
        <v>238740.35015133716</v>
      </c>
      <c r="G17"/>
      <c r="H17"/>
      <c r="I17"/>
      <c r="S17" s="168"/>
      <c r="U17" s="28">
        <f>T8/W8</f>
        <v>4.4340156264510419E-2</v>
      </c>
      <c r="Y17">
        <v>0.16870507839136401</v>
      </c>
      <c r="Z17">
        <v>56.522386462861903</v>
      </c>
      <c r="AA17">
        <v>212.22624162706799</v>
      </c>
      <c r="AC17">
        <v>0.248418878181977</v>
      </c>
    </row>
    <row r="18" spans="2:29" ht="26.25" customHeight="1">
      <c r="B18" s="1"/>
      <c r="C18" s="1" t="s">
        <v>93</v>
      </c>
      <c r="D18" s="1" t="s">
        <v>92</v>
      </c>
      <c r="E18" s="1" t="s">
        <v>91</v>
      </c>
      <c r="F18" s="1" t="s">
        <v>90</v>
      </c>
      <c r="H18" s="1"/>
      <c r="I18" s="1" t="s">
        <v>93</v>
      </c>
      <c r="J18" s="1" t="s">
        <v>92</v>
      </c>
      <c r="K18" s="1" t="s">
        <v>99</v>
      </c>
      <c r="L18" s="1" t="s">
        <v>98</v>
      </c>
      <c r="Y18">
        <v>0.150842969756741</v>
      </c>
      <c r="Z18">
        <v>57.313747222372697</v>
      </c>
      <c r="AA18">
        <v>197.58649923432301</v>
      </c>
      <c r="AB18">
        <v>0.158649634044738</v>
      </c>
    </row>
    <row r="19" spans="2:29" ht="26.25" customHeight="1">
      <c r="B19" s="1" t="s">
        <v>89</v>
      </c>
      <c r="C19" s="163">
        <f>G8</f>
        <v>8613.4270385584532</v>
      </c>
      <c r="D19" s="163">
        <f>T8</f>
        <v>15052.99210163705</v>
      </c>
      <c r="E19" s="163">
        <f>G8</f>
        <v>8613.4270385584532</v>
      </c>
      <c r="F19" s="163">
        <f>T8+F25</f>
        <v>10377.696616881321</v>
      </c>
      <c r="H19" s="1" t="s">
        <v>96</v>
      </c>
      <c r="I19" s="163">
        <f>G13</f>
        <v>640319.08982249291</v>
      </c>
      <c r="J19" s="163">
        <f>T13</f>
        <v>197832.47546254061</v>
      </c>
      <c r="K19" s="163">
        <f>G13</f>
        <v>640319.08982249291</v>
      </c>
      <c r="L19" s="163">
        <f>T13+L25</f>
        <v>136387.86212434078</v>
      </c>
      <c r="Y19">
        <v>0.16761003765310101</v>
      </c>
      <c r="Z19">
        <v>73.013864869431401</v>
      </c>
      <c r="AA19">
        <v>264.21535127643199</v>
      </c>
      <c r="AB19">
        <v>0.176289715687693</v>
      </c>
    </row>
    <row r="20" spans="2:29" ht="26.25" customHeight="1">
      <c r="B20" s="1" t="s">
        <v>88</v>
      </c>
      <c r="C20" s="163">
        <f>H8</f>
        <v>92400</v>
      </c>
      <c r="D20" s="163">
        <f>U8</f>
        <v>322560</v>
      </c>
      <c r="E20" s="163">
        <f>H8</f>
        <v>92400</v>
      </c>
      <c r="F20" s="163">
        <f>U8+F26</f>
        <v>122528.73981288527</v>
      </c>
      <c r="H20" s="1" t="s">
        <v>88</v>
      </c>
      <c r="I20" s="163">
        <f>H13</f>
        <v>6868983</v>
      </c>
      <c r="J20" s="163">
        <f>U13</f>
        <v>23978995.199999999</v>
      </c>
      <c r="K20" s="163">
        <f>H13</f>
        <v>6868983</v>
      </c>
      <c r="L20" s="163">
        <f>U13+L26</f>
        <v>9108742.7574256714</v>
      </c>
      <c r="Y20" s="7">
        <v>0.10926169949393801</v>
      </c>
      <c r="Z20">
        <v>79.377484201236001</v>
      </c>
      <c r="AA20">
        <v>280.63378194314498</v>
      </c>
      <c r="AB20" s="7">
        <v>0.49844948173055598</v>
      </c>
    </row>
    <row r="21" spans="2:29" ht="26.25" customHeight="1">
      <c r="B21" s="1" t="s">
        <v>87</v>
      </c>
      <c r="C21" s="163">
        <f>I8</f>
        <v>3168.3708248125431</v>
      </c>
      <c r="D21" s="163">
        <f>V8</f>
        <v>1875.9355385519398</v>
      </c>
      <c r="E21" s="163">
        <f>I8</f>
        <v>3168.3708248125431</v>
      </c>
      <c r="F21" s="163">
        <f>V8</f>
        <v>1875.9355385519398</v>
      </c>
      <c r="H21" s="1" t="s">
        <v>87</v>
      </c>
      <c r="I21" s="163">
        <f>I13</f>
        <v>235535.55555555556</v>
      </c>
      <c r="J21" s="163">
        <f>V13</f>
        <v>24654.29921799562</v>
      </c>
      <c r="K21" s="163">
        <f>I13</f>
        <v>235535.55555555556</v>
      </c>
      <c r="L21" s="163">
        <f>V13</f>
        <v>24654.29921799562</v>
      </c>
      <c r="Y21" s="1" t="s">
        <v>19</v>
      </c>
      <c r="Z21" s="1" t="s">
        <v>97</v>
      </c>
      <c r="AA21" s="1" t="s">
        <v>52</v>
      </c>
      <c r="AB21" s="1" t="s">
        <v>51</v>
      </c>
      <c r="AC21" s="1" t="s">
        <v>49</v>
      </c>
    </row>
    <row r="22" spans="2:29" ht="26.25" customHeight="1">
      <c r="B22" s="1" t="s">
        <v>86</v>
      </c>
      <c r="C22" s="122"/>
      <c r="D22" s="122"/>
      <c r="E22" s="163">
        <f>AA8</f>
        <v>144480.37376048099</v>
      </c>
      <c r="F22" s="163">
        <f>AB8</f>
        <v>103957.97818301863</v>
      </c>
      <c r="H22" s="1" t="s">
        <v>86</v>
      </c>
      <c r="I22" s="122"/>
      <c r="J22" s="122"/>
      <c r="K22" s="163">
        <f>AA13</f>
        <v>10740619.385220671</v>
      </c>
      <c r="L22" s="163">
        <f>AB13</f>
        <v>7728198.9702762524</v>
      </c>
      <c r="Y22" s="1">
        <v>2024</v>
      </c>
      <c r="Z22" s="2">
        <v>0.16761003765310101</v>
      </c>
      <c r="AA22" s="1">
        <v>73.013864869431401</v>
      </c>
      <c r="AB22" s="1">
        <v>264.21535127643199</v>
      </c>
      <c r="AC22" s="2">
        <v>0.176289715687693</v>
      </c>
    </row>
    <row r="23" spans="2:29" ht="26.25" customHeight="1">
      <c r="B23" s="1" t="s">
        <v>85</v>
      </c>
      <c r="C23" s="122"/>
      <c r="D23" s="122"/>
      <c r="E23" s="163">
        <f>Y8</f>
        <v>10095.781033239866</v>
      </c>
      <c r="F23" s="1">
        <v>0</v>
      </c>
      <c r="H23" s="1" t="s">
        <v>85</v>
      </c>
      <c r="I23" s="122"/>
      <c r="J23" s="122"/>
      <c r="K23" s="163">
        <f>Y13</f>
        <v>750516.75637496822</v>
      </c>
      <c r="L23" s="1">
        <v>0</v>
      </c>
      <c r="Y23" s="1">
        <v>2025</v>
      </c>
      <c r="Z23" s="2">
        <v>0.151964745993244</v>
      </c>
      <c r="AA23" s="1">
        <v>63.676748555312301</v>
      </c>
      <c r="AB23" s="1">
        <v>196.48527945225999</v>
      </c>
      <c r="AC23" s="2">
        <v>0.21420339014591999</v>
      </c>
    </row>
    <row r="24" spans="2:29" ht="26.25" customHeight="1">
      <c r="B24" s="1" t="s">
        <v>95</v>
      </c>
      <c r="C24" s="122"/>
      <c r="D24" s="164">
        <f>-F26</f>
        <v>200031.26018711473</v>
      </c>
      <c r="E24" s="122">
        <v>0</v>
      </c>
      <c r="F24" s="122"/>
      <c r="H24" s="1" t="s">
        <v>95</v>
      </c>
      <c r="I24" s="122"/>
      <c r="J24" s="164">
        <f>-L26</f>
        <v>14870252.442574328</v>
      </c>
      <c r="K24" s="122">
        <v>0</v>
      </c>
      <c r="L24" s="122"/>
      <c r="Y24" s="1">
        <v>2026</v>
      </c>
      <c r="Z24" s="2">
        <v>0.14814344931881601</v>
      </c>
      <c r="AA24" s="1">
        <v>59.193475635146299</v>
      </c>
      <c r="AB24" s="1">
        <v>193.48580887637399</v>
      </c>
      <c r="AC24" s="2">
        <v>0.241860306385415</v>
      </c>
    </row>
    <row r="25" spans="2:29" ht="26.25" customHeight="1">
      <c r="B25" s="1" t="s">
        <v>94</v>
      </c>
      <c r="C25" s="122"/>
      <c r="D25" s="122"/>
      <c r="E25" s="163">
        <v>0</v>
      </c>
      <c r="F25" s="163">
        <f>C27/20</f>
        <v>-4675.2954847557285</v>
      </c>
      <c r="H25" s="1" t="s">
        <v>94</v>
      </c>
      <c r="I25" s="122"/>
      <c r="J25" s="122"/>
      <c r="K25" s="163">
        <v>0</v>
      </c>
      <c r="L25" s="163">
        <f>-AC13/20</f>
        <v>-61444.613338199837</v>
      </c>
      <c r="Y25" s="1">
        <v>2027</v>
      </c>
      <c r="Z25" s="2">
        <v>0.16870507839136401</v>
      </c>
      <c r="AA25" s="1">
        <v>56.522386462861903</v>
      </c>
      <c r="AB25" s="1">
        <v>212.22624162706799</v>
      </c>
      <c r="AC25" s="2">
        <v>0.248418878181977</v>
      </c>
    </row>
    <row r="26" spans="2:29" ht="26.25" customHeight="1">
      <c r="B26"/>
      <c r="C26" s="38">
        <f>SUM(C19:C21)</f>
        <v>104181.797863371</v>
      </c>
      <c r="D26" s="38">
        <f>SUM(D19:D21)</f>
        <v>339488.92764018901</v>
      </c>
      <c r="E26" s="39"/>
      <c r="F26" s="39">
        <f>-Z8</f>
        <v>-200031.26018711473</v>
      </c>
      <c r="H26"/>
      <c r="I26" s="38">
        <f>SUM(I19:I21)</f>
        <v>7744837.6453780485</v>
      </c>
      <c r="J26" s="38">
        <f>SUM(J19:J21)</f>
        <v>24201481.974680535</v>
      </c>
      <c r="K26" s="39"/>
      <c r="L26" s="39">
        <f>-Z13</f>
        <v>-14870252.442574328</v>
      </c>
      <c r="Y26" s="1">
        <v>2028</v>
      </c>
      <c r="Z26" s="2">
        <v>0.150842969756741</v>
      </c>
      <c r="AA26" s="1">
        <v>57.313747222372697</v>
      </c>
      <c r="AB26" s="1">
        <v>197.58649923432301</v>
      </c>
      <c r="AC26" s="2">
        <v>0.158649634044738</v>
      </c>
    </row>
    <row r="27" spans="2:29" ht="26.25" customHeight="1">
      <c r="B27"/>
      <c r="C27" s="40">
        <f>-AC8</f>
        <v>-93505.909695114577</v>
      </c>
      <c r="E27" s="39"/>
      <c r="F27" s="39">
        <f>D24+F20</f>
        <v>322560</v>
      </c>
      <c r="H27"/>
      <c r="K27" s="39"/>
      <c r="L27" s="39">
        <f>J24+L20</f>
        <v>23978995.199999999</v>
      </c>
      <c r="Y27" s="1">
        <v>2029</v>
      </c>
      <c r="Z27" s="2">
        <v>0.14113992826310201</v>
      </c>
      <c r="AA27" s="1">
        <v>51.556216756283199</v>
      </c>
      <c r="AB27" s="1">
        <v>196.02804997825501</v>
      </c>
      <c r="AC27" s="2">
        <v>0.17842734907492799</v>
      </c>
    </row>
    <row r="28" spans="2:29" ht="26.25" customHeight="1">
      <c r="B28"/>
      <c r="C28" s="39"/>
      <c r="D28" s="39"/>
      <c r="E28" s="122"/>
      <c r="Y28" s="1">
        <v>2030</v>
      </c>
      <c r="Z28" s="2">
        <v>0.148320250162707</v>
      </c>
      <c r="AA28" s="1">
        <v>42.522169436034503</v>
      </c>
      <c r="AB28" s="1">
        <v>250.01761350515801</v>
      </c>
      <c r="AC28" s="2">
        <v>0.16390875721508799</v>
      </c>
    </row>
    <row r="29" spans="2:29" ht="26.25" customHeight="1">
      <c r="B29"/>
      <c r="C29" s="39"/>
      <c r="D29" s="39"/>
      <c r="Y29" s="1">
        <v>2031</v>
      </c>
      <c r="Z29" s="2">
        <v>0.153538136747014</v>
      </c>
      <c r="AA29" s="1">
        <v>55.077778801552903</v>
      </c>
      <c r="AB29" s="1">
        <v>177.119110158529</v>
      </c>
      <c r="AC29" s="2">
        <v>5.8906778184586797E-2</v>
      </c>
    </row>
    <row r="30" spans="2:29" ht="26.25" customHeight="1">
      <c r="B30"/>
      <c r="E30"/>
      <c r="F30"/>
      <c r="G30"/>
      <c r="H30"/>
      <c r="I30"/>
      <c r="Y30" s="1">
        <v>2032</v>
      </c>
      <c r="Z30" s="2">
        <v>0.15243189042840299</v>
      </c>
      <c r="AA30" s="1">
        <v>56.30018377191</v>
      </c>
      <c r="AB30" s="1">
        <v>203.10203799105901</v>
      </c>
      <c r="AC30" s="2">
        <v>5.0137643375966698E-2</v>
      </c>
    </row>
    <row r="31" spans="2:29" ht="26.25" customHeight="1">
      <c r="B31"/>
      <c r="C31"/>
      <c r="D31"/>
      <c r="E31"/>
      <c r="F31"/>
      <c r="G31"/>
      <c r="H31"/>
      <c r="I31"/>
      <c r="Y31" s="1">
        <v>2033</v>
      </c>
      <c r="Z31" s="2">
        <v>0.15757150775576301</v>
      </c>
      <c r="AA31" s="1">
        <v>62.6384537848406</v>
      </c>
      <c r="AB31" s="1">
        <v>155.711357091004</v>
      </c>
      <c r="AC31" s="2">
        <v>5.0434800324185097E-2</v>
      </c>
    </row>
    <row r="32" spans="2:29" ht="26.25" customHeight="1">
      <c r="B32"/>
      <c r="C32"/>
      <c r="D32"/>
      <c r="E32" s="39"/>
      <c r="F32"/>
      <c r="G32"/>
      <c r="H32"/>
      <c r="I32"/>
      <c r="Y32" s="28"/>
      <c r="Z32" s="28"/>
      <c r="AA32" s="28"/>
      <c r="AB32" s="28"/>
      <c r="AC32" s="28"/>
    </row>
    <row r="33" spans="2:29" ht="26.25" customHeight="1">
      <c r="B33"/>
      <c r="C33"/>
      <c r="D33"/>
      <c r="E33"/>
      <c r="F33" s="39"/>
      <c r="G33"/>
      <c r="H33"/>
      <c r="Y33" s="1">
        <v>2024</v>
      </c>
      <c r="Z33" s="2">
        <v>0.10926169949393801</v>
      </c>
      <c r="AA33" s="1">
        <v>79.377484201236001</v>
      </c>
      <c r="AB33" s="1">
        <v>280.63378194314498</v>
      </c>
      <c r="AC33" s="2">
        <v>0.49844948173055598</v>
      </c>
    </row>
    <row r="34" spans="2:29" ht="26.25" customHeight="1">
      <c r="H34"/>
      <c r="I34"/>
      <c r="J34"/>
      <c r="K34"/>
      <c r="L34"/>
      <c r="M34"/>
      <c r="N34"/>
      <c r="O34"/>
      <c r="Y34" s="1">
        <v>2025</v>
      </c>
      <c r="Z34" s="2">
        <v>0.102171210441016</v>
      </c>
      <c r="AA34" s="1">
        <v>64.130744514067402</v>
      </c>
      <c r="AB34" s="1">
        <v>222.64938032745201</v>
      </c>
      <c r="AC34" s="2">
        <v>0.49717680313933099</v>
      </c>
    </row>
    <row r="35" spans="2:29" ht="26.25" customHeight="1">
      <c r="H35"/>
      <c r="K35" s="39"/>
      <c r="L35" s="39"/>
      <c r="M35" s="39"/>
      <c r="O35" s="39"/>
      <c r="P35" s="38"/>
      <c r="Y35" s="1">
        <v>2026</v>
      </c>
      <c r="Z35" s="2">
        <v>0.10018889495769499</v>
      </c>
      <c r="AA35" s="1">
        <v>58.656943536640298</v>
      </c>
      <c r="AB35" s="1">
        <v>216.134373926438</v>
      </c>
      <c r="AC35" s="2">
        <v>0.22064737472611301</v>
      </c>
    </row>
    <row r="36" spans="2:29" ht="26.25" customHeight="1">
      <c r="H36"/>
      <c r="J36" s="39"/>
      <c r="K36" s="39"/>
      <c r="L36" s="39"/>
      <c r="M36"/>
      <c r="N36" s="39"/>
      <c r="O36" s="40"/>
      <c r="P36" s="38"/>
      <c r="Y36" s="1">
        <v>2027</v>
      </c>
      <c r="Z36" s="2">
        <v>0.15289755232541</v>
      </c>
      <c r="AA36" s="1">
        <v>58.224621739496698</v>
      </c>
      <c r="AB36" s="1">
        <v>205.924867552889</v>
      </c>
      <c r="AC36" s="2">
        <v>0.244172463847806</v>
      </c>
    </row>
    <row r="37" spans="2:29" ht="26.25" customHeight="1">
      <c r="H37"/>
      <c r="I37" s="39"/>
      <c r="J37" s="39"/>
      <c r="K37" s="39"/>
      <c r="P37" s="38"/>
      <c r="Y37" s="1">
        <v>2028</v>
      </c>
      <c r="Z37" s="2">
        <v>0.15228321292774799</v>
      </c>
      <c r="AA37" s="1">
        <v>56.968226503234803</v>
      </c>
      <c r="AB37" s="1">
        <v>202.40093447484699</v>
      </c>
      <c r="AC37" s="2">
        <v>0.14098705745676399</v>
      </c>
    </row>
    <row r="38" spans="2:29" ht="26.25" customHeight="1">
      <c r="H38"/>
      <c r="I38" s="39"/>
      <c r="J38" s="39"/>
      <c r="K38" s="39"/>
      <c r="P38" s="38"/>
      <c r="Y38" s="1">
        <v>2029</v>
      </c>
      <c r="Z38" s="2">
        <v>0.144986874704403</v>
      </c>
      <c r="AA38" s="1">
        <v>49.865292682283403</v>
      </c>
      <c r="AB38" s="1">
        <v>208.50883252700299</v>
      </c>
      <c r="AC38" s="2">
        <v>0.14927212238220899</v>
      </c>
    </row>
    <row r="39" spans="2:29" ht="26.25" customHeight="1">
      <c r="Y39" s="1">
        <v>2030</v>
      </c>
      <c r="Z39" s="2">
        <v>0.15016838057571499</v>
      </c>
      <c r="AA39" s="1">
        <v>49.726286325982898</v>
      </c>
      <c r="AB39" s="1">
        <v>200.55704877663501</v>
      </c>
      <c r="AC39" s="2">
        <v>0.13366867585950601</v>
      </c>
    </row>
    <row r="40" spans="2:29" ht="26.25" customHeight="1">
      <c r="Y40" s="1">
        <v>2031</v>
      </c>
      <c r="Z40" s="2">
        <v>0.10177545189816201</v>
      </c>
      <c r="AA40" s="1">
        <v>53.423209704886702</v>
      </c>
      <c r="AB40" s="1">
        <v>198.87908936765001</v>
      </c>
      <c r="AC40" s="2">
        <v>9.3823736084054005E-2</v>
      </c>
    </row>
    <row r="41" spans="2:29" ht="26.25" customHeight="1">
      <c r="Y41" s="1">
        <v>2032</v>
      </c>
      <c r="Z41" s="2">
        <v>0.102124940126072</v>
      </c>
      <c r="AA41" s="1">
        <v>59.056809599865403</v>
      </c>
      <c r="AB41" s="1">
        <v>153.63742092982</v>
      </c>
      <c r="AC41" s="2">
        <v>0.103596460778149</v>
      </c>
    </row>
    <row r="42" spans="2:29" ht="26.25" customHeight="1">
      <c r="Y42" s="1">
        <v>2033</v>
      </c>
      <c r="Z42" s="2">
        <v>0.10304458573655299</v>
      </c>
      <c r="AA42" s="1">
        <v>54.196725832048202</v>
      </c>
      <c r="AB42" s="1">
        <v>155.77138532105499</v>
      </c>
      <c r="AC42" s="2">
        <v>0.132869622302448</v>
      </c>
    </row>
    <row r="59" spans="2:6" ht="26.25" customHeight="1">
      <c r="B59" s="122"/>
      <c r="C59" s="122" t="s">
        <v>93</v>
      </c>
      <c r="D59" s="122" t="s">
        <v>92</v>
      </c>
      <c r="E59" s="122" t="s">
        <v>91</v>
      </c>
      <c r="F59" s="122" t="s">
        <v>90</v>
      </c>
    </row>
    <row r="60" spans="2:6" ht="26.25" customHeight="1">
      <c r="B60" s="122" t="s">
        <v>89</v>
      </c>
      <c r="C60" s="122">
        <v>8613.4270385584532</v>
      </c>
      <c r="D60" s="122">
        <v>15052.99210163705</v>
      </c>
      <c r="E60" s="122">
        <v>8613.4270385584532</v>
      </c>
      <c r="F60" s="122">
        <v>10377.696616881321</v>
      </c>
    </row>
    <row r="61" spans="2:6" ht="26.25" customHeight="1">
      <c r="B61" s="122" t="s">
        <v>88</v>
      </c>
      <c r="C61" s="122">
        <v>92400</v>
      </c>
      <c r="D61" s="122">
        <v>322560</v>
      </c>
      <c r="E61" s="122">
        <v>92400</v>
      </c>
      <c r="F61" s="122">
        <v>122528.73981288527</v>
      </c>
    </row>
    <row r="62" spans="2:6" ht="26.25" customHeight="1">
      <c r="B62" s="122" t="s">
        <v>87</v>
      </c>
      <c r="C62" s="122">
        <v>3168.3708248125431</v>
      </c>
      <c r="D62" s="122">
        <v>1875.9355385519398</v>
      </c>
      <c r="E62" s="122">
        <v>3168.3708248125431</v>
      </c>
      <c r="F62" s="122">
        <v>1875.9355385519398</v>
      </c>
    </row>
    <row r="63" spans="2:6" ht="26.25" customHeight="1">
      <c r="B63" s="122" t="s">
        <v>86</v>
      </c>
      <c r="C63" s="122"/>
      <c r="D63" s="122"/>
      <c r="E63" s="122">
        <v>144480.37376048099</v>
      </c>
      <c r="F63" s="122">
        <v>103957.97818301863</v>
      </c>
    </row>
    <row r="64" spans="2:6" ht="26.25" customHeight="1">
      <c r="B64" s="122" t="s">
        <v>85</v>
      </c>
      <c r="C64" s="122"/>
      <c r="D64" s="122"/>
      <c r="E64" s="122">
        <v>10095.781033239866</v>
      </c>
      <c r="F64" s="122">
        <v>0</v>
      </c>
    </row>
    <row r="66" spans="1:8" ht="26.25" customHeight="1" thickBot="1"/>
    <row r="67" spans="1:8" ht="26.25" customHeight="1" thickBot="1">
      <c r="A67" s="37"/>
      <c r="B67" s="10"/>
      <c r="C67" s="10" t="s">
        <v>30</v>
      </c>
      <c r="D67" s="10" t="s">
        <v>84</v>
      </c>
      <c r="E67" s="10" t="s">
        <v>32</v>
      </c>
      <c r="F67" s="10" t="s">
        <v>33</v>
      </c>
      <c r="G67" s="10" t="s">
        <v>34</v>
      </c>
      <c r="H67" s="10" t="s">
        <v>35</v>
      </c>
    </row>
    <row r="68" spans="1:8" ht="26.25" customHeight="1" thickBot="1">
      <c r="A68" s="37"/>
      <c r="B68" s="14" t="s">
        <v>77</v>
      </c>
      <c r="C68" s="36">
        <v>117</v>
      </c>
      <c r="D68" s="36">
        <v>270</v>
      </c>
      <c r="E68" s="36">
        <v>44</v>
      </c>
      <c r="F68" s="36">
        <v>21</v>
      </c>
      <c r="G68" s="36">
        <v>12</v>
      </c>
      <c r="H68" s="36">
        <v>26</v>
      </c>
    </row>
    <row r="69" spans="1:8" ht="26.25" customHeight="1">
      <c r="A69" s="37"/>
    </row>
    <row r="119" spans="6:13" ht="26.25" customHeight="1" thickBot="1"/>
    <row r="120" spans="6:13" ht="26.25" customHeight="1" thickBot="1">
      <c r="F120" s="35"/>
      <c r="G120" s="34" t="s">
        <v>83</v>
      </c>
      <c r="H120" s="33" t="s">
        <v>82</v>
      </c>
      <c r="I120" s="33" t="s">
        <v>81</v>
      </c>
      <c r="J120" s="33" t="s">
        <v>80</v>
      </c>
      <c r="K120" s="33" t="s">
        <v>79</v>
      </c>
      <c r="L120" s="33" t="s">
        <v>78</v>
      </c>
    </row>
    <row r="121" spans="6:13" ht="26.25" customHeight="1" thickBot="1">
      <c r="F121" s="32" t="s">
        <v>77</v>
      </c>
      <c r="G121" s="31">
        <v>117</v>
      </c>
      <c r="H121" s="31">
        <v>270</v>
      </c>
      <c r="I121" s="31">
        <v>44</v>
      </c>
      <c r="J121" s="31">
        <v>21</v>
      </c>
      <c r="K121" s="31">
        <v>12</v>
      </c>
      <c r="L121" s="31">
        <v>26</v>
      </c>
      <c r="M121" s="28">
        <f>SUM(G121:L121)</f>
        <v>490</v>
      </c>
    </row>
    <row r="122" spans="6:13" ht="26.25" customHeight="1">
      <c r="G122">
        <f>SUM(G112:G121)</f>
        <v>117</v>
      </c>
      <c r="H122">
        <f>SUM(H112:H121)</f>
        <v>270</v>
      </c>
      <c r="I122">
        <f>SUM(I112:I121)</f>
        <v>44</v>
      </c>
      <c r="J122">
        <f>SUM(J112:J121)</f>
        <v>21</v>
      </c>
      <c r="K122">
        <f>SUM(K112:K121)</f>
        <v>12</v>
      </c>
      <c r="L122">
        <f>SUM(L112:L121)</f>
        <v>26</v>
      </c>
    </row>
  </sheetData>
  <autoFilter ref="A6:AC6" xr:uid="{038E2555-0CCC-4270-87F9-6357AAAED278}"/>
  <mergeCells count="2">
    <mergeCell ref="AA16:AB16"/>
    <mergeCell ref="AA7:AB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Cost of heating and inputs</vt:lpstr>
      <vt:lpstr>ALL MArket shares</vt:lpstr>
      <vt:lpstr>S-Curve </vt:lpstr>
      <vt:lpstr>Linear</vt:lpstr>
      <vt:lpstr>Policy+final cost</vt:lpstr>
      <vt:lpstr>Switching Linear</vt:lpstr>
      <vt:lpstr>Cost reduction</vt:lpstr>
      <vt:lpstr>Emissions</vt:lpstr>
      <vt:lpstr>Validation Cost of heating diff</vt:lpstr>
      <vt:lpstr>WBBINRange2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2023-09-18T19:08:00Z</dcterms:created>
  <dcterms:modified xsi:type="dcterms:W3CDTF">2023-09-18T23:18:50Z</dcterms:modified>
</cp:coreProperties>
</file>