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vang\OneDrive\Desktop\weltech working\"/>
    </mc:Choice>
  </mc:AlternateContent>
  <xr:revisionPtr revIDLastSave="0" documentId="13_ncr:1_{705F176F-1F0B-4C15-851F-DD2944A01E66}" xr6:coauthVersionLast="47" xr6:coauthVersionMax="47" xr10:uidLastSave="{00000000-0000-0000-0000-000000000000}"/>
  <bookViews>
    <workbookView xWindow="-108" yWindow="-108" windowWidth="23256" windowHeight="12456" activeTab="3" xr2:uid="{1C93088D-8B09-41B5-8E84-5401A45792A7}"/>
  </bookViews>
  <sheets>
    <sheet name="Report" sheetId="2" r:id="rId1"/>
    <sheet name="raw data" sheetId="1" r:id="rId2"/>
    <sheet name="support" sheetId="3" r:id="rId3"/>
    <sheet name="Dashboard" sheetId="4" r:id="rId4"/>
  </sheets>
  <definedNames>
    <definedName name="Current_month">Dashboard!$D$7</definedName>
    <definedName name="Current_year">Report!$C$3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9" i="3" l="1"/>
  <c r="AQ20" i="3"/>
  <c r="AQ21" i="3"/>
  <c r="AQ22" i="3"/>
  <c r="AQ23" i="3"/>
  <c r="AQ24" i="3"/>
  <c r="AQ25" i="3"/>
  <c r="AQ26" i="3"/>
  <c r="AU15" i="3" l="1"/>
  <c r="AV24" i="3"/>
  <c r="AV28" i="3"/>
  <c r="AE11" i="3" l="1"/>
  <c r="T16" i="4" l="1"/>
  <c r="Q18" i="4"/>
  <c r="R18" i="4"/>
  <c r="S18" i="4"/>
  <c r="T18" i="4"/>
  <c r="U18" i="4"/>
  <c r="V18" i="4"/>
  <c r="O18" i="4"/>
  <c r="P18" i="4"/>
  <c r="AK12" i="3"/>
  <c r="AL16" i="3" l="1"/>
  <c r="AQ16" i="3" s="1"/>
  <c r="AL24" i="3"/>
  <c r="AL17" i="3"/>
  <c r="AQ17" i="3" s="1"/>
  <c r="AL25" i="3"/>
  <c r="AL18" i="3"/>
  <c r="AQ18" i="3" s="1"/>
  <c r="AL26" i="3"/>
  <c r="AL19" i="3"/>
  <c r="AL15" i="3"/>
  <c r="AQ15" i="3" s="1"/>
  <c r="AL20" i="3"/>
  <c r="AL21" i="3"/>
  <c r="AL23" i="3"/>
  <c r="AL22" i="3"/>
  <c r="G32" i="3"/>
  <c r="AR13" i="3"/>
  <c r="AM13" i="3"/>
  <c r="F17" i="2"/>
  <c r="AG13" i="3"/>
  <c r="AF13" i="3"/>
  <c r="AC13" i="3"/>
  <c r="Q8" i="3"/>
  <c r="P8" i="3"/>
  <c r="O8" i="3"/>
  <c r="K26" i="3"/>
  <c r="K27" i="3"/>
  <c r="K28" i="3"/>
  <c r="T9" i="3"/>
  <c r="S9" i="3"/>
  <c r="R9" i="3"/>
  <c r="Q9" i="3"/>
  <c r="P9" i="3"/>
  <c r="O9" i="3"/>
  <c r="T8" i="3"/>
  <c r="S8" i="3"/>
  <c r="R8" i="3"/>
  <c r="N9" i="3"/>
  <c r="M9" i="3"/>
  <c r="N8" i="3"/>
  <c r="M8" i="3"/>
  <c r="L8" i="3"/>
  <c r="L9" i="3"/>
  <c r="K15" i="3"/>
  <c r="K16" i="3"/>
  <c r="K17" i="3"/>
  <c r="K18" i="3"/>
  <c r="K19" i="3"/>
  <c r="K20" i="3"/>
  <c r="K21" i="3"/>
  <c r="K22" i="3"/>
  <c r="K23" i="3"/>
  <c r="K24" i="3"/>
  <c r="K25" i="3"/>
  <c r="K14" i="3"/>
  <c r="F13" i="3" a="1"/>
  <c r="H13" i="3" s="1"/>
  <c r="B1" i="1"/>
  <c r="B6" i="1" a="1"/>
  <c r="J6" i="1" s="1"/>
  <c r="AN5" i="1"/>
  <c r="AN4" i="1" s="1"/>
  <c r="I8" i="3"/>
  <c r="K4" i="3"/>
  <c r="AA7" i="3"/>
  <c r="AC7" i="3"/>
  <c r="O7" i="3" l="1"/>
  <c r="S7" i="3"/>
  <c r="T7" i="3"/>
  <c r="L7" i="3"/>
  <c r="M7" i="3"/>
  <c r="J23" i="3"/>
  <c r="O28" i="4" s="1"/>
  <c r="P28" i="4"/>
  <c r="J28" i="3"/>
  <c r="O33" i="4" s="1"/>
  <c r="P33" i="4"/>
  <c r="J25" i="3"/>
  <c r="O30" i="4" s="1"/>
  <c r="P30" i="4"/>
  <c r="J24" i="3"/>
  <c r="O29" i="4" s="1"/>
  <c r="P29" i="4"/>
  <c r="J15" i="3"/>
  <c r="O20" i="4" s="1"/>
  <c r="P20" i="4"/>
  <c r="J22" i="3"/>
  <c r="O27" i="4" s="1"/>
  <c r="P27" i="4"/>
  <c r="J27" i="3"/>
  <c r="O32" i="4" s="1"/>
  <c r="P32" i="4"/>
  <c r="J26" i="3"/>
  <c r="O31" i="4" s="1"/>
  <c r="P31" i="4"/>
  <c r="J14" i="3"/>
  <c r="O19" i="4" s="1"/>
  <c r="P19" i="4"/>
  <c r="AB21" i="3"/>
  <c r="P26" i="4"/>
  <c r="J20" i="3"/>
  <c r="O25" i="4" s="1"/>
  <c r="P25" i="4"/>
  <c r="P23" i="4"/>
  <c r="J17" i="3"/>
  <c r="O22" i="4" s="1"/>
  <c r="P22" i="4"/>
  <c r="J16" i="3"/>
  <c r="O21" i="4" s="1"/>
  <c r="P21" i="4"/>
  <c r="AB19" i="3"/>
  <c r="P24" i="4"/>
  <c r="AM15" i="3"/>
  <c r="AR15" i="3" s="1"/>
  <c r="AN23" i="3"/>
  <c r="AS23" i="3" s="1"/>
  <c r="AN16" i="3"/>
  <c r="AS16" i="3" s="1"/>
  <c r="AM20" i="3"/>
  <c r="AR20" i="3" s="1"/>
  <c r="AM21" i="3"/>
  <c r="AR21" i="3" s="1"/>
  <c r="AM19" i="3"/>
  <c r="AR19" i="3" s="1"/>
  <c r="AN25" i="3"/>
  <c r="AS25" i="3" s="1"/>
  <c r="AN24" i="3"/>
  <c r="AS24" i="3" s="1"/>
  <c r="AN17" i="3"/>
  <c r="AS17" i="3" s="1"/>
  <c r="AM26" i="3"/>
  <c r="AR26" i="3" s="1"/>
  <c r="AM18" i="3"/>
  <c r="AR18" i="3" s="1"/>
  <c r="AN22" i="3"/>
  <c r="AS22" i="3" s="1"/>
  <c r="AM25" i="3"/>
  <c r="AR25" i="3" s="1"/>
  <c r="AM17" i="3"/>
  <c r="AR17" i="3" s="1"/>
  <c r="AN21" i="3"/>
  <c r="AS21" i="3" s="1"/>
  <c r="AP12" i="3"/>
  <c r="AM24" i="3"/>
  <c r="AR24" i="3" s="1"/>
  <c r="AM16" i="3"/>
  <c r="AR16" i="3" s="1"/>
  <c r="AN20" i="3"/>
  <c r="AS20" i="3" s="1"/>
  <c r="AM23" i="3"/>
  <c r="AR23" i="3" s="1"/>
  <c r="AN15" i="3"/>
  <c r="AS15" i="3" s="1"/>
  <c r="AN19" i="3"/>
  <c r="AS19" i="3" s="1"/>
  <c r="AM22" i="3"/>
  <c r="AR22" i="3" s="1"/>
  <c r="AN26" i="3"/>
  <c r="AS26" i="3" s="1"/>
  <c r="AN18" i="3"/>
  <c r="AS18" i="3" s="1"/>
  <c r="J19" i="3"/>
  <c r="O24" i="4" s="1"/>
  <c r="J18" i="3"/>
  <c r="O23" i="4" s="1"/>
  <c r="AB14" i="3"/>
  <c r="AB27" i="3"/>
  <c r="AB23" i="3"/>
  <c r="AB15" i="3"/>
  <c r="N7" i="3"/>
  <c r="Q7" i="3"/>
  <c r="J21" i="3"/>
  <c r="O26" i="4" s="1"/>
  <c r="AB28" i="3"/>
  <c r="AB26" i="3"/>
  <c r="AB18" i="3"/>
  <c r="AB22" i="3"/>
  <c r="AB20" i="3"/>
  <c r="AB25" i="3"/>
  <c r="AB17" i="3"/>
  <c r="AB24" i="3"/>
  <c r="AB16" i="3"/>
  <c r="R7" i="3"/>
  <c r="P7" i="3"/>
  <c r="F13" i="3"/>
  <c r="G13" i="3"/>
  <c r="AM5" i="1"/>
  <c r="AM4" i="1" s="1"/>
  <c r="H5" i="1"/>
  <c r="P5" i="1"/>
  <c r="P4" i="1" s="1"/>
  <c r="I5" i="1"/>
  <c r="Q5" i="1"/>
  <c r="Q4" i="1" s="1"/>
  <c r="AO5" i="1"/>
  <c r="AO4" i="1" s="1"/>
  <c r="C6" i="1"/>
  <c r="B5" i="1"/>
  <c r="J5" i="1"/>
  <c r="J4" i="1" s="1"/>
  <c r="R5" i="1"/>
  <c r="R4" i="1" s="1"/>
  <c r="AP5" i="1"/>
  <c r="AP4" i="1" s="1"/>
  <c r="D6" i="1"/>
  <c r="C5" i="1"/>
  <c r="K5" i="1"/>
  <c r="K4" i="1" s="1"/>
  <c r="S5" i="1"/>
  <c r="S4" i="1" s="1"/>
  <c r="AI5" i="1"/>
  <c r="AI4" i="1" s="1"/>
  <c r="AQ5" i="1"/>
  <c r="AQ4" i="1" s="1"/>
  <c r="E6" i="1"/>
  <c r="O5" i="1"/>
  <c r="O4" i="1" s="1"/>
  <c r="E1" i="1"/>
  <c r="D5" i="1"/>
  <c r="L5" i="1"/>
  <c r="L4" i="1" s="1"/>
  <c r="T5" i="1"/>
  <c r="T4" i="1" s="1"/>
  <c r="AJ5" i="1"/>
  <c r="AJ4" i="1" s="1"/>
  <c r="AR5" i="1"/>
  <c r="AR4" i="1" s="1"/>
  <c r="F6" i="1"/>
  <c r="AS5" i="1"/>
  <c r="AS4" i="1" s="1"/>
  <c r="G6" i="1"/>
  <c r="M5" i="1"/>
  <c r="M4" i="1" s="1"/>
  <c r="U5" i="1"/>
  <c r="U4" i="1" s="1"/>
  <c r="AK5" i="1"/>
  <c r="AK4" i="1" s="1"/>
  <c r="N5" i="1"/>
  <c r="N4" i="1" s="1"/>
  <c r="V5" i="1"/>
  <c r="V4" i="1" s="1"/>
  <c r="AL5" i="1"/>
  <c r="AL4" i="1" s="1"/>
  <c r="AT5" i="1"/>
  <c r="AT4" i="1" s="1"/>
  <c r="H6" i="1"/>
  <c r="I6" i="1"/>
  <c r="B6" i="1"/>
  <c r="B4" i="1" l="1"/>
  <c r="I4" i="1"/>
  <c r="D4" i="1"/>
  <c r="C4" i="1"/>
  <c r="AD5" i="1"/>
  <c r="AD4" i="1" s="1"/>
  <c r="F5" i="1"/>
  <c r="F4" i="1" s="1"/>
  <c r="AC5" i="1"/>
  <c r="AC4" i="1" s="1"/>
  <c r="E5" i="1"/>
  <c r="E4" i="1" s="1"/>
  <c r="AB5" i="1"/>
  <c r="AB4" i="1" s="1"/>
  <c r="AA5" i="1"/>
  <c r="AA4" i="1" s="1"/>
  <c r="AH5" i="1"/>
  <c r="AH4" i="1" s="1"/>
  <c r="Z5" i="1"/>
  <c r="Z4" i="1" s="1"/>
  <c r="AE5" i="1"/>
  <c r="AE4" i="1" s="1"/>
  <c r="AG5" i="1"/>
  <c r="AG4" i="1" s="1"/>
  <c r="Y5" i="1"/>
  <c r="Y4" i="1" s="1"/>
  <c r="AF5" i="1"/>
  <c r="AF4" i="1" s="1"/>
  <c r="X5" i="1"/>
  <c r="X4" i="1" s="1"/>
  <c r="W5" i="1"/>
  <c r="W4" i="1" s="1"/>
  <c r="G5" i="1"/>
  <c r="G4" i="1" s="1"/>
  <c r="H4" i="1"/>
  <c r="L18" i="3" l="1"/>
  <c r="M18" i="3" s="1"/>
  <c r="N18" i="3" s="1"/>
  <c r="O18" i="3" s="1"/>
  <c r="L28" i="3"/>
  <c r="M28" i="3" s="1"/>
  <c r="N28" i="3" s="1"/>
  <c r="O28" i="3" s="1"/>
  <c r="L16" i="3"/>
  <c r="M16" i="3" s="1"/>
  <c r="N16" i="3" s="1"/>
  <c r="O16" i="3" s="1"/>
  <c r="L15" i="3"/>
  <c r="M15" i="3" s="1"/>
  <c r="N15" i="3" s="1"/>
  <c r="O15" i="3" s="1"/>
  <c r="L27" i="3"/>
  <c r="M27" i="3" s="1"/>
  <c r="N27" i="3" s="1"/>
  <c r="O27" i="3" s="1"/>
  <c r="L21" i="3"/>
  <c r="M21" i="3" s="1"/>
  <c r="N21" i="3" s="1"/>
  <c r="L22" i="3"/>
  <c r="M22" i="3" s="1"/>
  <c r="N22" i="3" s="1"/>
  <c r="L26" i="3"/>
  <c r="M26" i="3" s="1"/>
  <c r="N26" i="3" s="1"/>
  <c r="O26" i="3" s="1"/>
  <c r="L17" i="3"/>
  <c r="M17" i="3" s="1"/>
  <c r="N17" i="3" s="1"/>
  <c r="O17" i="3" s="1"/>
  <c r="U17" i="3" s="1"/>
  <c r="Q22" i="4" s="1"/>
  <c r="L14" i="3"/>
  <c r="M14" i="3" s="1"/>
  <c r="N14" i="3" s="1"/>
  <c r="L19" i="3"/>
  <c r="M19" i="3" s="1"/>
  <c r="N19" i="3" s="1"/>
  <c r="L24" i="3"/>
  <c r="M24" i="3" s="1"/>
  <c r="N24" i="3" s="1"/>
  <c r="L20" i="3"/>
  <c r="M20" i="3" s="1"/>
  <c r="N20" i="3" s="1"/>
  <c r="L23" i="3"/>
  <c r="M23" i="3" s="1"/>
  <c r="N23" i="3" s="1"/>
  <c r="O23" i="3" s="1"/>
  <c r="U23" i="3" s="1"/>
  <c r="Q28" i="4" s="1"/>
  <c r="L25" i="3"/>
  <c r="M25" i="3" s="1"/>
  <c r="N25" i="3" s="1"/>
  <c r="M29" i="3" l="1"/>
  <c r="M34" i="3" s="1"/>
  <c r="L29" i="3"/>
  <c r="M36" i="3" s="1"/>
  <c r="O14" i="3"/>
  <c r="U14" i="3" s="1"/>
  <c r="Q19" i="4" s="1"/>
  <c r="N29" i="3"/>
  <c r="M38" i="3" s="1"/>
  <c r="P23" i="3"/>
  <c r="V23" i="3" s="1"/>
  <c r="R28" i="4" s="1"/>
  <c r="U15" i="3"/>
  <c r="Q20" i="4" s="1"/>
  <c r="P15" i="3"/>
  <c r="P17" i="3"/>
  <c r="U16" i="3"/>
  <c r="Q21" i="4" s="1"/>
  <c r="P16" i="3"/>
  <c r="P28" i="3"/>
  <c r="U28" i="3"/>
  <c r="Q33" i="4" s="1"/>
  <c r="P27" i="3"/>
  <c r="U27" i="3"/>
  <c r="Q32" i="4" s="1"/>
  <c r="P26" i="3"/>
  <c r="U26" i="3"/>
  <c r="Q31" i="4" s="1"/>
  <c r="O21" i="3"/>
  <c r="O19" i="3"/>
  <c r="O20" i="3"/>
  <c r="O22" i="3"/>
  <c r="O25" i="3"/>
  <c r="O32" i="3" s="1"/>
  <c r="P32" i="3" s="1"/>
  <c r="U18" i="3"/>
  <c r="Q23" i="4" s="1"/>
  <c r="P18" i="3"/>
  <c r="O24" i="3"/>
  <c r="P14" i="3" l="1"/>
  <c r="V14" i="3" s="1"/>
  <c r="R19" i="4" s="1"/>
  <c r="O29" i="3"/>
  <c r="Q23" i="3"/>
  <c r="V15" i="3"/>
  <c r="R20" i="4" s="1"/>
  <c r="Q15" i="3"/>
  <c r="Q16" i="3"/>
  <c r="V16" i="3"/>
  <c r="R21" i="4" s="1"/>
  <c r="V17" i="3"/>
  <c r="R22" i="4" s="1"/>
  <c r="Q17" i="3"/>
  <c r="Q27" i="3"/>
  <c r="V27" i="3"/>
  <c r="R32" i="4" s="1"/>
  <c r="Q28" i="3"/>
  <c r="V28" i="3"/>
  <c r="R33" i="4" s="1"/>
  <c r="Q18" i="3"/>
  <c r="V18" i="3"/>
  <c r="R23" i="4" s="1"/>
  <c r="U22" i="3"/>
  <c r="Q27" i="4" s="1"/>
  <c r="P22" i="3"/>
  <c r="U20" i="3"/>
  <c r="Q25" i="4" s="1"/>
  <c r="P20" i="3"/>
  <c r="U25" i="3"/>
  <c r="Q30" i="4" s="1"/>
  <c r="P25" i="3"/>
  <c r="P24" i="3"/>
  <c r="U24" i="3"/>
  <c r="Q29" i="4" s="1"/>
  <c r="Q26" i="3"/>
  <c r="V26" i="3"/>
  <c r="R31" i="4" s="1"/>
  <c r="U19" i="3"/>
  <c r="Q24" i="4" s="1"/>
  <c r="P19" i="3"/>
  <c r="U21" i="3"/>
  <c r="Q26" i="4" s="1"/>
  <c r="P21" i="3"/>
  <c r="Q14" i="3"/>
  <c r="P29" i="3" l="1"/>
  <c r="Q29" i="3" s="1"/>
  <c r="R23" i="3"/>
  <c r="W23" i="3"/>
  <c r="W17" i="3"/>
  <c r="R17" i="3"/>
  <c r="R16" i="3"/>
  <c r="W16" i="3"/>
  <c r="R15" i="3"/>
  <c r="W15" i="3"/>
  <c r="R28" i="3"/>
  <c r="W28" i="3"/>
  <c r="S33" i="4" s="1"/>
  <c r="R27" i="3"/>
  <c r="W27" i="3"/>
  <c r="S32" i="4" s="1"/>
  <c r="R26" i="3"/>
  <c r="W26" i="3"/>
  <c r="Q22" i="3"/>
  <c r="V22" i="3"/>
  <c r="R27" i="4" s="1"/>
  <c r="Q24" i="3"/>
  <c r="V24" i="3"/>
  <c r="R29" i="4" s="1"/>
  <c r="R18" i="3"/>
  <c r="X18" i="3" s="1"/>
  <c r="T23" i="4" s="1"/>
  <c r="W18" i="3"/>
  <c r="Q25" i="3"/>
  <c r="V25" i="3"/>
  <c r="R30" i="4" s="1"/>
  <c r="Q19" i="3"/>
  <c r="V19" i="3"/>
  <c r="R24" i="4" s="1"/>
  <c r="R14" i="3"/>
  <c r="W14" i="3"/>
  <c r="Q21" i="3"/>
  <c r="V21" i="3"/>
  <c r="R26" i="4" s="1"/>
  <c r="Q20" i="3"/>
  <c r="V20" i="3"/>
  <c r="R25" i="4" s="1"/>
  <c r="X14" i="3" l="1"/>
  <c r="T19" i="4" s="1"/>
  <c r="R38" i="3"/>
  <c r="S27" i="3"/>
  <c r="X27" i="3"/>
  <c r="T32" i="4" s="1"/>
  <c r="S28" i="3"/>
  <c r="X28" i="3"/>
  <c r="T33" i="4" s="1"/>
  <c r="AC23" i="3"/>
  <c r="S28" i="4"/>
  <c r="X23" i="3"/>
  <c r="T28" i="4" s="1"/>
  <c r="S23" i="3"/>
  <c r="AC15" i="3"/>
  <c r="S20" i="4"/>
  <c r="AC26" i="3"/>
  <c r="S31" i="4"/>
  <c r="X15" i="3"/>
  <c r="T20" i="4" s="1"/>
  <c r="S15" i="3"/>
  <c r="AC18" i="3"/>
  <c r="S23" i="4"/>
  <c r="S26" i="3"/>
  <c r="X26" i="3"/>
  <c r="T31" i="4" s="1"/>
  <c r="AC16" i="3"/>
  <c r="S21" i="4"/>
  <c r="X16" i="3"/>
  <c r="T21" i="4" s="1"/>
  <c r="S16" i="3"/>
  <c r="AC14" i="3"/>
  <c r="S19" i="4"/>
  <c r="X17" i="3"/>
  <c r="T22" i="4" s="1"/>
  <c r="S17" i="3"/>
  <c r="AC17" i="3"/>
  <c r="S22" i="4"/>
  <c r="AC27" i="3"/>
  <c r="AC28" i="3"/>
  <c r="R25" i="3"/>
  <c r="X25" i="3" s="1"/>
  <c r="T30" i="4" s="1"/>
  <c r="W25" i="3"/>
  <c r="R20" i="3"/>
  <c r="X20" i="3" s="1"/>
  <c r="T25" i="4" s="1"/>
  <c r="W20" i="3"/>
  <c r="S14" i="3"/>
  <c r="S18" i="3"/>
  <c r="Y18" i="3" s="1"/>
  <c r="U23" i="4" s="1"/>
  <c r="R22" i="3"/>
  <c r="X22" i="3" s="1"/>
  <c r="T27" i="4" s="1"/>
  <c r="W22" i="3"/>
  <c r="R21" i="3"/>
  <c r="X21" i="3" s="1"/>
  <c r="T26" i="4" s="1"/>
  <c r="W21" i="3"/>
  <c r="R19" i="3"/>
  <c r="X19" i="3" s="1"/>
  <c r="T24" i="4" s="1"/>
  <c r="W19" i="3"/>
  <c r="R24" i="3"/>
  <c r="X24" i="3" s="1"/>
  <c r="T29" i="4" s="1"/>
  <c r="W24" i="3"/>
  <c r="Y14" i="3" l="1"/>
  <c r="U19" i="4" s="1"/>
  <c r="R29" i="3"/>
  <c r="N36" i="3" s="1"/>
  <c r="Y23" i="3"/>
  <c r="U28" i="4" s="1"/>
  <c r="T23" i="3"/>
  <c r="Z23" i="3" s="1"/>
  <c r="V28" i="4" s="1"/>
  <c r="T28" i="3"/>
  <c r="Z28" i="3" s="1"/>
  <c r="V33" i="4" s="1"/>
  <c r="Y28" i="3"/>
  <c r="U33" i="4" s="1"/>
  <c r="T27" i="3"/>
  <c r="Z27" i="3" s="1"/>
  <c r="V32" i="4" s="1"/>
  <c r="Y27" i="3"/>
  <c r="U32" i="4" s="1"/>
  <c r="AC19" i="3"/>
  <c r="S24" i="4"/>
  <c r="AC20" i="3"/>
  <c r="S25" i="4"/>
  <c r="Y16" i="3"/>
  <c r="U21" i="4" s="1"/>
  <c r="T16" i="3"/>
  <c r="Z16" i="3" s="1"/>
  <c r="V21" i="4" s="1"/>
  <c r="Y15" i="3"/>
  <c r="U20" i="4" s="1"/>
  <c r="T15" i="3"/>
  <c r="Z15" i="3" s="1"/>
  <c r="V20" i="4" s="1"/>
  <c r="AC22" i="3"/>
  <c r="S27" i="4"/>
  <c r="AC24" i="3"/>
  <c r="S29" i="4"/>
  <c r="Y17" i="3"/>
  <c r="U22" i="4" s="1"/>
  <c r="T17" i="3"/>
  <c r="Z17" i="3" s="1"/>
  <c r="V22" i="4" s="1"/>
  <c r="AC21" i="3"/>
  <c r="S26" i="4"/>
  <c r="AC25" i="3"/>
  <c r="S30" i="4"/>
  <c r="T26" i="3"/>
  <c r="Z26" i="3" s="1"/>
  <c r="V31" i="4" s="1"/>
  <c r="Y26" i="3"/>
  <c r="U31" i="4" s="1"/>
  <c r="S24" i="3"/>
  <c r="Y24" i="3" s="1"/>
  <c r="U29" i="4" s="1"/>
  <c r="T18" i="3"/>
  <c r="Z18" i="3" s="1"/>
  <c r="V23" i="4" s="1"/>
  <c r="T14" i="3"/>
  <c r="S20" i="3"/>
  <c r="Y20" i="3" s="1"/>
  <c r="U25" i="4" s="1"/>
  <c r="S19" i="3"/>
  <c r="Y19" i="3" s="1"/>
  <c r="U24" i="4" s="1"/>
  <c r="S21" i="3"/>
  <c r="Y21" i="3" s="1"/>
  <c r="U26" i="4" s="1"/>
  <c r="S22" i="3"/>
  <c r="Y22" i="3" s="1"/>
  <c r="U27" i="4" s="1"/>
  <c r="S25" i="3"/>
  <c r="Y25" i="3" s="1"/>
  <c r="U30" i="4" s="1"/>
  <c r="O36" i="3" l="1"/>
  <c r="Q36" i="3" s="1"/>
  <c r="S29" i="3"/>
  <c r="Z14" i="3"/>
  <c r="V19" i="4" s="1"/>
  <c r="AE17" i="3"/>
  <c r="AG17" i="3" s="1"/>
  <c r="AE24" i="3"/>
  <c r="AE14" i="3"/>
  <c r="AF14" i="3" s="1"/>
  <c r="AI14" i="3" s="1"/>
  <c r="AF26" i="3"/>
  <c r="AF27" i="3"/>
  <c r="AE15" i="3"/>
  <c r="AF15" i="3" s="1"/>
  <c r="AI15" i="3" s="1"/>
  <c r="AE27" i="3"/>
  <c r="AE16" i="3"/>
  <c r="AF16" i="3" s="1"/>
  <c r="AE28" i="3"/>
  <c r="AE26" i="3"/>
  <c r="AF28" i="3"/>
  <c r="AE18" i="3"/>
  <c r="AF18" i="3" s="1"/>
  <c r="AF24" i="3"/>
  <c r="AE25" i="3"/>
  <c r="AF25" i="3"/>
  <c r="T24" i="3"/>
  <c r="Z24" i="3" s="1"/>
  <c r="V29" i="4" s="1"/>
  <c r="T20" i="3"/>
  <c r="Z20" i="3" s="1"/>
  <c r="V25" i="4" s="1"/>
  <c r="T22" i="3"/>
  <c r="Z22" i="3" s="1"/>
  <c r="V27" i="4" s="1"/>
  <c r="T19" i="3"/>
  <c r="Z19" i="3" s="1"/>
  <c r="V24" i="4" s="1"/>
  <c r="T25" i="3"/>
  <c r="Z25" i="3" s="1"/>
  <c r="V30" i="4" s="1"/>
  <c r="T21" i="3"/>
  <c r="Z21" i="3" s="1"/>
  <c r="V26" i="4" s="1"/>
  <c r="T29" i="3" l="1"/>
  <c r="N38" i="3" s="1"/>
  <c r="N34" i="3"/>
  <c r="S38" i="3"/>
  <c r="AF17" i="3"/>
  <c r="AH17" i="3" s="1"/>
  <c r="AG18" i="3"/>
  <c r="AH18" i="3" s="1"/>
  <c r="AG16" i="3"/>
  <c r="AH16" i="3" s="1"/>
  <c r="AI16" i="3"/>
  <c r="AI18" i="3"/>
  <c r="AG14" i="3"/>
  <c r="AH14" i="3" s="1"/>
  <c r="AG15" i="3"/>
  <c r="AH15" i="3" s="1"/>
  <c r="O34" i="3" l="1"/>
  <c r="Q34" i="3" s="1"/>
  <c r="O38" i="3"/>
  <c r="Q38" i="3" s="1"/>
  <c r="AI17" i="3"/>
</calcChain>
</file>

<file path=xl/sharedStrings.xml><?xml version="1.0" encoding="utf-8"?>
<sst xmlns="http://schemas.openxmlformats.org/spreadsheetml/2006/main" count="341" uniqueCount="100">
  <si>
    <t>Current Year -&gt;</t>
  </si>
  <si>
    <t>Previous Year -&gt;</t>
  </si>
  <si>
    <t>SM_1234</t>
  </si>
  <si>
    <t>&lt;- Password to unlock sheet</t>
  </si>
  <si>
    <t>Actual</t>
  </si>
  <si>
    <t>Actual PY</t>
  </si>
  <si>
    <t>Budget</t>
  </si>
  <si>
    <t>Helper Cell Row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</si>
  <si>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</si>
  <si>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</si>
  <si>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</si>
  <si>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</si>
  <si>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</si>
  <si>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</si>
  <si>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</si>
  <si>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</si>
  <si>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</si>
  <si>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</si>
  <si>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</si>
  <si>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</si>
  <si>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</si>
  <si>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</si>
  <si>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</si>
  <si>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</si>
  <si>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</si>
  <si>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</si>
  <si>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</si>
  <si>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</si>
  <si>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</si>
  <si>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</si>
  <si>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</si>
  <si>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</si>
  <si>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</si>
  <si>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</si>
  <si>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</si>
  <si>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</si>
  <si>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</si>
  <si>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</si>
  <si>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</si>
  <si>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</si>
  <si>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</si>
  <si>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</si>
  <si>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</si>
  <si>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</si>
  <si>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</si>
  <si>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</si>
  <si>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</si>
  <si>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</si>
  <si>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</si>
  <si>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</si>
  <si>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</si>
  <si>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</si>
  <si>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</si>
  <si>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</si>
  <si>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</si>
  <si>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</si>
  <si>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</si>
  <si>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</si>
  <si>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</si>
  <si>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</si>
  <si>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</si>
  <si>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</si>
  <si>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</si>
  <si>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</si>
  <si>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</si>
  <si>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</si>
  <si>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Selected Form Control (Values)</t>
  </si>
  <si>
    <t>Active Division</t>
  </si>
  <si>
    <t>Scroll Position (Line)</t>
  </si>
  <si>
    <t xml:space="preserve">List Position (KPI) </t>
  </si>
  <si>
    <t>Top / Bottom Selection</t>
  </si>
  <si>
    <t>Scroll Position (Table)</t>
  </si>
  <si>
    <t>Checkbox (PY - Line)</t>
  </si>
  <si>
    <t>Checkbox (Budget - Line)</t>
  </si>
  <si>
    <t>For Drop-down selections</t>
  </si>
  <si>
    <t>App List</t>
  </si>
  <si>
    <t xml:space="preserve">Sr.No </t>
  </si>
  <si>
    <t>Product name</t>
  </si>
  <si>
    <t>Current year - actual</t>
  </si>
  <si>
    <t>Py Actual</t>
  </si>
  <si>
    <t>Current year budget</t>
  </si>
  <si>
    <t>TOTALS</t>
  </si>
  <si>
    <t>Current year vs budget</t>
  </si>
  <si>
    <t>Change in value actual vs PY acutal</t>
  </si>
  <si>
    <t>Top and bottom 5</t>
  </si>
  <si>
    <t>for large</t>
  </si>
  <si>
    <t>for small</t>
  </si>
  <si>
    <t>helper</t>
  </si>
  <si>
    <t xml:space="preserve">Month </t>
  </si>
  <si>
    <t xml:space="preserve">Acual </t>
  </si>
  <si>
    <t xml:space="preserve">Actual </t>
  </si>
  <si>
    <t xml:space="preserve">Current year vs PY </t>
  </si>
  <si>
    <t xml:space="preserve">Year </t>
  </si>
  <si>
    <t>Month</t>
  </si>
  <si>
    <t>Division</t>
  </si>
  <si>
    <t>PY Profit</t>
  </si>
  <si>
    <t xml:space="preserve">Profit </t>
  </si>
  <si>
    <t xml:space="preserve">Revenue </t>
  </si>
  <si>
    <t>diff</t>
  </si>
  <si>
    <t>titale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</si>
</sst>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0" borderId="0" xfId="0" applyAlignment="1">
      <alignment horizontal="centerContinuous"/>
    </xf>
    <xf numFmtId="0" fontId="5" fillId="0" borderId="0" xfId="0" applyFont="1"/>
    <xf numFmtId="0" fontId="2" fillId="3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2" fillId="4" borderId="0" xfId="0" applyFont="1" applyFill="1"/>
    <xf numFmtId="0" fontId="4" fillId="4" borderId="0" xfId="0" applyFont="1" applyFill="1"/>
    <xf numFmtId="0" fontId="4" fillId="4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2" fillId="4" borderId="2" xfId="0" applyFont="1" applyFill="1" applyBorder="1"/>
    <xf numFmtId="0" fontId="4" fillId="5" borderId="0" xfId="0" applyFont="1" applyFill="1"/>
    <xf numFmtId="0" fontId="0" fillId="0" borderId="2" xfId="0" applyBorder="1"/>
    <xf numFmtId="0" fontId="0" fillId="6" borderId="0" xfId="0" applyFill="1"/>
    <xf numFmtId="0" fontId="0" fillId="6" borderId="3" xfId="0" applyFill="1" applyBorder="1"/>
    <xf numFmtId="0" fontId="0" fillId="6" borderId="2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4" fillId="7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0" xfId="1" applyFont="1"/>
    <xf numFmtId="9" fontId="0" fillId="0" borderId="11" xfId="1" applyFont="1" applyBorder="1"/>
    <xf numFmtId="9" fontId="0" fillId="0" borderId="15" xfId="1" applyFont="1" applyBorder="1"/>
    <xf numFmtId="9" fontId="0" fillId="0" borderId="12" xfId="1" applyFont="1" applyBorder="1"/>
    <xf numFmtId="9" fontId="0" fillId="0" borderId="3" xfId="1" applyFont="1" applyBorder="1"/>
    <xf numFmtId="9" fontId="0" fillId="0" borderId="0" xfId="1" applyFont="1" applyBorder="1"/>
    <xf numFmtId="9" fontId="0" fillId="0" borderId="2" xfId="1" applyFont="1" applyBorder="1"/>
    <xf numFmtId="0" fontId="0" fillId="0" borderId="7" xfId="0" applyBorder="1"/>
    <xf numFmtId="0" fontId="0" fillId="0" borderId="13" xfId="0" applyBorder="1"/>
    <xf numFmtId="9" fontId="0" fillId="0" borderId="16" xfId="1" applyFont="1" applyBorder="1"/>
    <xf numFmtId="0" fontId="0" fillId="0" borderId="18" xfId="0" applyBorder="1"/>
    <xf numFmtId="9" fontId="0" fillId="0" borderId="18" xfId="0" applyNumberFormat="1" applyBorder="1"/>
    <xf numFmtId="0" fontId="0" fillId="0" borderId="8" xfId="0" applyBorder="1"/>
    <xf numFmtId="9" fontId="4" fillId="7" borderId="0" xfId="1" applyFont="1" applyFill="1" applyBorder="1" applyAlignment="1">
      <alignment horizontal="center" vertical="center"/>
    </xf>
    <xf numFmtId="0" fontId="0" fillId="8" borderId="0" xfId="0" applyFill="1"/>
    <xf numFmtId="9" fontId="0" fillId="0" borderId="8" xfId="1" applyFont="1" applyBorder="1"/>
    <xf numFmtId="9" fontId="0" fillId="0" borderId="7" xfId="1" applyFont="1" applyBorder="1"/>
    <xf numFmtId="9" fontId="0" fillId="0" borderId="13" xfId="1" applyFont="1" applyBorder="1"/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vertical="center"/>
    </xf>
    <xf numFmtId="40" fontId="0" fillId="0" borderId="0" xfId="0" applyNumberFormat="1"/>
    <xf numFmtId="0" fontId="0" fillId="5" borderId="11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2" xfId="0" applyFill="1" applyBorder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/>
    <xf numFmtId="0" fontId="0" fillId="5" borderId="7" xfId="0" applyFill="1" applyBorder="1"/>
    <xf numFmtId="0" fontId="0" fillId="5" borderId="13" xfId="0" applyFill="1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15" xfId="1" applyFont="1" applyFill="1" applyBorder="1" applyAlignment="1">
      <alignment horizontal="center" vertical="center"/>
    </xf>
    <xf numFmtId="9" fontId="0" fillId="0" borderId="12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2" xfId="1" applyFont="1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9" fontId="0" fillId="0" borderId="13" xfId="1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10" fillId="5" borderId="0" xfId="0" applyFont="1" applyFill="1"/>
    <xf numFmtId="0" fontId="10" fillId="5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support!$AE$14:$AE$18</c:f>
              <c:strCache>
                <c:ptCount val="5"/>
                <c:pt idx="0">
                  <c:v>Didactic</c:v>
                </c:pt>
                <c:pt idx="1">
                  <c:v>Dasring</c:v>
                </c:pt>
                <c:pt idx="2">
                  <c:v>Inkly</c:v>
                </c:pt>
                <c:pt idx="3">
                  <c:v>WenCaL</c:v>
                </c:pt>
                <c:pt idx="4">
                  <c:v>Voltage</c:v>
                </c:pt>
              </c:strCache>
            </c:strRef>
          </c:cat>
          <c:val>
            <c:numRef>
              <c:f>support!$AF$14:$AF$18</c:f>
              <c:numCache>
                <c:formatCode>General</c:formatCode>
                <c:ptCount val="5"/>
                <c:pt idx="0">
                  <c:v>1389</c:v>
                </c:pt>
                <c:pt idx="1">
                  <c:v>4396</c:v>
                </c:pt>
                <c:pt idx="2">
                  <c:v>8008</c:v>
                </c:pt>
                <c:pt idx="3">
                  <c:v>11099</c:v>
                </c:pt>
                <c:pt idx="4">
                  <c:v>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A-45DB-992D-01BFFF248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622015"/>
        <c:axId val="645453551"/>
      </c:barChart>
      <c:lineChart>
        <c:grouping val="standard"/>
        <c:varyColors val="0"/>
        <c:ser>
          <c:idx val="1"/>
          <c:order val="1"/>
          <c:tx>
            <c:v>budget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CEAF0A0-A9D5-480A-A65F-C60125028C3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3D0-4C98-AF64-04358A5913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4C73A9-CCC0-4804-91CA-6FB7F04F6C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D0-4C98-AF64-04358A5913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778F31-F00A-472F-89EB-F4B479C60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D0-4C98-AF64-04358A5913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C4CBA76-2C63-4142-9646-6023D0122F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3D0-4C98-AF64-04358A5913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D9956A-4F04-482B-9EF0-EAAC341946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3D0-4C98-AF64-04358A5913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778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errBars>
          <c:val>
            <c:numRef>
              <c:f>support!$AH$14:$AH$18</c:f>
              <c:numCache>
                <c:formatCode>General</c:formatCode>
                <c:ptCount val="5"/>
                <c:pt idx="0">
                  <c:v>2226</c:v>
                </c:pt>
                <c:pt idx="1">
                  <c:v>4779</c:v>
                </c:pt>
                <c:pt idx="2">
                  <c:v>8424</c:v>
                </c:pt>
                <c:pt idx="3">
                  <c:v>11468</c:v>
                </c:pt>
                <c:pt idx="4">
                  <c:v>5828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support!$AI$14:$AI$18</c15:f>
                <c15:dlblRangeCache>
                  <c:ptCount val="5"/>
                  <c:pt idx="0">
                    <c:v>1389 | -19%</c:v>
                  </c:pt>
                  <c:pt idx="1">
                    <c:v>4396 | -12%</c:v>
                  </c:pt>
                  <c:pt idx="2">
                    <c:v>8008 | -11%</c:v>
                  </c:pt>
                  <c:pt idx="3">
                    <c:v>11099 | -8%</c:v>
                  </c:pt>
                  <c:pt idx="4">
                    <c:v>5828 | -6%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47A-45DB-992D-01BFFF248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22015"/>
        <c:axId val="645453551"/>
      </c:lineChart>
      <c:catAx>
        <c:axId val="65762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53551"/>
        <c:crosses val="autoZero"/>
        <c:auto val="1"/>
        <c:lblAlgn val="ctr"/>
        <c:lblOffset val="100"/>
        <c:noMultiLvlLbl val="0"/>
      </c:catAx>
      <c:valAx>
        <c:axId val="645453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vs PY vs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support!$AQ$14</c:f>
              <c:strCache>
                <c:ptCount val="1"/>
                <c:pt idx="0">
                  <c:v>Acual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support!$AP$15:$AP$26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support!$AQ$15:$AQ$26</c:f>
              <c:numCache>
                <c:formatCode>General</c:formatCode>
                <c:ptCount val="12"/>
                <c:pt idx="0">
                  <c:v>23</c:v>
                </c:pt>
                <c:pt idx="1">
                  <c:v>66</c:v>
                </c:pt>
                <c:pt idx="2">
                  <c:v>171</c:v>
                </c:pt>
                <c:pt idx="3">
                  <c:v>200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8-464A-8FDA-4A230CCD6D9B}"/>
            </c:ext>
          </c:extLst>
        </c:ser>
        <c:ser>
          <c:idx val="1"/>
          <c:order val="1"/>
          <c:tx>
            <c:strRef>
              <c:f>support!$AR$14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support!$AP$15:$AP$26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support!$AR$15:$AR$26</c:f>
              <c:numCache>
                <c:formatCode>General</c:formatCode>
                <c:ptCount val="12"/>
                <c:pt idx="0">
                  <c:v>22</c:v>
                </c:pt>
                <c:pt idx="1">
                  <c:v>32</c:v>
                </c:pt>
                <c:pt idx="2">
                  <c:v>44</c:v>
                </c:pt>
                <c:pt idx="3">
                  <c:v>54</c:v>
                </c:pt>
                <c:pt idx="4">
                  <c:v>68</c:v>
                </c:pt>
                <c:pt idx="5">
                  <c:v>76</c:v>
                </c:pt>
                <c:pt idx="6">
                  <c:v>89</c:v>
                </c:pt>
                <c:pt idx="7">
                  <c:v>110</c:v>
                </c:pt>
                <c:pt idx="8">
                  <c:v>113</c:v>
                </c:pt>
                <c:pt idx="9">
                  <c:v>191</c:v>
                </c:pt>
                <c:pt idx="10">
                  <c:v>276</c:v>
                </c:pt>
                <c:pt idx="11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78-464A-8FDA-4A230CCD6D9B}"/>
            </c:ext>
          </c:extLst>
        </c:ser>
        <c:ser>
          <c:idx val="2"/>
          <c:order val="2"/>
          <c:tx>
            <c:strRef>
              <c:f>support!$AS$14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support!$AP$15:$AP$26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support!$AS$15:$AS$26</c:f>
              <c:numCache>
                <c:formatCode>General</c:formatCode>
                <c:ptCount val="12"/>
                <c:pt idx="0">
                  <c:v>49</c:v>
                </c:pt>
                <c:pt idx="1">
                  <c:v>92</c:v>
                </c:pt>
                <c:pt idx="2">
                  <c:v>163</c:v>
                </c:pt>
                <c:pt idx="3">
                  <c:v>228</c:v>
                </c:pt>
                <c:pt idx="4">
                  <c:v>299</c:v>
                </c:pt>
                <c:pt idx="5">
                  <c:v>363</c:v>
                </c:pt>
                <c:pt idx="6">
                  <c:v>423</c:v>
                </c:pt>
                <c:pt idx="7">
                  <c:v>483</c:v>
                </c:pt>
                <c:pt idx="8">
                  <c:v>535</c:v>
                </c:pt>
                <c:pt idx="9">
                  <c:v>607</c:v>
                </c:pt>
                <c:pt idx="10">
                  <c:v>671</c:v>
                </c:pt>
                <c:pt idx="11">
                  <c:v>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78-464A-8FDA-4A230CCD6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889311"/>
        <c:axId val="1923930479"/>
      </c:lineChart>
      <c:catAx>
        <c:axId val="1923889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930479"/>
        <c:crosses val="autoZero"/>
        <c:auto val="1"/>
        <c:lblAlgn val="ctr"/>
        <c:lblOffset val="100"/>
        <c:noMultiLvlLbl val="0"/>
      </c:catAx>
      <c:valAx>
        <c:axId val="19239304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2388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</a:t>
            </a:r>
            <a:r>
              <a:rPr lang="en-IN" baseline="0"/>
              <a:t> Vs Actual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support!$AE$14:$AE$18</c:f>
              <c:strCache>
                <c:ptCount val="5"/>
                <c:pt idx="0">
                  <c:v>Didactic</c:v>
                </c:pt>
                <c:pt idx="1">
                  <c:v>Dasring</c:v>
                </c:pt>
                <c:pt idx="2">
                  <c:v>Inkly</c:v>
                </c:pt>
                <c:pt idx="3">
                  <c:v>WenCaL</c:v>
                </c:pt>
                <c:pt idx="4">
                  <c:v>Voltage</c:v>
                </c:pt>
              </c:strCache>
            </c:strRef>
          </c:cat>
          <c:val>
            <c:numRef>
              <c:f>support!$AF$14:$AF$18</c:f>
              <c:numCache>
                <c:formatCode>General</c:formatCode>
                <c:ptCount val="5"/>
                <c:pt idx="0">
                  <c:v>1389</c:v>
                </c:pt>
                <c:pt idx="1">
                  <c:v>4396</c:v>
                </c:pt>
                <c:pt idx="2">
                  <c:v>8008</c:v>
                </c:pt>
                <c:pt idx="3">
                  <c:v>11099</c:v>
                </c:pt>
                <c:pt idx="4">
                  <c:v>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D-4623-A52F-480DCD16D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622015"/>
        <c:axId val="645453551"/>
      </c:barChart>
      <c:lineChart>
        <c:grouping val="standard"/>
        <c:varyColors val="0"/>
        <c:ser>
          <c:idx val="1"/>
          <c:order val="1"/>
          <c:tx>
            <c:v>budget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1392471-304C-403F-9AD9-2CB31CF9645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58D-4623-A52F-480DCD16DB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2457BF-22AE-426B-A15A-B73833C2C9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58D-4623-A52F-480DCD16DB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30781C-0AFA-41A2-8AF7-38265C34D3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58D-4623-A52F-480DCD16DBC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D3A078-4F98-40BA-97C1-A4D9875230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8D-4623-A52F-480DCD16DBC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97020C0-610B-46F7-93EB-7475F75462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8D-4623-A52F-480DCD16DB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77800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errBars>
          <c:val>
            <c:numRef>
              <c:f>support!$AH$14:$AH$18</c:f>
              <c:numCache>
                <c:formatCode>General</c:formatCode>
                <c:ptCount val="5"/>
                <c:pt idx="0">
                  <c:v>2226</c:v>
                </c:pt>
                <c:pt idx="1">
                  <c:v>4779</c:v>
                </c:pt>
                <c:pt idx="2">
                  <c:v>8424</c:v>
                </c:pt>
                <c:pt idx="3">
                  <c:v>11468</c:v>
                </c:pt>
                <c:pt idx="4">
                  <c:v>5828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support!$AI$14:$AI$18</c15:f>
                <c15:dlblRangeCache>
                  <c:ptCount val="5"/>
                  <c:pt idx="0">
                    <c:v>1389 | -19%</c:v>
                  </c:pt>
                  <c:pt idx="1">
                    <c:v>4396 | -12%</c:v>
                  </c:pt>
                  <c:pt idx="2">
                    <c:v>8008 | -11%</c:v>
                  </c:pt>
                  <c:pt idx="3">
                    <c:v>11099 | -8%</c:v>
                  </c:pt>
                  <c:pt idx="4">
                    <c:v>5828 | -6%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858D-4623-A52F-480DCD16D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22015"/>
        <c:axId val="645453551"/>
      </c:lineChart>
      <c:catAx>
        <c:axId val="65762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53551"/>
        <c:crosses val="autoZero"/>
        <c:auto val="1"/>
        <c:lblAlgn val="ctr"/>
        <c:lblOffset val="100"/>
        <c:noMultiLvlLbl val="0"/>
      </c:catAx>
      <c:valAx>
        <c:axId val="645453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762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support!$D$4" fmlaRange="support!$C$13:$C$15" sel="1" val="0"/>
</file>

<file path=xl/ctrlProps/ctrlProp2.xml><?xml version="1.0" encoding="utf-8"?>
<formControlPr xmlns="http://schemas.microsoft.com/office/spreadsheetml/2009/9/main" objectType="List" dx="26" fmlaLink="support!$D$6" fmlaRange="support!$D$13:$D$15" sel="3" val="0"/>
</file>

<file path=xl/ctrlProps/ctrlProp3.xml><?xml version="1.0" encoding="utf-8"?>
<formControlPr xmlns="http://schemas.microsoft.com/office/spreadsheetml/2009/9/main" objectType="Radio" firstButton="1" fmlaLink="support!$D$7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Scroll" dx="26" fmlaLink="support!$D$5" horiz="1" max="15" min="1" page="10"/>
</file>

<file path=xl/ctrlProps/ctrlProp6.xml><?xml version="1.0" encoding="utf-8"?>
<formControlPr xmlns="http://schemas.microsoft.com/office/spreadsheetml/2009/9/main" objectType="CheckBox" checked="Checked" fmlaLink="support!$D$9" lockText="1" noThreeD="1"/>
</file>

<file path=xl/ctrlProps/ctrlProp7.xml><?xml version="1.0" encoding="utf-8"?>
<formControlPr xmlns="http://schemas.microsoft.com/office/spreadsheetml/2009/9/main" objectType="CheckBox" checked="Checked" fmlaLink="support!$D$10" lockText="1" noThreeD="1"/>
</file>

<file path=xl/ctrlProps/ctrlProp8.xml><?xml version="1.0" encoding="utf-8"?>
<formControlPr xmlns="http://schemas.microsoft.com/office/spreadsheetml/2009/9/main" objectType="CheckBox" checked="Checked" fmlaLink="support!$D$9" lockText="1"/>
</file>

<file path=xl/ctrlProps/ctrlProp9.xml><?xml version="1.0" encoding="utf-8"?>
<formControlPr xmlns="http://schemas.microsoft.com/office/spreadsheetml/2009/9/main" objectType="CheckBox" checked="Checked" fmlaLink="support!$D$10" lockText="1"/>
</file>

<file path=xl/ctrlProps/ctrlProp10.xml><?xml version="1.0" encoding="utf-8"?>
<formControlPr xmlns="http://schemas.microsoft.com/office/spreadsheetml/2009/9/main" objectType="Scroll" dx="26" fmlaLink="support!$D$5" horiz="1" max="15" min="1" page="10"/>
</file>

<file path=xl/ctrlProps/ctrlProp11.xml><?xml version="1.0" encoding="utf-8"?>
<formControlPr xmlns="http://schemas.microsoft.com/office/spreadsheetml/2009/9/main" objectType="Radio" firstButton="1" fmlaLink="support!$D$7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ctrlProps/ctrlProp13.xml><?xml version="1.0" encoding="utf-8"?>
<formControlPr xmlns="http://schemas.microsoft.com/office/spreadsheetml/2009/9/main" objectType="List" dx="26" fmlaLink="support!$D$6" fmlaRange="support!$D$13:$D$15" sel="3" val="0"/>
</file>

<file path=xl/ctrlProps/ctrlProp14.xml><?xml version="1.0" encoding="utf-8"?>
<formControlPr xmlns="http://schemas.microsoft.com/office/spreadsheetml/2009/9/main" objectType="Drop" dropStyle="combo" dx="26" fmlaLink="support!$D$4" fmlaRange="support!$C$13:$C$15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sv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4.sv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svg"/><Relationship Id="rId4" Type="http://schemas.openxmlformats.org/officeDocument/2006/relationships/image" Target="../media/image2.sv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7620</xdr:colOff>
          <xdr:row>4</xdr:row>
          <xdr:rowOff>22860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6</xdr:row>
          <xdr:rowOff>7620</xdr:rowOff>
        </xdr:from>
        <xdr:to>
          <xdr:col>4</xdr:col>
          <xdr:colOff>7620</xdr:colOff>
          <xdr:row>8</xdr:row>
          <xdr:rowOff>68580</xdr:rowOff>
        </xdr:to>
        <xdr:sp macro="" textlink="">
          <xdr:nvSpPr>
            <xdr:cNvPr id="2055" name="List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10</xdr:row>
          <xdr:rowOff>53340</xdr:rowOff>
        </xdr:from>
        <xdr:to>
          <xdr:col>3</xdr:col>
          <xdr:colOff>563880</xdr:colOff>
          <xdr:row>11</xdr:row>
          <xdr:rowOff>99060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</xdr:colOff>
          <xdr:row>12</xdr:row>
          <xdr:rowOff>15240</xdr:rowOff>
        </xdr:from>
        <xdr:to>
          <xdr:col>4</xdr:col>
          <xdr:colOff>137160</xdr:colOff>
          <xdr:row>13</xdr:row>
          <xdr:rowOff>60960</xdr:rowOff>
        </xdr:to>
        <xdr:sp macro="" textlink="">
          <xdr:nvSpPr>
            <xdr:cNvPr id="2057" name="Option 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16</xdr:row>
          <xdr:rowOff>0</xdr:rowOff>
        </xdr:from>
        <xdr:to>
          <xdr:col>4</xdr:col>
          <xdr:colOff>0</xdr:colOff>
          <xdr:row>16</xdr:row>
          <xdr:rowOff>167640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18</xdr:row>
          <xdr:rowOff>152400</xdr:rowOff>
        </xdr:from>
        <xdr:to>
          <xdr:col>4</xdr:col>
          <xdr:colOff>99060</xdr:colOff>
          <xdr:row>20</xdr:row>
          <xdr:rowOff>7620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20</xdr:row>
          <xdr:rowOff>53340</xdr:rowOff>
        </xdr:from>
        <xdr:to>
          <xdr:col>4</xdr:col>
          <xdr:colOff>106680</xdr:colOff>
          <xdr:row>21</xdr:row>
          <xdr:rowOff>91440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1607820</xdr:colOff>
      <xdr:row>8</xdr:row>
      <xdr:rowOff>45720</xdr:rowOff>
    </xdr:from>
    <xdr:to>
      <xdr:col>9</xdr:col>
      <xdr:colOff>304800</xdr:colOff>
      <xdr:row>11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229600" y="1508760"/>
          <a:ext cx="63246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4</xdr:row>
      <xdr:rowOff>22860</xdr:rowOff>
    </xdr:from>
    <xdr:to>
      <xdr:col>10</xdr:col>
      <xdr:colOff>426720</xdr:colOff>
      <xdr:row>12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6629400" y="754380"/>
          <a:ext cx="60960" cy="1455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260959</xdr:colOff>
      <xdr:row>7</xdr:row>
      <xdr:rowOff>20877</xdr:rowOff>
    </xdr:from>
    <xdr:to>
      <xdr:col>29</xdr:col>
      <xdr:colOff>73069</xdr:colOff>
      <xdr:row>11</xdr:row>
      <xdr:rowOff>156575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24310932" y="1336110"/>
          <a:ext cx="417534" cy="88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302712</xdr:colOff>
      <xdr:row>7</xdr:row>
      <xdr:rowOff>20877</xdr:rowOff>
    </xdr:from>
    <xdr:to>
      <xdr:col>27</xdr:col>
      <xdr:colOff>584548</xdr:colOff>
      <xdr:row>11</xdr:row>
      <xdr:rowOff>177452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22891315" y="1336110"/>
          <a:ext cx="887260" cy="90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260457</xdr:colOff>
      <xdr:row>31</xdr:row>
      <xdr:rowOff>157242</xdr:rowOff>
    </xdr:from>
    <xdr:to>
      <xdr:col>34</xdr:col>
      <xdr:colOff>581822</xdr:colOff>
      <xdr:row>46</xdr:row>
      <xdr:rowOff>136598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398584</xdr:colOff>
      <xdr:row>4</xdr:row>
      <xdr:rowOff>23446</xdr:rowOff>
    </xdr:from>
    <xdr:to>
      <xdr:col>37</xdr:col>
      <xdr:colOff>363415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8100215" y="773723"/>
          <a:ext cx="1793631" cy="1477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316523</xdr:colOff>
      <xdr:row>1</xdr:row>
      <xdr:rowOff>128954</xdr:rowOff>
    </xdr:from>
    <xdr:to>
      <xdr:col>42</xdr:col>
      <xdr:colOff>398584</xdr:colOff>
      <xdr:row>8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9846954" y="316523"/>
          <a:ext cx="3130061" cy="1184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insert from this colum line chart then</a:t>
          </a:r>
          <a:r>
            <a:rPr lang="en-IN" sz="1100" baseline="0"/>
            <a:t> make other coloumn which represnt percentage from % table using index and text function for percent and concate for values ie &amp; and change valuies in graph </a:t>
          </a:r>
        </a:p>
        <a:p>
          <a:r>
            <a:rPr lang="en-IN" sz="1100" baseline="0"/>
            <a:t>actual values and diff between them is plotted</a:t>
          </a:r>
        </a:p>
        <a:p>
          <a:endParaRPr lang="en-IN" sz="1100"/>
        </a:p>
      </xdr:txBody>
    </xdr:sp>
    <xdr:clientData/>
  </xdr:twoCellAnchor>
  <xdr:twoCellAnchor>
    <xdr:from>
      <xdr:col>10</xdr:col>
      <xdr:colOff>113731</xdr:colOff>
      <xdr:row>40</xdr:row>
      <xdr:rowOff>45492</xdr:rowOff>
    </xdr:from>
    <xdr:to>
      <xdr:col>12</xdr:col>
      <xdr:colOff>580030</xdr:colOff>
      <xdr:row>48</xdr:row>
      <xdr:rowOff>79611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064388" y="7381164"/>
          <a:ext cx="2615821" cy="148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13</xdr:col>
      <xdr:colOff>443552</xdr:colOff>
      <xdr:row>41</xdr:row>
      <xdr:rowOff>159224</xdr:rowOff>
    </xdr:from>
    <xdr:to>
      <xdr:col>16</xdr:col>
      <xdr:colOff>614149</xdr:colOff>
      <xdr:row>50</xdr:row>
      <xdr:rowOff>11373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2328477" y="7676866"/>
          <a:ext cx="2615821" cy="148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43294</xdr:colOff>
      <xdr:row>3</xdr:row>
      <xdr:rowOff>173181</xdr:rowOff>
    </xdr:from>
    <xdr:to>
      <xdr:col>12</xdr:col>
      <xdr:colOff>571499</xdr:colOff>
      <xdr:row>17</xdr:row>
      <xdr:rowOff>43295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173180</xdr:colOff>
      <xdr:row>4</xdr:row>
      <xdr:rowOff>69273</xdr:rowOff>
    </xdr:from>
    <xdr:to>
      <xdr:col>19</xdr:col>
      <xdr:colOff>69272</xdr:colOff>
      <xdr:row>10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8884225" y="536864"/>
          <a:ext cx="1428752" cy="1021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5</xdr:col>
          <xdr:colOff>0</xdr:colOff>
          <xdr:row>12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5</xdr:row>
          <xdr:rowOff>0</xdr:rowOff>
        </xdr:from>
        <xdr:to>
          <xdr:col>7</xdr:col>
          <xdr:colOff>0</xdr:colOff>
          <xdr:row>6</xdr:row>
          <xdr:rowOff>83820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 year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815340</xdr:colOff>
          <xdr:row>5</xdr:row>
          <xdr:rowOff>7620</xdr:rowOff>
        </xdr:from>
        <xdr:to>
          <xdr:col>8</xdr:col>
          <xdr:colOff>0</xdr:colOff>
          <xdr:row>6</xdr:row>
          <xdr:rowOff>68580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20</xdr:row>
          <xdr:rowOff>0</xdr:rowOff>
        </xdr:from>
        <xdr:to>
          <xdr:col>3</xdr:col>
          <xdr:colOff>350520</xdr:colOff>
          <xdr:row>21</xdr:row>
          <xdr:rowOff>175260</xdr:rowOff>
        </xdr:to>
        <xdr:sp macro="" textlink="">
          <xdr:nvSpPr>
            <xdr:cNvPr id="4102" name="Option 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99" mc:Ignorable="a14" a14:legacySpreadsheetColorIndex="47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20</xdr:row>
          <xdr:rowOff>7620</xdr:rowOff>
        </xdr:from>
        <xdr:to>
          <xdr:col>5</xdr:col>
          <xdr:colOff>137160</xdr:colOff>
          <xdr:row>22</xdr:row>
          <xdr:rowOff>0</xdr:rowOff>
        </xdr:to>
        <xdr:sp macro="" textlink="">
          <xdr:nvSpPr>
            <xdr:cNvPr id="4103" name="Option 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99" mc:Ignorable="a14" a14:legacySpreadsheetColorIndex="47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5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0</xdr:colOff>
      <xdr:row>18</xdr:row>
      <xdr:rowOff>3462</xdr:rowOff>
    </xdr:from>
    <xdr:to>
      <xdr:col>13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14</xdr:row>
          <xdr:rowOff>0</xdr:rowOff>
        </xdr:from>
        <xdr:to>
          <xdr:col>5</xdr:col>
          <xdr:colOff>175260</xdr:colOff>
          <xdr:row>18</xdr:row>
          <xdr:rowOff>0</xdr:rowOff>
        </xdr:to>
        <xdr:sp macro="" textlink="">
          <xdr:nvSpPr>
            <xdr:cNvPr id="4104" name="List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25976</xdr:colOff>
      <xdr:row>22</xdr:row>
      <xdr:rowOff>164522</xdr:rowOff>
    </xdr:from>
    <xdr:to>
      <xdr:col>5</xdr:col>
      <xdr:colOff>95250</xdr:colOff>
      <xdr:row>29</xdr:row>
      <xdr:rowOff>43295</xdr:rowOff>
    </xdr:to>
    <xdr:sp macro="" textlink="support!AE11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68431" y="3758045"/>
          <a:ext cx="1982933" cy="11516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CD90256-5B87-43DB-A7C4-2748ADF32C42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Bottom 5 Selected based on % of Budget achieve</a:t>
          </a:fld>
          <a:endParaRPr lang="en-IN" sz="18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15240</xdr:rowOff>
        </xdr:from>
        <xdr:to>
          <xdr:col>4</xdr:col>
          <xdr:colOff>182880</xdr:colOff>
          <xdr:row>7</xdr:row>
          <xdr:rowOff>175260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-1</xdr:colOff>
      <xdr:row>8</xdr:row>
      <xdr:rowOff>164523</xdr:rowOff>
    </xdr:from>
    <xdr:to>
      <xdr:col>4</xdr:col>
      <xdr:colOff>277090</xdr:colOff>
      <xdr:row>10</xdr:row>
      <xdr:rowOff>95250</xdr:rowOff>
    </xdr:to>
    <xdr:sp macro="" textlink="support!AP12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42454" y="1411432"/>
          <a:ext cx="1913659" cy="31172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69D3682-A3E0-4159-947A-42AA2BBDFFE2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Profit for WenCaL</a:t>
          </a:fld>
          <a:endParaRPr lang="en-IN" sz="1100" b="1"/>
        </a:p>
      </xdr:txBody>
    </xdr:sp>
    <xdr:clientData/>
  </xdr:twoCellAnchor>
  <xdr:twoCellAnchor>
    <xdr:from>
      <xdr:col>13</xdr:col>
      <xdr:colOff>95250</xdr:colOff>
      <xdr:row>5</xdr:row>
      <xdr:rowOff>1</xdr:rowOff>
    </xdr:from>
    <xdr:to>
      <xdr:col>16</xdr:col>
      <xdr:colOff>95250</xdr:colOff>
      <xdr:row>10</xdr:row>
      <xdr:rowOff>25978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7386205" y="562842"/>
          <a:ext cx="1420090" cy="9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13</xdr:col>
      <xdr:colOff>102615</xdr:colOff>
      <xdr:row>5</xdr:row>
      <xdr:rowOff>0</xdr:rowOff>
    </xdr:from>
    <xdr:to>
      <xdr:col>16</xdr:col>
      <xdr:colOff>77932</xdr:colOff>
      <xdr:row>6</xdr:row>
      <xdr:rowOff>86590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93570" y="562841"/>
          <a:ext cx="1395407" cy="2857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Profit</a:t>
          </a:r>
          <a:endParaRPr lang="en-IN" sz="1100" b="1"/>
        </a:p>
      </xdr:txBody>
    </xdr:sp>
    <xdr:clientData/>
  </xdr:twoCellAnchor>
  <xdr:oneCellAnchor>
    <xdr:from>
      <xdr:col>15</xdr:col>
      <xdr:colOff>-1</xdr:colOff>
      <xdr:row>6</xdr:row>
      <xdr:rowOff>95249</xdr:rowOff>
    </xdr:from>
    <xdr:ext cx="1139379" cy="337705"/>
    <xdr:sp macro="" textlink="support!$M$34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7862454" y="857249"/>
          <a:ext cx="1139379" cy="337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3409AA69-E952-4773-B50E-02BC6D8301B1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9359</a:t>
          </a:fld>
          <a:endParaRPr lang="en-IN" sz="1400"/>
        </a:p>
      </xdr:txBody>
    </xdr:sp>
    <xdr:clientData/>
  </xdr:oneCellAnchor>
  <xdr:oneCellAnchor>
    <xdr:from>
      <xdr:col>13</xdr:col>
      <xdr:colOff>129887</xdr:colOff>
      <xdr:row>7</xdr:row>
      <xdr:rowOff>129888</xdr:rowOff>
    </xdr:from>
    <xdr:ext cx="1411431" cy="623452"/>
    <xdr:sp macro="" textlink="support!Q34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7420842" y="1091047"/>
          <a:ext cx="1411431" cy="62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915CDCF5-AF2D-4E14-9F67-EC618939968D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-84 Under Budget</a:t>
          </a:fld>
          <a:endParaRPr lang="en-IN" sz="2800"/>
        </a:p>
      </xdr:txBody>
    </xdr:sp>
    <xdr:clientData/>
  </xdr:oneCellAnchor>
  <xdr:oneCellAnchor>
    <xdr:from>
      <xdr:col>17</xdr:col>
      <xdr:colOff>51955</xdr:colOff>
      <xdr:row>6</xdr:row>
      <xdr:rowOff>103909</xdr:rowOff>
    </xdr:from>
    <xdr:ext cx="1139379" cy="337705"/>
    <xdr:sp macro="" textlink="support!M36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9308523" y="865909"/>
          <a:ext cx="1139379" cy="337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21BC9EDD-01D0-481F-937A-02DE0B25D4BF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162643</a:t>
          </a:fld>
          <a:endParaRPr lang="en-IN" sz="1400"/>
        </a:p>
      </xdr:txBody>
    </xdr:sp>
    <xdr:clientData/>
  </xdr:oneCellAnchor>
  <xdr:twoCellAnchor>
    <xdr:from>
      <xdr:col>16</xdr:col>
      <xdr:colOff>164524</xdr:colOff>
      <xdr:row>4</xdr:row>
      <xdr:rowOff>77932</xdr:rowOff>
    </xdr:from>
    <xdr:to>
      <xdr:col>19</xdr:col>
      <xdr:colOff>69272</xdr:colOff>
      <xdr:row>6</xdr:row>
      <xdr:rowOff>86591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8875569" y="545523"/>
          <a:ext cx="1437408" cy="30306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Revenue</a:t>
          </a:r>
          <a:endParaRPr lang="en-IN" sz="1100" b="1"/>
        </a:p>
      </xdr:txBody>
    </xdr:sp>
    <xdr:clientData/>
  </xdr:twoCellAnchor>
  <xdr:oneCellAnchor>
    <xdr:from>
      <xdr:col>16</xdr:col>
      <xdr:colOff>173182</xdr:colOff>
      <xdr:row>7</xdr:row>
      <xdr:rowOff>138546</xdr:rowOff>
    </xdr:from>
    <xdr:ext cx="1411432" cy="675409"/>
    <xdr:sp macro="" textlink="support!Q36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884227" y="1099705"/>
          <a:ext cx="1411432" cy="675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652DB3E4-7390-4488-B820-971F6DA1B8F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-2117 Under Budget</a:t>
          </a:fld>
          <a:endParaRPr lang="en-IN" sz="2800"/>
        </a:p>
      </xdr:txBody>
    </xdr:sp>
    <xdr:clientData/>
  </xdr:oneCellAnchor>
  <xdr:twoCellAnchor>
    <xdr:from>
      <xdr:col>19</xdr:col>
      <xdr:colOff>138545</xdr:colOff>
      <xdr:row>4</xdr:row>
      <xdr:rowOff>60614</xdr:rowOff>
    </xdr:from>
    <xdr:to>
      <xdr:col>22</xdr:col>
      <xdr:colOff>121227</xdr:colOff>
      <xdr:row>10</xdr:row>
      <xdr:rowOff>25977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0382250" y="528205"/>
          <a:ext cx="1515341" cy="1021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19</xdr:col>
      <xdr:colOff>147204</xdr:colOff>
      <xdr:row>4</xdr:row>
      <xdr:rowOff>77932</xdr:rowOff>
    </xdr:from>
    <xdr:to>
      <xdr:col>22</xdr:col>
      <xdr:colOff>103908</xdr:colOff>
      <xdr:row>6</xdr:row>
      <xdr:rowOff>103909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0390909" y="545523"/>
          <a:ext cx="1489363" cy="3203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Cash</a:t>
          </a:r>
          <a:endParaRPr lang="en-IN" sz="1100" b="1"/>
        </a:p>
      </xdr:txBody>
    </xdr:sp>
    <xdr:clientData/>
  </xdr:twoCellAnchor>
  <xdr:oneCellAnchor>
    <xdr:from>
      <xdr:col>20</xdr:col>
      <xdr:colOff>1</xdr:colOff>
      <xdr:row>6</xdr:row>
      <xdr:rowOff>103909</xdr:rowOff>
    </xdr:from>
    <xdr:ext cx="1139379" cy="337705"/>
    <xdr:sp macro="" textlink="support!M38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0789228" y="865909"/>
          <a:ext cx="1139379" cy="337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170B33DD-E64B-443A-982F-50EE44D35A6D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103058</a:t>
          </a:fld>
          <a:endParaRPr lang="en-IN" sz="1400"/>
        </a:p>
      </xdr:txBody>
    </xdr:sp>
    <xdr:clientData/>
  </xdr:oneCellAnchor>
  <xdr:oneCellAnchor>
    <xdr:from>
      <xdr:col>19</xdr:col>
      <xdr:colOff>138544</xdr:colOff>
      <xdr:row>7</xdr:row>
      <xdr:rowOff>121226</xdr:rowOff>
    </xdr:from>
    <xdr:ext cx="1515341" cy="675409"/>
    <xdr:sp macro="" textlink="support!Q38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0382249" y="1082385"/>
          <a:ext cx="1515341" cy="675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3FCF0034-2B19-4D01-AE0C-3A1B4DAFEA0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-1368 Under Budget</a:t>
          </a:fld>
          <a:endParaRPr lang="en-IN" sz="2800"/>
        </a:p>
      </xdr:txBody>
    </xdr:sp>
    <xdr:clientData/>
  </xdr:oneCellAnchor>
  <xdr:twoCellAnchor editAs="oneCell">
    <xdr:from>
      <xdr:col>14</xdr:col>
      <xdr:colOff>17319</xdr:colOff>
      <xdr:row>13</xdr:row>
      <xdr:rowOff>112568</xdr:rowOff>
    </xdr:from>
    <xdr:to>
      <xdr:col>15</xdr:col>
      <xdr:colOff>164522</xdr:colOff>
      <xdr:row>16</xdr:row>
      <xdr:rowOff>164521</xdr:rowOff>
    </xdr:to>
    <xdr:pic>
      <xdr:nvPicPr>
        <xdr:cNvPr id="32" name="Graphic 31" descr="Research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64137" y="2121477"/>
          <a:ext cx="562840" cy="562840"/>
        </a:xfrm>
        <a:prstGeom prst="rect">
          <a:avLst/>
        </a:prstGeom>
      </xdr:spPr>
    </xdr:pic>
    <xdr:clientData/>
  </xdr:twoCellAnchor>
  <xdr:twoCellAnchor editAs="oneCell">
    <xdr:from>
      <xdr:col>19</xdr:col>
      <xdr:colOff>121227</xdr:colOff>
      <xdr:row>6</xdr:row>
      <xdr:rowOff>43295</xdr:rowOff>
    </xdr:from>
    <xdr:to>
      <xdr:col>20</xdr:col>
      <xdr:colOff>74469</xdr:colOff>
      <xdr:row>8</xdr:row>
      <xdr:rowOff>143740</xdr:rowOff>
    </xdr:to>
    <xdr:pic>
      <xdr:nvPicPr>
        <xdr:cNvPr id="34" name="Graphic 33" descr="Wallet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64932" y="805295"/>
          <a:ext cx="498764" cy="498764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6</xdr:row>
      <xdr:rowOff>112567</xdr:rowOff>
    </xdr:from>
    <xdr:to>
      <xdr:col>17</xdr:col>
      <xdr:colOff>25979</xdr:colOff>
      <xdr:row>8</xdr:row>
      <xdr:rowOff>77931</xdr:rowOff>
    </xdr:to>
    <xdr:pic>
      <xdr:nvPicPr>
        <xdr:cNvPr id="36" name="Graphic 35" descr="Coins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918865" y="874567"/>
          <a:ext cx="363683" cy="363683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95251</xdr:colOff>
      <xdr:row>6</xdr:row>
      <xdr:rowOff>103907</xdr:rowOff>
    </xdr:from>
    <xdr:to>
      <xdr:col>14</xdr:col>
      <xdr:colOff>337708</xdr:colOff>
      <xdr:row>8</xdr:row>
      <xdr:rowOff>103908</xdr:rowOff>
    </xdr:to>
    <xdr:pic>
      <xdr:nvPicPr>
        <xdr:cNvPr id="38" name="Graphic 37" descr="Rupee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386206" y="865907"/>
          <a:ext cx="398320" cy="398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86592</xdr:colOff>
      <xdr:row>28</xdr:row>
      <xdr:rowOff>155864</xdr:rowOff>
    </xdr:from>
    <xdr:to>
      <xdr:col>3</xdr:col>
      <xdr:colOff>325582</xdr:colOff>
      <xdr:row>35</xdr:row>
      <xdr:rowOff>13855</xdr:rowOff>
    </xdr:to>
    <xdr:pic>
      <xdr:nvPicPr>
        <xdr:cNvPr id="40" name="Graphic 39" descr="Presentation with bar chart RTL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5137" y="4840432"/>
          <a:ext cx="914400" cy="914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E2FD-7B1D-46D4-A24D-6B00ACEE1CDB}">
  <sheetPr codeName="Sheet1"/>
  <dimension ref="C3:F17"/>
  <sheetViews>
    <sheetView zoomScale="63" workbookViewId="0">
      <selection activeCell="C3" sqref="C3"/>
    </sheetView>
  </sheetViews>
  <sheetFormatPr defaultRowHeight="14.4" x14ac:dyDescent="0.3"/>
  <sheetData>
    <row r="3" spans="3:3" x14ac:dyDescent="0.3">
      <c r="C3">
        <v>2023</v>
      </c>
    </row>
    <row r="17" spans="6:6" x14ac:dyDescent="0.3">
      <c r="F17">
        <f>support!D5</f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Drop Down 4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4</xdr:col>
                    <xdr:colOff>7620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List Box 7">
              <controlPr defaultSize="0" autoLine="0" autoPict="0">
                <anchor moveWithCells="1">
                  <from>
                    <xdr:col>2</xdr:col>
                    <xdr:colOff>22860</xdr:colOff>
                    <xdr:row>6</xdr:row>
                    <xdr:rowOff>7620</xdr:rowOff>
                  </from>
                  <to>
                    <xdr:col>4</xdr:col>
                    <xdr:colOff>7620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" name="Option Button 8">
              <controlPr defaultSize="0" autoFill="0" autoLine="0" autoPict="0">
                <anchor moveWithCells="1">
                  <from>
                    <xdr:col>2</xdr:col>
                    <xdr:colOff>137160</xdr:colOff>
                    <xdr:row>10</xdr:row>
                    <xdr:rowOff>53340</xdr:rowOff>
                  </from>
                  <to>
                    <xdr:col>3</xdr:col>
                    <xdr:colOff>563880</xdr:colOff>
                    <xdr:row>11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Option Button 9">
              <controlPr defaultSize="0" autoFill="0" autoLine="0" autoPict="0">
                <anchor moveWithCells="1">
                  <from>
                    <xdr:col>2</xdr:col>
                    <xdr:colOff>320040</xdr:colOff>
                    <xdr:row>12</xdr:row>
                    <xdr:rowOff>15240</xdr:rowOff>
                  </from>
                  <to>
                    <xdr:col>4</xdr:col>
                    <xdr:colOff>137160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Scroll Bar 10">
              <controlPr defaultSize="0" autoPict="0">
                <anchor moveWithCells="1">
                  <from>
                    <xdr:col>2</xdr:col>
                    <xdr:colOff>15240</xdr:colOff>
                    <xdr:row>16</xdr:row>
                    <xdr:rowOff>0</xdr:rowOff>
                  </from>
                  <to>
                    <xdr:col>4</xdr:col>
                    <xdr:colOff>0</xdr:colOff>
                    <xdr:row>16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8" name="Check Box 13">
              <controlPr defaultSize="0" autoFill="0" autoLine="0" autoPict="0">
                <anchor moveWithCells="1">
                  <from>
                    <xdr:col>2</xdr:col>
                    <xdr:colOff>236220</xdr:colOff>
                    <xdr:row>18</xdr:row>
                    <xdr:rowOff>152400</xdr:rowOff>
                  </from>
                  <to>
                    <xdr:col>4</xdr:col>
                    <xdr:colOff>99060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" name="Check Box 14">
              <controlPr defaultSize="0" autoFill="0" autoLine="0" autoPict="0">
                <anchor moveWithCells="1">
                  <from>
                    <xdr:col>2</xdr:col>
                    <xdr:colOff>243840</xdr:colOff>
                    <xdr:row>20</xdr:row>
                    <xdr:rowOff>53340</xdr:rowOff>
                  </from>
                  <to>
                    <xdr:col>4</xdr:col>
                    <xdr:colOff>106680</xdr:colOff>
                    <xdr:row>21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023B-94C3-4607-A35B-305304D9951C}">
  <sheetPr codeName="Sheet2"/>
  <dimension ref="A1:AT51"/>
  <sheetViews>
    <sheetView topLeftCell="AP1" zoomScale="85" zoomScaleNormal="85" workbookViewId="0">
      <selection activeCell="AE10" sqref="AE10"/>
    </sheetView>
  </sheetViews>
  <sheetFormatPr defaultRowHeight="14.4" x14ac:dyDescent="0.3"/>
  <cols>
    <col min="1" max="1" width="15.109375" bestFit="1" customWidth="1"/>
    <col min="2" max="2" width="20.21875" bestFit="1" customWidth="1"/>
    <col min="3" max="3" width="17.77734375" bestFit="1" customWidth="1"/>
    <col min="4" max="4" width="17" bestFit="1" customWidth="1"/>
    <col min="5" max="5" width="20.21875" bestFit="1" customWidth="1"/>
    <col min="6" max="6" width="17.77734375" bestFit="1" customWidth="1"/>
    <col min="7" max="7" width="17" bestFit="1" customWidth="1"/>
    <col min="8" max="8" width="24.109375" bestFit="1" customWidth="1"/>
    <col min="9" max="9" width="18.33203125" bestFit="1" customWidth="1"/>
    <col min="10" max="10" width="17.6640625" bestFit="1" customWidth="1"/>
    <col min="11" max="11" width="17.5546875" bestFit="1" customWidth="1"/>
    <col min="12" max="12" width="17.77734375" bestFit="1" customWidth="1"/>
    <col min="13" max="13" width="18.21875" bestFit="1" customWidth="1"/>
    <col min="14" max="14" width="17.6640625" bestFit="1" customWidth="1"/>
    <col min="15" max="15" width="18.44140625" bestFit="1" customWidth="1"/>
    <col min="16" max="16" width="17.5546875" bestFit="1" customWidth="1"/>
    <col min="17" max="17" width="16.88671875" bestFit="1" customWidth="1"/>
    <col min="18" max="18" width="17.88671875" bestFit="1" customWidth="1"/>
    <col min="19" max="20" width="17.77734375" bestFit="1" customWidth="1"/>
    <col min="21" max="21" width="18.21875" bestFit="1" customWidth="1"/>
    <col min="22" max="22" width="18" bestFit="1" customWidth="1"/>
    <col min="23" max="23" width="17.5546875" bestFit="1" customWidth="1"/>
    <col min="24" max="24" width="17.77734375" bestFit="1" customWidth="1"/>
    <col min="25" max="25" width="18.21875" bestFit="1" customWidth="1"/>
    <col min="26" max="26" width="17.6640625" bestFit="1" customWidth="1"/>
    <col min="27" max="27" width="18.44140625" bestFit="1" customWidth="1"/>
    <col min="28" max="28" width="17.5546875" bestFit="1" customWidth="1"/>
    <col min="29" max="29" width="16.88671875" bestFit="1" customWidth="1"/>
    <col min="30" max="30" width="17.88671875" bestFit="1" customWidth="1"/>
    <col min="31" max="32" width="17.77734375" bestFit="1" customWidth="1"/>
    <col min="33" max="33" width="18.21875" bestFit="1" customWidth="1"/>
    <col min="34" max="34" width="18" bestFit="1" customWidth="1"/>
    <col min="35" max="35" width="18.109375" bestFit="1" customWidth="1"/>
    <col min="36" max="36" width="18.33203125" bestFit="1" customWidth="1"/>
    <col min="37" max="37" width="18.77734375" bestFit="1" customWidth="1"/>
    <col min="38" max="38" width="18.21875" bestFit="1" customWidth="1"/>
    <col min="39" max="39" width="19" bestFit="1" customWidth="1"/>
    <col min="40" max="40" width="18.109375" bestFit="1" customWidth="1"/>
    <col min="41" max="41" width="17.5546875" bestFit="1" customWidth="1"/>
    <col min="42" max="42" width="18.44140625" bestFit="1" customWidth="1"/>
    <col min="43" max="44" width="18.33203125" bestFit="1" customWidth="1"/>
    <col min="45" max="45" width="18.77734375" bestFit="1" customWidth="1"/>
    <col min="46" max="46" width="18.5546875" bestFit="1" customWidth="1"/>
  </cols>
  <sheetData>
    <row r="1" spans="1:46" x14ac:dyDescent="0.3">
      <c r="A1" t="s">
        <v>0</v>
      </c>
      <c r="B1" s="1">
        <f>Current_year</f>
        <v>2023</v>
      </c>
      <c r="C1" s="2" t="s">
        <v>1</v>
      </c>
      <c r="D1" s="2"/>
      <c r="E1" s="1">
        <f>B1-1</f>
        <v>2022</v>
      </c>
      <c r="G1" s="3" t="s">
        <v>2</v>
      </c>
      <c r="H1" t="s">
        <v>3</v>
      </c>
    </row>
    <row r="3" spans="1:46" x14ac:dyDescent="0.3">
      <c r="B3" s="4" t="s">
        <v>4</v>
      </c>
      <c r="C3" s="5"/>
      <c r="D3" s="6"/>
      <c r="E3" s="7" t="s">
        <v>5</v>
      </c>
      <c r="F3" s="8"/>
      <c r="G3" s="9"/>
      <c r="H3" s="10" t="s">
        <v>6</v>
      </c>
      <c r="I3" s="10"/>
      <c r="J3" s="11"/>
      <c r="K3" s="4" t="s">
        <v>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 t="s">
        <v>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12"/>
      <c r="AI3" s="10" t="s">
        <v>6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x14ac:dyDescent="0.3">
      <c r="A4" t="s">
        <v>7</v>
      </c>
      <c r="B4" t="str">
        <f t="shared" ref="B4:AT4" si="0">B5&amp;B6&amp;B7&amp;B8</f>
        <v>2023AprActualRevenue</v>
      </c>
      <c r="C4" t="str">
        <f t="shared" si="0"/>
        <v>2023AprActualProfit</v>
      </c>
      <c r="D4" s="14" t="str">
        <f t="shared" si="0"/>
        <v>2023AprActualCash</v>
      </c>
      <c r="E4" t="str">
        <f t="shared" si="0"/>
        <v>2022AprActualRevenue</v>
      </c>
      <c r="F4" t="str">
        <f t="shared" si="0"/>
        <v>2022AprActualProfit</v>
      </c>
      <c r="G4" s="14" t="str">
        <f t="shared" si="0"/>
        <v>2022AprActualCash</v>
      </c>
      <c r="H4" t="str">
        <f t="shared" si="0"/>
        <v>2023AprBudgetRevenue</v>
      </c>
      <c r="I4" t="str">
        <f t="shared" si="0"/>
        <v>2023AprBudgetProfit</v>
      </c>
      <c r="J4" s="14" t="str">
        <f t="shared" si="0"/>
        <v>2023AprBudgetCash</v>
      </c>
      <c r="K4" s="15" t="str">
        <f t="shared" si="0"/>
        <v>2023JanActualProfit</v>
      </c>
      <c r="L4" s="15" t="str">
        <f t="shared" si="0"/>
        <v>2023FebActualProfit</v>
      </c>
      <c r="M4" s="15" t="str">
        <f t="shared" si="0"/>
        <v>2023MarActualProfit</v>
      </c>
      <c r="N4" s="15" t="str">
        <f t="shared" si="0"/>
        <v>2023AprActualProfit</v>
      </c>
      <c r="O4" s="15" t="str">
        <f t="shared" si="0"/>
        <v>2023MayActualProfit</v>
      </c>
      <c r="P4" s="15" t="str">
        <f t="shared" si="0"/>
        <v>2023JunActualProfit</v>
      </c>
      <c r="Q4" s="15" t="str">
        <f t="shared" si="0"/>
        <v>2023JulActualProfit</v>
      </c>
      <c r="R4" s="15" t="str">
        <f t="shared" si="0"/>
        <v>2023AugActualProfit</v>
      </c>
      <c r="S4" s="15" t="str">
        <f t="shared" si="0"/>
        <v>2023SepActualProfit</v>
      </c>
      <c r="T4" s="15" t="str">
        <f t="shared" si="0"/>
        <v>2023OctActualProfit</v>
      </c>
      <c r="U4" s="15" t="str">
        <f t="shared" si="0"/>
        <v>2023NovActualProfit</v>
      </c>
      <c r="V4" s="15" t="str">
        <f t="shared" si="0"/>
        <v>2023DecActualProfit</v>
      </c>
      <c r="W4" s="16" t="str">
        <f t="shared" si="0"/>
        <v>2022JanActualProfit</v>
      </c>
      <c r="X4" s="15" t="str">
        <f t="shared" si="0"/>
        <v>2022FebActualProfit</v>
      </c>
      <c r="Y4" s="15" t="str">
        <f t="shared" si="0"/>
        <v>2022MarActualProfit</v>
      </c>
      <c r="Z4" s="15" t="str">
        <f t="shared" si="0"/>
        <v>2022AprActualProfit</v>
      </c>
      <c r="AA4" s="15" t="str">
        <f t="shared" si="0"/>
        <v>2022MayActualProfit</v>
      </c>
      <c r="AB4" s="15" t="str">
        <f t="shared" si="0"/>
        <v>2022JunActualProfit</v>
      </c>
      <c r="AC4" s="15" t="str">
        <f t="shared" si="0"/>
        <v>2022JulActualProfit</v>
      </c>
      <c r="AD4" s="15" t="str">
        <f t="shared" si="0"/>
        <v>2022AugActualProfit</v>
      </c>
      <c r="AE4" s="15" t="str">
        <f t="shared" si="0"/>
        <v>2022SepActualProfit</v>
      </c>
      <c r="AF4" s="15" t="str">
        <f t="shared" si="0"/>
        <v>2022OctActualProfit</v>
      </c>
      <c r="AG4" s="15" t="str">
        <f t="shared" si="0"/>
        <v>2022NovActualProfit</v>
      </c>
      <c r="AH4" s="17" t="str">
        <f t="shared" si="0"/>
        <v>2022DecActualProfit</v>
      </c>
      <c r="AI4" s="15" t="str">
        <f t="shared" si="0"/>
        <v>2023JanBudgetProfit</v>
      </c>
      <c r="AJ4" s="15" t="str">
        <f t="shared" si="0"/>
        <v>2023FebBudgetProfit</v>
      </c>
      <c r="AK4" s="15" t="str">
        <f t="shared" si="0"/>
        <v>2023MarBudgetProfit</v>
      </c>
      <c r="AL4" s="15" t="str">
        <f t="shared" si="0"/>
        <v>2023AprBudgetProfit</v>
      </c>
      <c r="AM4" s="15" t="str">
        <f t="shared" si="0"/>
        <v>2023MayBudgetProfit</v>
      </c>
      <c r="AN4" s="15" t="str">
        <f t="shared" si="0"/>
        <v>2023JunBudgetProfit</v>
      </c>
      <c r="AO4" s="15" t="str">
        <f t="shared" si="0"/>
        <v>2023JulBudgetProfit</v>
      </c>
      <c r="AP4" s="15" t="str">
        <f t="shared" si="0"/>
        <v>2023AugBudgetProfit</v>
      </c>
      <c r="AQ4" s="15" t="str">
        <f t="shared" si="0"/>
        <v>2023SepBudgetProfit</v>
      </c>
      <c r="AR4" s="15" t="str">
        <f t="shared" si="0"/>
        <v>2023OctBudgetProfit</v>
      </c>
      <c r="AS4" s="15" t="str">
        <f t="shared" si="0"/>
        <v>2023NovBudgetProfit</v>
      </c>
      <c r="AT4" s="15" t="str">
        <f t="shared" si="0"/>
        <v>2023DecBudgetProfit</v>
      </c>
    </row>
    <row r="5" spans="1:46" x14ac:dyDescent="0.3">
      <c r="B5" s="18">
        <f>$B$1</f>
        <v>2023</v>
      </c>
      <c r="C5" s="18">
        <f>$B$1</f>
        <v>2023</v>
      </c>
      <c r="D5" s="19">
        <f>$B$1</f>
        <v>2023</v>
      </c>
      <c r="E5" s="18">
        <f>$E$1</f>
        <v>2022</v>
      </c>
      <c r="F5" s="18">
        <f>$E$1</f>
        <v>2022</v>
      </c>
      <c r="G5" s="19">
        <f>$E$1</f>
        <v>2022</v>
      </c>
      <c r="H5" s="18">
        <f t="shared" ref="H5:V5" si="1">$B$1</f>
        <v>2023</v>
      </c>
      <c r="I5" s="18">
        <f t="shared" si="1"/>
        <v>2023</v>
      </c>
      <c r="J5" s="19">
        <f t="shared" si="1"/>
        <v>2023</v>
      </c>
      <c r="K5" s="20">
        <f t="shared" si="1"/>
        <v>2023</v>
      </c>
      <c r="L5" s="20">
        <f t="shared" si="1"/>
        <v>2023</v>
      </c>
      <c r="M5" s="20">
        <f t="shared" si="1"/>
        <v>2023</v>
      </c>
      <c r="N5" s="20">
        <f t="shared" si="1"/>
        <v>2023</v>
      </c>
      <c r="O5" s="20">
        <f t="shared" si="1"/>
        <v>2023</v>
      </c>
      <c r="P5" s="20">
        <f t="shared" si="1"/>
        <v>2023</v>
      </c>
      <c r="Q5" s="20">
        <f t="shared" si="1"/>
        <v>2023</v>
      </c>
      <c r="R5" s="20">
        <f t="shared" si="1"/>
        <v>2023</v>
      </c>
      <c r="S5" s="20">
        <f t="shared" si="1"/>
        <v>2023</v>
      </c>
      <c r="T5" s="20">
        <f t="shared" si="1"/>
        <v>2023</v>
      </c>
      <c r="U5" s="20">
        <f t="shared" si="1"/>
        <v>2023</v>
      </c>
      <c r="V5" s="20">
        <f t="shared" si="1"/>
        <v>2023</v>
      </c>
      <c r="W5" s="21">
        <f t="shared" ref="W5:AH5" si="2">$E$1</f>
        <v>2022</v>
      </c>
      <c r="X5" s="20">
        <f t="shared" si="2"/>
        <v>2022</v>
      </c>
      <c r="Y5" s="20">
        <f t="shared" si="2"/>
        <v>2022</v>
      </c>
      <c r="Z5" s="20">
        <f t="shared" si="2"/>
        <v>2022</v>
      </c>
      <c r="AA5" s="20">
        <f t="shared" si="2"/>
        <v>2022</v>
      </c>
      <c r="AB5" s="20">
        <f t="shared" si="2"/>
        <v>2022</v>
      </c>
      <c r="AC5" s="20">
        <f t="shared" si="2"/>
        <v>2022</v>
      </c>
      <c r="AD5" s="20">
        <f t="shared" si="2"/>
        <v>2022</v>
      </c>
      <c r="AE5" s="20">
        <f t="shared" si="2"/>
        <v>2022</v>
      </c>
      <c r="AF5" s="20">
        <f t="shared" si="2"/>
        <v>2022</v>
      </c>
      <c r="AG5" s="20">
        <f t="shared" si="2"/>
        <v>2022</v>
      </c>
      <c r="AH5" s="22">
        <f t="shared" si="2"/>
        <v>2022</v>
      </c>
      <c r="AI5" s="20">
        <f t="shared" ref="AI5:AT5" si="3">$B$1</f>
        <v>2023</v>
      </c>
      <c r="AJ5" s="20">
        <f t="shared" si="3"/>
        <v>2023</v>
      </c>
      <c r="AK5" s="20">
        <f t="shared" si="3"/>
        <v>2023</v>
      </c>
      <c r="AL5" s="20">
        <f t="shared" si="3"/>
        <v>2023</v>
      </c>
      <c r="AM5" s="20">
        <f t="shared" si="3"/>
        <v>2023</v>
      </c>
      <c r="AN5" s="20">
        <f t="shared" si="3"/>
        <v>2023</v>
      </c>
      <c r="AO5" s="20">
        <f t="shared" si="3"/>
        <v>2023</v>
      </c>
      <c r="AP5" s="20">
        <f t="shared" si="3"/>
        <v>2023</v>
      </c>
      <c r="AQ5" s="20">
        <f t="shared" si="3"/>
        <v>2023</v>
      </c>
      <c r="AR5" s="20">
        <f t="shared" si="3"/>
        <v>2023</v>
      </c>
      <c r="AS5" s="20">
        <f t="shared" si="3"/>
        <v>2023</v>
      </c>
      <c r="AT5" s="20">
        <f t="shared" si="3"/>
        <v>2023</v>
      </c>
    </row>
    <row r="6" spans="1:46" x14ac:dyDescent="0.3">
      <c r="B6" s="18" t="str">
        <f t="array" ref="B6:J6">Current_month</f>
        <v>Apr</v>
      </c>
      <c r="C6" s="18" t="str">
        <v>Apr</v>
      </c>
      <c r="D6" s="19" t="str">
        <v>Apr</v>
      </c>
      <c r="E6" s="18" t="str">
        <v>Apr</v>
      </c>
      <c r="F6" s="18" t="str">
        <v>Apr</v>
      </c>
      <c r="G6" s="19" t="str">
        <v>Apr</v>
      </c>
      <c r="H6" s="18" t="str">
        <v>Apr</v>
      </c>
      <c r="I6" s="18" t="str">
        <v>Apr</v>
      </c>
      <c r="J6" s="19" t="str">
        <v>Apr</v>
      </c>
      <c r="K6" s="20" t="s">
        <v>8</v>
      </c>
      <c r="L6" s="20" t="s">
        <v>9</v>
      </c>
      <c r="M6" s="20" t="s">
        <v>10</v>
      </c>
      <c r="N6" s="20" t="s">
        <v>11</v>
      </c>
      <c r="O6" s="20" t="s">
        <v>12</v>
      </c>
      <c r="P6" s="20" t="s">
        <v>13</v>
      </c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22" t="s">
        <v>19</v>
      </c>
      <c r="W6" s="20" t="s">
        <v>8</v>
      </c>
      <c r="X6" s="20" t="s">
        <v>9</v>
      </c>
      <c r="Y6" s="20" t="s">
        <v>10</v>
      </c>
      <c r="Z6" s="20" t="s">
        <v>11</v>
      </c>
      <c r="AA6" s="20" t="s">
        <v>12</v>
      </c>
      <c r="AB6" s="20" t="s">
        <v>13</v>
      </c>
      <c r="AC6" s="20" t="s">
        <v>14</v>
      </c>
      <c r="AD6" s="20" t="s">
        <v>15</v>
      </c>
      <c r="AE6" s="20" t="s">
        <v>16</v>
      </c>
      <c r="AF6" s="20" t="s">
        <v>17</v>
      </c>
      <c r="AG6" s="20" t="s">
        <v>18</v>
      </c>
      <c r="AH6" s="22" t="s">
        <v>19</v>
      </c>
      <c r="AI6" s="20" t="s">
        <v>8</v>
      </c>
      <c r="AJ6" s="20" t="s">
        <v>9</v>
      </c>
      <c r="AK6" s="20" t="s">
        <v>10</v>
      </c>
      <c r="AL6" s="20" t="s">
        <v>11</v>
      </c>
      <c r="AM6" s="20" t="s">
        <v>12</v>
      </c>
      <c r="AN6" s="20" t="s">
        <v>13</v>
      </c>
      <c r="AO6" s="20" t="s">
        <v>14</v>
      </c>
      <c r="AP6" s="20" t="s">
        <v>15</v>
      </c>
      <c r="AQ6" s="20" t="s">
        <v>16</v>
      </c>
      <c r="AR6" s="20" t="s">
        <v>17</v>
      </c>
      <c r="AS6" s="20" t="s">
        <v>18</v>
      </c>
      <c r="AT6" s="20" t="s">
        <v>19</v>
      </c>
    </row>
    <row r="7" spans="1:46" x14ac:dyDescent="0.3">
      <c r="B7" s="18" t="s">
        <v>4</v>
      </c>
      <c r="C7" s="18" t="s">
        <v>4</v>
      </c>
      <c r="D7" s="19" t="s">
        <v>4</v>
      </c>
      <c r="E7" s="18" t="s">
        <v>4</v>
      </c>
      <c r="F7" s="18" t="s">
        <v>4</v>
      </c>
      <c r="G7" s="19" t="s">
        <v>4</v>
      </c>
      <c r="H7" s="18" t="s">
        <v>6</v>
      </c>
      <c r="I7" s="18" t="s">
        <v>6</v>
      </c>
      <c r="J7" s="19" t="s">
        <v>6</v>
      </c>
      <c r="K7" s="20" t="s">
        <v>4</v>
      </c>
      <c r="L7" s="20" t="s">
        <v>4</v>
      </c>
      <c r="M7" s="20" t="s">
        <v>4</v>
      </c>
      <c r="N7" s="20" t="s">
        <v>4</v>
      </c>
      <c r="O7" s="20" t="s">
        <v>4</v>
      </c>
      <c r="P7" s="20" t="s">
        <v>4</v>
      </c>
      <c r="Q7" s="20" t="s">
        <v>4</v>
      </c>
      <c r="R7" s="20" t="s">
        <v>4</v>
      </c>
      <c r="S7" s="20" t="s">
        <v>4</v>
      </c>
      <c r="T7" s="20" t="s">
        <v>4</v>
      </c>
      <c r="U7" s="20" t="s">
        <v>4</v>
      </c>
      <c r="V7" s="20" t="s">
        <v>4</v>
      </c>
      <c r="W7" s="21" t="s">
        <v>4</v>
      </c>
      <c r="X7" s="20" t="s">
        <v>4</v>
      </c>
      <c r="Y7" s="20" t="s">
        <v>4</v>
      </c>
      <c r="Z7" s="20" t="s">
        <v>4</v>
      </c>
      <c r="AA7" s="20" t="s">
        <v>4</v>
      </c>
      <c r="AB7" s="20" t="s">
        <v>4</v>
      </c>
      <c r="AC7" s="20" t="s">
        <v>4</v>
      </c>
      <c r="AD7" s="20" t="s">
        <v>4</v>
      </c>
      <c r="AE7" s="20" t="s">
        <v>4</v>
      </c>
      <c r="AF7" s="20" t="s">
        <v>4</v>
      </c>
      <c r="AG7" s="20" t="s">
        <v>4</v>
      </c>
      <c r="AH7" s="22" t="s">
        <v>4</v>
      </c>
      <c r="AI7" s="20" t="s">
        <v>6</v>
      </c>
      <c r="AJ7" s="20" t="s">
        <v>6</v>
      </c>
      <c r="AK7" s="20" t="s">
        <v>6</v>
      </c>
      <c r="AL7" s="20" t="s">
        <v>6</v>
      </c>
      <c r="AM7" s="20" t="s">
        <v>6</v>
      </c>
      <c r="AN7" s="20" t="s">
        <v>6</v>
      </c>
      <c r="AO7" s="20" t="s">
        <v>6</v>
      </c>
      <c r="AP7" s="20" t="s">
        <v>6</v>
      </c>
      <c r="AQ7" s="20" t="s">
        <v>6</v>
      </c>
      <c r="AR7" s="20" t="s">
        <v>6</v>
      </c>
      <c r="AS7" s="20" t="s">
        <v>6</v>
      </c>
      <c r="AT7" s="20" t="s">
        <v>6</v>
      </c>
    </row>
    <row r="8" spans="1:46" x14ac:dyDescent="0.3">
      <c r="A8" s="23"/>
      <c r="B8" s="24" t="s">
        <v>20</v>
      </c>
      <c r="C8" s="24" t="s">
        <v>21</v>
      </c>
      <c r="D8" s="25" t="s">
        <v>22</v>
      </c>
      <c r="E8" s="24" t="s">
        <v>20</v>
      </c>
      <c r="F8" s="24" t="s">
        <v>21</v>
      </c>
      <c r="G8" s="25" t="s">
        <v>22</v>
      </c>
      <c r="H8" s="24" t="s">
        <v>20</v>
      </c>
      <c r="I8" s="24" t="s">
        <v>21</v>
      </c>
      <c r="J8" s="25" t="s">
        <v>22</v>
      </c>
      <c r="K8" s="26" t="s">
        <v>21</v>
      </c>
      <c r="L8" s="26" t="s">
        <v>21</v>
      </c>
      <c r="M8" s="26" t="s">
        <v>21</v>
      </c>
      <c r="N8" s="26" t="s">
        <v>21</v>
      </c>
      <c r="O8" s="26" t="s">
        <v>21</v>
      </c>
      <c r="P8" s="26" t="s">
        <v>21</v>
      </c>
      <c r="Q8" s="26" t="s">
        <v>21</v>
      </c>
      <c r="R8" s="26" t="s">
        <v>21</v>
      </c>
      <c r="S8" s="26" t="s">
        <v>21</v>
      </c>
      <c r="T8" s="26" t="s">
        <v>21</v>
      </c>
      <c r="U8" s="26" t="s">
        <v>21</v>
      </c>
      <c r="V8" s="26" t="s">
        <v>21</v>
      </c>
      <c r="W8" s="27" t="s">
        <v>21</v>
      </c>
      <c r="X8" s="26" t="s">
        <v>21</v>
      </c>
      <c r="Y8" s="26" t="s">
        <v>21</v>
      </c>
      <c r="Z8" s="26" t="s">
        <v>21</v>
      </c>
      <c r="AA8" s="26" t="s">
        <v>21</v>
      </c>
      <c r="AB8" s="26" t="s">
        <v>21</v>
      </c>
      <c r="AC8" s="26" t="s">
        <v>21</v>
      </c>
      <c r="AD8" s="26" t="s">
        <v>21</v>
      </c>
      <c r="AE8" s="26" t="s">
        <v>21</v>
      </c>
      <c r="AF8" s="26" t="s">
        <v>21</v>
      </c>
      <c r="AG8" s="26" t="s">
        <v>21</v>
      </c>
      <c r="AH8" s="28" t="s">
        <v>21</v>
      </c>
      <c r="AI8" s="26" t="s">
        <v>21</v>
      </c>
      <c r="AJ8" s="26" t="s">
        <v>21</v>
      </c>
      <c r="AK8" s="26" t="s">
        <v>21</v>
      </c>
      <c r="AL8" s="26" t="s">
        <v>21</v>
      </c>
      <c r="AM8" s="26" t="s">
        <v>21</v>
      </c>
      <c r="AN8" s="26" t="s">
        <v>21</v>
      </c>
      <c r="AO8" s="26" t="s">
        <v>21</v>
      </c>
      <c r="AP8" s="26" t="s">
        <v>21</v>
      </c>
      <c r="AQ8" s="26" t="s">
        <v>21</v>
      </c>
      <c r="AR8" s="26" t="s">
        <v>21</v>
      </c>
      <c r="AS8" s="26" t="s">
        <v>21</v>
      </c>
      <c r="AT8" s="26" t="s">
        <v>21</v>
      </c>
    </row>
    <row r="9" spans="1:46" x14ac:dyDescent="0.3">
      <c r="A9" t="s">
        <v>23</v>
      </c>
      <c r="B9">
        <v>162643</v>
      </c>
      <c r="C9">
        <v>9359</v>
      </c>
      <c r="D9" s="14">
        <v>103058</v>
      </c>
      <c r="E9">
        <v>159773</v>
      </c>
      <c r="F9">
        <v>9241</v>
      </c>
      <c r="G9" s="14">
        <v>103723</v>
      </c>
      <c r="H9">
        <v>164760</v>
      </c>
      <c r="I9">
        <v>9443</v>
      </c>
      <c r="J9" s="1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9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3">
      <c r="A10" s="30" t="s">
        <v>24</v>
      </c>
      <c r="B10">
        <v>14432</v>
      </c>
      <c r="C10">
        <v>240</v>
      </c>
      <c r="D10" s="14">
        <v>11099</v>
      </c>
      <c r="E10">
        <v>13699</v>
      </c>
      <c r="F10">
        <v>210</v>
      </c>
      <c r="G10" s="14">
        <v>12058</v>
      </c>
      <c r="H10">
        <v>15113</v>
      </c>
      <c r="I10">
        <v>363</v>
      </c>
      <c r="J10" s="1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9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3">
      <c r="A11" s="30" t="s">
        <v>25</v>
      </c>
      <c r="B11">
        <v>17990</v>
      </c>
      <c r="C11">
        <v>1166</v>
      </c>
      <c r="D11" s="14">
        <v>7137</v>
      </c>
      <c r="E11">
        <v>16395</v>
      </c>
      <c r="F11">
        <v>1003</v>
      </c>
      <c r="G11" s="14">
        <v>7423</v>
      </c>
      <c r="H11">
        <v>18181</v>
      </c>
      <c r="I11">
        <v>1223</v>
      </c>
      <c r="J11" s="1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9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3">
      <c r="A12" s="30" t="s">
        <v>26</v>
      </c>
      <c r="B12">
        <v>15117</v>
      </c>
      <c r="C12">
        <v>1613</v>
      </c>
      <c r="D12" s="14">
        <v>5828</v>
      </c>
      <c r="E12">
        <v>14138</v>
      </c>
      <c r="F12">
        <v>1200</v>
      </c>
      <c r="G12" s="14">
        <v>6212</v>
      </c>
      <c r="H12">
        <v>13455</v>
      </c>
      <c r="I12">
        <v>1400</v>
      </c>
      <c r="J12" s="1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9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3">
      <c r="A13" s="30" t="s">
        <v>27</v>
      </c>
      <c r="B13">
        <v>11154</v>
      </c>
      <c r="C13">
        <v>731</v>
      </c>
      <c r="D13" s="14">
        <v>8008</v>
      </c>
      <c r="E13">
        <v>11502</v>
      </c>
      <c r="F13">
        <v>499</v>
      </c>
      <c r="G13" s="14">
        <v>8953</v>
      </c>
      <c r="H13">
        <v>12031</v>
      </c>
      <c r="I13">
        <v>641</v>
      </c>
      <c r="J13" s="1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9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3">
      <c r="A14" s="30" t="s">
        <v>28</v>
      </c>
      <c r="B14">
        <v>11022</v>
      </c>
      <c r="C14">
        <v>550</v>
      </c>
      <c r="D14" s="14">
        <v>9000</v>
      </c>
      <c r="E14">
        <v>14644</v>
      </c>
      <c r="F14">
        <v>780</v>
      </c>
      <c r="G14" s="14">
        <v>8670</v>
      </c>
      <c r="H14">
        <v>13112</v>
      </c>
      <c r="I14">
        <v>474</v>
      </c>
      <c r="J14" s="1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9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3">
      <c r="A15" s="30" t="s">
        <v>29</v>
      </c>
      <c r="B15">
        <v>8905</v>
      </c>
      <c r="C15">
        <v>469</v>
      </c>
      <c r="D15" s="14">
        <v>6026</v>
      </c>
      <c r="E15">
        <v>8796</v>
      </c>
      <c r="F15">
        <v>316</v>
      </c>
      <c r="G15" s="14">
        <v>6251</v>
      </c>
      <c r="H15">
        <v>9096</v>
      </c>
      <c r="I15">
        <v>620</v>
      </c>
      <c r="J15" s="1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9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3">
      <c r="A16" s="30" t="s">
        <v>30</v>
      </c>
      <c r="B16">
        <v>16735</v>
      </c>
      <c r="C16">
        <v>800</v>
      </c>
      <c r="D16" s="14">
        <v>10149</v>
      </c>
      <c r="E16">
        <v>17503</v>
      </c>
      <c r="F16">
        <v>1083</v>
      </c>
      <c r="G16" s="14">
        <v>10507</v>
      </c>
      <c r="H16">
        <v>18207</v>
      </c>
      <c r="I16">
        <v>1176</v>
      </c>
      <c r="J16" s="1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9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3">
      <c r="A17" s="30" t="s">
        <v>31</v>
      </c>
      <c r="B17">
        <v>3635</v>
      </c>
      <c r="C17">
        <v>96</v>
      </c>
      <c r="D17" s="14">
        <v>2050</v>
      </c>
      <c r="E17">
        <v>2337</v>
      </c>
      <c r="F17">
        <v>90</v>
      </c>
      <c r="G17" s="14">
        <v>1585</v>
      </c>
      <c r="H17">
        <v>3579</v>
      </c>
      <c r="I17">
        <v>184</v>
      </c>
      <c r="J17" s="1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9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3">
      <c r="A18" s="30" t="s">
        <v>32</v>
      </c>
      <c r="B18">
        <v>15627</v>
      </c>
      <c r="C18">
        <v>1996</v>
      </c>
      <c r="D18" s="14">
        <v>9397</v>
      </c>
      <c r="E18">
        <v>15357</v>
      </c>
      <c r="F18">
        <v>1908</v>
      </c>
      <c r="G18" s="14">
        <v>9702</v>
      </c>
      <c r="H18">
        <v>14634</v>
      </c>
      <c r="I18">
        <v>1584</v>
      </c>
      <c r="J18" s="1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9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3">
      <c r="A19" s="30" t="s">
        <v>33</v>
      </c>
      <c r="B19">
        <v>7270</v>
      </c>
      <c r="C19">
        <v>150</v>
      </c>
      <c r="D19" s="14">
        <v>8948</v>
      </c>
      <c r="E19">
        <v>7119</v>
      </c>
      <c r="F19">
        <v>349</v>
      </c>
      <c r="G19" s="14">
        <v>8520</v>
      </c>
      <c r="H19">
        <v>7158</v>
      </c>
      <c r="I19">
        <v>120</v>
      </c>
      <c r="J19" s="1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9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3">
      <c r="A20" t="s">
        <v>34</v>
      </c>
      <c r="B20">
        <v>5955</v>
      </c>
      <c r="C20">
        <v>260</v>
      </c>
      <c r="D20" s="14">
        <v>5931</v>
      </c>
      <c r="E20">
        <v>5612</v>
      </c>
      <c r="F20">
        <v>233</v>
      </c>
      <c r="G20" s="14">
        <v>5128</v>
      </c>
      <c r="H20">
        <v>5977</v>
      </c>
      <c r="I20">
        <v>210</v>
      </c>
      <c r="J20" s="1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9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3">
      <c r="A21" s="30" t="s">
        <v>35</v>
      </c>
      <c r="B21">
        <v>7666</v>
      </c>
      <c r="C21">
        <v>274</v>
      </c>
      <c r="D21" s="14">
        <v>6624</v>
      </c>
      <c r="E21">
        <v>5060</v>
      </c>
      <c r="F21">
        <v>369</v>
      </c>
      <c r="G21" s="14">
        <v>5174</v>
      </c>
      <c r="H21">
        <v>7099</v>
      </c>
      <c r="I21">
        <v>230</v>
      </c>
      <c r="J21" s="1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9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3">
      <c r="A22" s="30" t="s">
        <v>36</v>
      </c>
      <c r="B22">
        <v>10857</v>
      </c>
      <c r="C22">
        <v>281</v>
      </c>
      <c r="D22" s="14">
        <v>4396</v>
      </c>
      <c r="E22">
        <v>10547</v>
      </c>
      <c r="F22">
        <v>281</v>
      </c>
      <c r="G22" s="14">
        <v>4979</v>
      </c>
      <c r="H22">
        <v>10799</v>
      </c>
      <c r="I22">
        <v>333</v>
      </c>
      <c r="J22" s="1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9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3">
      <c r="A23" s="30" t="s">
        <v>37</v>
      </c>
      <c r="B23">
        <v>9873</v>
      </c>
      <c r="C23">
        <v>370</v>
      </c>
      <c r="D23" s="14">
        <v>7076</v>
      </c>
      <c r="E23">
        <v>11069</v>
      </c>
      <c r="F23">
        <v>652</v>
      </c>
      <c r="G23" s="14">
        <v>6853</v>
      </c>
      <c r="H23">
        <v>10500</v>
      </c>
      <c r="I23">
        <v>637</v>
      </c>
      <c r="J23" s="1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9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3">
      <c r="A24" s="30" t="s">
        <v>38</v>
      </c>
      <c r="B24">
        <v>6405</v>
      </c>
      <c r="C24">
        <v>363</v>
      </c>
      <c r="D24" s="14">
        <v>1389</v>
      </c>
      <c r="E24">
        <v>5995</v>
      </c>
      <c r="F24">
        <v>268</v>
      </c>
      <c r="G24" s="14">
        <v>1708</v>
      </c>
      <c r="H24">
        <v>5819</v>
      </c>
      <c r="I24">
        <v>248</v>
      </c>
      <c r="J24" s="1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9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3">
      <c r="A25" t="s">
        <v>39</v>
      </c>
      <c r="B25">
        <v>210616</v>
      </c>
      <c r="C25">
        <v>12324.3</v>
      </c>
      <c r="D25" s="14">
        <v>95902.1</v>
      </c>
      <c r="E25">
        <v>199893.6</v>
      </c>
      <c r="F25">
        <v>9835.9000000000015</v>
      </c>
      <c r="G25" s="14">
        <v>101383.6</v>
      </c>
      <c r="H25">
        <v>198526.40000000002</v>
      </c>
      <c r="I25">
        <v>11343.8</v>
      </c>
      <c r="J25" s="1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9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3">
      <c r="A26" t="s">
        <v>40</v>
      </c>
      <c r="B26">
        <v>11649</v>
      </c>
      <c r="C26">
        <v>802</v>
      </c>
      <c r="D26" s="14">
        <v>5956</v>
      </c>
      <c r="E26">
        <v>10414</v>
      </c>
      <c r="F26">
        <v>536</v>
      </c>
      <c r="G26" s="14">
        <v>6713</v>
      </c>
      <c r="H26">
        <v>10593</v>
      </c>
      <c r="I26">
        <v>554</v>
      </c>
      <c r="J26" s="1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9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3">
      <c r="A27" t="s">
        <v>41</v>
      </c>
      <c r="B27">
        <v>7718</v>
      </c>
      <c r="C27">
        <v>876</v>
      </c>
      <c r="D27" s="14">
        <v>8432</v>
      </c>
      <c r="E27">
        <v>7282</v>
      </c>
      <c r="F27">
        <v>775</v>
      </c>
      <c r="G27" s="14">
        <v>8242</v>
      </c>
      <c r="H27">
        <v>6409</v>
      </c>
      <c r="I27">
        <v>654</v>
      </c>
      <c r="J27" s="1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9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3">
      <c r="A28" t="s">
        <v>42</v>
      </c>
      <c r="B28">
        <v>15033</v>
      </c>
      <c r="C28">
        <v>469</v>
      </c>
      <c r="D28" s="14">
        <v>3512</v>
      </c>
      <c r="E28">
        <v>15064</v>
      </c>
      <c r="F28">
        <v>392</v>
      </c>
      <c r="G28" s="14">
        <v>3488</v>
      </c>
      <c r="H28">
        <v>12724</v>
      </c>
      <c r="I28">
        <v>530</v>
      </c>
      <c r="J28" s="1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9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3">
      <c r="A29" t="s">
        <v>43</v>
      </c>
      <c r="B29">
        <v>21579</v>
      </c>
      <c r="C29">
        <v>920</v>
      </c>
      <c r="D29" s="14">
        <v>7461</v>
      </c>
      <c r="E29">
        <v>20686</v>
      </c>
      <c r="F29">
        <v>653</v>
      </c>
      <c r="G29" s="14">
        <v>8589</v>
      </c>
      <c r="H29">
        <v>20478</v>
      </c>
      <c r="I29">
        <v>658</v>
      </c>
      <c r="J29" s="1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9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3">
      <c r="A30" t="s">
        <v>44</v>
      </c>
      <c r="B30">
        <v>27210.600000000002</v>
      </c>
      <c r="C30">
        <v>2903.4</v>
      </c>
      <c r="D30" s="14">
        <v>10490.4</v>
      </c>
      <c r="E30">
        <v>25448.400000000001</v>
      </c>
      <c r="F30">
        <v>2160</v>
      </c>
      <c r="G30" s="14">
        <v>11181.6</v>
      </c>
      <c r="H30">
        <v>24219</v>
      </c>
      <c r="I30">
        <v>2520</v>
      </c>
      <c r="J30" s="1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9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3">
      <c r="A31" t="s">
        <v>45</v>
      </c>
      <c r="B31">
        <v>18700.5</v>
      </c>
      <c r="C31">
        <v>984.90000000000009</v>
      </c>
      <c r="D31" s="14">
        <v>12654.6</v>
      </c>
      <c r="E31">
        <v>18471.600000000002</v>
      </c>
      <c r="F31">
        <v>663.6</v>
      </c>
      <c r="G31" s="14">
        <v>13127.1</v>
      </c>
      <c r="H31">
        <v>19101.600000000002</v>
      </c>
      <c r="I31">
        <v>1302</v>
      </c>
      <c r="J31" s="1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9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3">
      <c r="A32" t="s">
        <v>46</v>
      </c>
      <c r="B32">
        <v>45315.9</v>
      </c>
      <c r="C32">
        <v>1932</v>
      </c>
      <c r="D32" s="14">
        <v>15668.1</v>
      </c>
      <c r="E32">
        <v>43440.6</v>
      </c>
      <c r="F32">
        <v>1371.3</v>
      </c>
      <c r="G32" s="14">
        <v>18036.900000000001</v>
      </c>
      <c r="H32">
        <v>43003.8</v>
      </c>
      <c r="I32">
        <v>1381.8</v>
      </c>
      <c r="J32" s="1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9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3">
      <c r="A33" t="s">
        <v>47</v>
      </c>
      <c r="B33">
        <v>35980</v>
      </c>
      <c r="C33">
        <v>2332</v>
      </c>
      <c r="D33" s="14">
        <v>14274</v>
      </c>
      <c r="E33">
        <v>32790</v>
      </c>
      <c r="F33">
        <v>2006</v>
      </c>
      <c r="G33" s="14">
        <v>14846</v>
      </c>
      <c r="H33">
        <v>36362</v>
      </c>
      <c r="I33">
        <v>2446</v>
      </c>
      <c r="J33" s="1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9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3">
      <c r="A34" t="s">
        <v>48</v>
      </c>
      <c r="B34">
        <v>7657</v>
      </c>
      <c r="C34">
        <v>276</v>
      </c>
      <c r="D34" s="14">
        <v>5353</v>
      </c>
      <c r="E34">
        <v>5307</v>
      </c>
      <c r="F34">
        <v>170</v>
      </c>
      <c r="G34" s="14">
        <v>4710</v>
      </c>
      <c r="H34">
        <v>6431</v>
      </c>
      <c r="I34">
        <v>179</v>
      </c>
      <c r="J34" s="1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9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3">
      <c r="A35" t="s">
        <v>49</v>
      </c>
      <c r="B35">
        <v>8126</v>
      </c>
      <c r="C35">
        <v>321</v>
      </c>
      <c r="D35" s="14">
        <v>6153</v>
      </c>
      <c r="E35">
        <v>9111</v>
      </c>
      <c r="F35">
        <v>567</v>
      </c>
      <c r="G35" s="14">
        <v>5959</v>
      </c>
      <c r="H35">
        <v>8642</v>
      </c>
      <c r="I35">
        <v>554</v>
      </c>
      <c r="J35" s="1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9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3">
      <c r="A36" t="s">
        <v>50</v>
      </c>
      <c r="B36">
        <v>5272</v>
      </c>
      <c r="C36">
        <v>316</v>
      </c>
      <c r="D36" s="14">
        <v>1207</v>
      </c>
      <c r="E36">
        <v>4934</v>
      </c>
      <c r="F36">
        <v>233</v>
      </c>
      <c r="G36" s="14">
        <v>1485</v>
      </c>
      <c r="H36">
        <v>4789</v>
      </c>
      <c r="I36">
        <v>215</v>
      </c>
      <c r="J36" s="1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9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3">
      <c r="A37" t="s">
        <v>51</v>
      </c>
      <c r="B37">
        <v>6375</v>
      </c>
      <c r="C37">
        <v>192</v>
      </c>
      <c r="D37" s="14">
        <v>4741</v>
      </c>
      <c r="E37">
        <v>6945</v>
      </c>
      <c r="F37">
        <v>309</v>
      </c>
      <c r="G37" s="14">
        <v>5006</v>
      </c>
      <c r="H37">
        <v>5774</v>
      </c>
      <c r="I37">
        <v>350</v>
      </c>
      <c r="J37" s="1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9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3">
      <c r="A38" t="s">
        <v>52</v>
      </c>
      <c r="B38">
        <v>189978.5</v>
      </c>
      <c r="C38">
        <v>8869.2000000000007</v>
      </c>
      <c r="D38" s="14">
        <v>91467.1</v>
      </c>
      <c r="E38">
        <v>187118.2</v>
      </c>
      <c r="F38">
        <v>7865.9000000000005</v>
      </c>
      <c r="G38" s="14">
        <v>97100.299999999988</v>
      </c>
      <c r="H38">
        <v>181464.8</v>
      </c>
      <c r="I38">
        <v>8122.2</v>
      </c>
      <c r="J38" s="1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9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3">
      <c r="A39" s="30" t="s">
        <v>53</v>
      </c>
      <c r="B39">
        <v>6353</v>
      </c>
      <c r="C39">
        <v>762</v>
      </c>
      <c r="D39" s="14">
        <v>7332</v>
      </c>
      <c r="E39">
        <v>5993</v>
      </c>
      <c r="F39">
        <v>674</v>
      </c>
      <c r="G39" s="14">
        <v>7167</v>
      </c>
      <c r="H39">
        <v>5275</v>
      </c>
      <c r="I39">
        <v>568</v>
      </c>
      <c r="J39" s="1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9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3">
      <c r="A40" s="30" t="s">
        <v>54</v>
      </c>
      <c r="B40">
        <v>12373</v>
      </c>
      <c r="C40">
        <v>408</v>
      </c>
      <c r="D40" s="14">
        <v>3054</v>
      </c>
      <c r="E40">
        <v>12398</v>
      </c>
      <c r="F40">
        <v>341</v>
      </c>
      <c r="G40" s="14">
        <v>3033</v>
      </c>
      <c r="H40">
        <v>10472</v>
      </c>
      <c r="I40">
        <v>461</v>
      </c>
      <c r="J40" s="1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9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3">
      <c r="A41" s="30" t="s">
        <v>55</v>
      </c>
      <c r="B41">
        <v>17760</v>
      </c>
      <c r="C41">
        <v>800</v>
      </c>
      <c r="D41" s="14">
        <v>6488</v>
      </c>
      <c r="E41">
        <v>17025</v>
      </c>
      <c r="F41">
        <v>568</v>
      </c>
      <c r="G41" s="14">
        <v>7469</v>
      </c>
      <c r="H41">
        <v>16854</v>
      </c>
      <c r="I41">
        <v>572</v>
      </c>
      <c r="J41" s="1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9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3">
      <c r="A42" s="30" t="s">
        <v>56</v>
      </c>
      <c r="B42">
        <v>30399.599999999999</v>
      </c>
      <c r="C42">
        <v>786.8</v>
      </c>
      <c r="D42" s="14">
        <v>12308.8</v>
      </c>
      <c r="E42">
        <v>29531.599999999999</v>
      </c>
      <c r="F42">
        <v>786.8</v>
      </c>
      <c r="G42" s="14">
        <v>13941.199999999999</v>
      </c>
      <c r="H42">
        <v>30237.199999999997</v>
      </c>
      <c r="I42">
        <v>932.4</v>
      </c>
      <c r="J42" s="1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9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3">
      <c r="A43" s="30" t="s">
        <v>57</v>
      </c>
      <c r="B43">
        <v>20400</v>
      </c>
      <c r="C43">
        <v>614.40000000000009</v>
      </c>
      <c r="D43" s="14">
        <v>15171.2</v>
      </c>
      <c r="E43">
        <v>22224</v>
      </c>
      <c r="F43">
        <v>988.80000000000007</v>
      </c>
      <c r="G43" s="14">
        <v>16019.2</v>
      </c>
      <c r="H43">
        <v>18476.8</v>
      </c>
      <c r="I43">
        <v>1120</v>
      </c>
      <c r="J43" s="1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9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3">
      <c r="A44" s="30" t="s">
        <v>58</v>
      </c>
      <c r="B44">
        <v>21088</v>
      </c>
      <c r="C44">
        <v>1264</v>
      </c>
      <c r="D44" s="14">
        <v>4828</v>
      </c>
      <c r="E44">
        <v>19736</v>
      </c>
      <c r="F44">
        <v>932</v>
      </c>
      <c r="G44" s="14">
        <v>5940</v>
      </c>
      <c r="H44">
        <v>19156</v>
      </c>
      <c r="I44">
        <v>860</v>
      </c>
      <c r="J44" s="1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9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3">
      <c r="A45" t="s">
        <v>59</v>
      </c>
      <c r="B45">
        <v>23736.9</v>
      </c>
      <c r="C45">
        <v>1012.0000000000001</v>
      </c>
      <c r="D45" s="14">
        <v>8207.1</v>
      </c>
      <c r="E45">
        <v>22754.600000000002</v>
      </c>
      <c r="F45">
        <v>718.30000000000007</v>
      </c>
      <c r="G45" s="14">
        <v>9447.9000000000015</v>
      </c>
      <c r="H45">
        <v>22525.800000000003</v>
      </c>
      <c r="I45">
        <v>723.80000000000007</v>
      </c>
      <c r="J45" s="1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9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3">
      <c r="A46" s="30" t="s">
        <v>60</v>
      </c>
      <c r="B46">
        <v>6302</v>
      </c>
      <c r="C46">
        <v>240</v>
      </c>
      <c r="D46" s="14">
        <v>4655</v>
      </c>
      <c r="E46">
        <v>5400</v>
      </c>
      <c r="F46">
        <v>190</v>
      </c>
      <c r="G46" s="14">
        <v>4096</v>
      </c>
      <c r="H46">
        <v>5293</v>
      </c>
      <c r="I46">
        <v>156</v>
      </c>
      <c r="J46" s="1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9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3">
      <c r="A47" s="30" t="s">
        <v>61</v>
      </c>
      <c r="B47">
        <v>10675</v>
      </c>
      <c r="C47">
        <v>128</v>
      </c>
      <c r="D47" s="14">
        <v>8210</v>
      </c>
      <c r="E47">
        <v>10133</v>
      </c>
      <c r="F47">
        <v>89</v>
      </c>
      <c r="G47" s="14">
        <v>8179</v>
      </c>
      <c r="H47">
        <v>11178</v>
      </c>
      <c r="I47">
        <v>190</v>
      </c>
      <c r="J47" s="1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9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3">
      <c r="A48" s="30" t="s">
        <v>62</v>
      </c>
      <c r="B48">
        <v>13307</v>
      </c>
      <c r="C48">
        <v>862</v>
      </c>
      <c r="D48" s="14">
        <v>5279</v>
      </c>
      <c r="E48">
        <v>12127</v>
      </c>
      <c r="F48">
        <v>742</v>
      </c>
      <c r="G48" s="14">
        <v>5491</v>
      </c>
      <c r="H48">
        <v>13448</v>
      </c>
      <c r="I48">
        <v>905</v>
      </c>
      <c r="J48" s="1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9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3">
      <c r="A49" s="30" t="s">
        <v>63</v>
      </c>
      <c r="B49">
        <v>11182</v>
      </c>
      <c r="C49">
        <v>1193</v>
      </c>
      <c r="D49" s="14">
        <v>4311</v>
      </c>
      <c r="E49">
        <v>10457</v>
      </c>
      <c r="F49">
        <v>890</v>
      </c>
      <c r="G49" s="14">
        <v>4595</v>
      </c>
      <c r="H49">
        <v>9952</v>
      </c>
      <c r="I49">
        <v>810</v>
      </c>
      <c r="J49" s="1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9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3">
      <c r="A50" s="30" t="s">
        <v>64</v>
      </c>
      <c r="B50">
        <v>8250</v>
      </c>
      <c r="C50">
        <v>541</v>
      </c>
      <c r="D50" s="14">
        <v>5923</v>
      </c>
      <c r="E50">
        <v>8507</v>
      </c>
      <c r="F50">
        <v>369</v>
      </c>
      <c r="G50" s="14">
        <v>6622</v>
      </c>
      <c r="H50">
        <v>8899</v>
      </c>
      <c r="I50">
        <v>474</v>
      </c>
      <c r="J50" s="1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9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3">
      <c r="A51" s="30" t="s">
        <v>65</v>
      </c>
      <c r="B51">
        <v>8152</v>
      </c>
      <c r="C51">
        <v>258</v>
      </c>
      <c r="D51" s="14">
        <v>5700</v>
      </c>
      <c r="E51">
        <v>10832</v>
      </c>
      <c r="F51">
        <v>577</v>
      </c>
      <c r="G51" s="14">
        <v>5100</v>
      </c>
      <c r="H51">
        <v>9698</v>
      </c>
      <c r="I51">
        <v>350</v>
      </c>
      <c r="J51" s="1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9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8B-9D5E-4757-A098-37FE4192BC20}">
  <sheetPr codeName="Sheet3"/>
  <dimension ref="A2:AV44"/>
  <sheetViews>
    <sheetView zoomScale="48" zoomScaleNormal="100" workbookViewId="0">
      <selection activeCell="AH28" sqref="AH28"/>
    </sheetView>
  </sheetViews>
  <sheetFormatPr defaultRowHeight="14.4" x14ac:dyDescent="0.3"/>
  <cols>
    <col min="1" max="1" width="8.77734375" style="30"/>
    <col min="2" max="2" width="26.44140625" style="30" bestFit="1" customWidth="1"/>
    <col min="3" max="3" width="15.109375" style="30" bestFit="1" customWidth="1"/>
    <col min="4" max="4" width="8" style="30" bestFit="1" customWidth="1"/>
    <col min="5" max="5" width="2.5546875" style="30" customWidth="1"/>
    <col min="6" max="6" width="15.109375" style="30" bestFit="1" customWidth="1"/>
    <col min="7" max="7" width="10.109375" style="30" bestFit="1" customWidth="1"/>
    <col min="8" max="8" width="10.44140625" style="30" bestFit="1" customWidth="1"/>
    <col min="9" max="9" width="28.21875" style="30" bestFit="1" customWidth="1"/>
    <col min="10" max="10" width="6" bestFit="1" customWidth="1"/>
    <col min="11" max="11" width="16.77734375" customWidth="1"/>
    <col min="12" max="12" width="14.6640625" customWidth="1"/>
    <col min="13" max="13" width="11.44140625" customWidth="1"/>
    <col min="14" max="14" width="17.77734375" bestFit="1" customWidth="1"/>
    <col min="17" max="17" width="18.6640625" bestFit="1" customWidth="1"/>
    <col min="18" max="18" width="21.44140625" bestFit="1" customWidth="1"/>
    <col min="21" max="22" width="12" bestFit="1" customWidth="1"/>
    <col min="24" max="24" width="12" bestFit="1" customWidth="1"/>
    <col min="28" max="28" width="12.5546875" bestFit="1" customWidth="1"/>
    <col min="29" max="29" width="8.88671875" style="51"/>
    <col min="31" max="31" width="17.5546875" bestFit="1" customWidth="1"/>
    <col min="35" max="35" width="23.21875" bestFit="1" customWidth="1"/>
    <col min="37" max="37" width="16.6640625" customWidth="1"/>
    <col min="42" max="42" width="17" bestFit="1" customWidth="1"/>
  </cols>
  <sheetData>
    <row r="2" spans="2:47" x14ac:dyDescent="0.3">
      <c r="B2" s="31" t="s">
        <v>66</v>
      </c>
      <c r="C2" s="31"/>
      <c r="D2" s="31"/>
    </row>
    <row r="4" spans="2:47" x14ac:dyDescent="0.3">
      <c r="B4" s="30" t="s">
        <v>67</v>
      </c>
      <c r="D4" s="32">
        <v>1</v>
      </c>
      <c r="K4" t="str">
        <f ca="1">_xlfn.FORMULATEXT(K14)</f>
        <v>=IF(INDEX(F14:H28,1,$D$4)="","",INDEX(F14:H28,1,$D$4))</v>
      </c>
    </row>
    <row r="5" spans="2:47" x14ac:dyDescent="0.3">
      <c r="B5" t="s">
        <v>68</v>
      </c>
      <c r="D5" s="32">
        <v>1</v>
      </c>
    </row>
    <row r="6" spans="2:47" x14ac:dyDescent="0.3">
      <c r="B6" t="s">
        <v>69</v>
      </c>
      <c r="D6" s="32">
        <v>3</v>
      </c>
      <c r="H6" s="33"/>
      <c r="I6" s="33"/>
    </row>
    <row r="7" spans="2:47" x14ac:dyDescent="0.3">
      <c r="B7" t="s">
        <v>70</v>
      </c>
      <c r="D7" s="32">
        <v>2</v>
      </c>
      <c r="L7" s="37" t="str">
        <f t="shared" ref="L7:T7" si="0">L8&amp;L9&amp;L10&amp;L11</f>
        <v>2023AprActualRevenue</v>
      </c>
      <c r="M7" s="37" t="str">
        <f t="shared" si="0"/>
        <v>2023AprActualProfit</v>
      </c>
      <c r="N7" s="37" t="str">
        <f t="shared" si="0"/>
        <v>2023AprActualCash</v>
      </c>
      <c r="O7" s="37" t="str">
        <f t="shared" si="0"/>
        <v>2022AprActualRevenue</v>
      </c>
      <c r="P7" s="37" t="str">
        <f t="shared" si="0"/>
        <v>2022AprActualProfit</v>
      </c>
      <c r="Q7" s="37" t="str">
        <f t="shared" si="0"/>
        <v>2022AprActualCash</v>
      </c>
      <c r="R7" s="37" t="str">
        <f t="shared" si="0"/>
        <v>2023AprBudgetRevenue</v>
      </c>
      <c r="S7" s="37" t="str">
        <f t="shared" si="0"/>
        <v>2023AprBudgetProfit</v>
      </c>
      <c r="T7" s="37" t="str">
        <f t="shared" si="0"/>
        <v>2023AprBudgetCash</v>
      </c>
      <c r="AA7" t="str">
        <f ca="1">_xlfn.FORMULATEXT(AB14)</f>
        <v>=K14</v>
      </c>
      <c r="AC7" s="51" t="str">
        <f ca="1">_xlfn.FORMULATEXT(AC14)</f>
        <v>=INDEX($U$14:$W$28,MATCH(AB14,$K$14:$K$28,0),MATCH(AC$13,$U$13:$W$13,0))</v>
      </c>
    </row>
    <row r="8" spans="2:47" x14ac:dyDescent="0.3">
      <c r="B8" t="s">
        <v>71</v>
      </c>
      <c r="D8" s="32"/>
      <c r="I8" t="str">
        <f ca="1">_xlfn.FORMULATEXT(J14)</f>
        <v>=IF(K14="","",ROWS($H$14:H14))</v>
      </c>
      <c r="L8" s="37">
        <f>Current_year</f>
        <v>2023</v>
      </c>
      <c r="M8" s="37">
        <f>Current_year</f>
        <v>2023</v>
      </c>
      <c r="N8" s="37">
        <f>Current_year</f>
        <v>2023</v>
      </c>
      <c r="O8" s="37">
        <f>Current_year-1</f>
        <v>2022</v>
      </c>
      <c r="P8" s="37">
        <f>Current_year-1</f>
        <v>2022</v>
      </c>
      <c r="Q8" s="37">
        <f>Current_year-1</f>
        <v>2022</v>
      </c>
      <c r="R8" s="37">
        <f>Current_year</f>
        <v>2023</v>
      </c>
      <c r="S8" s="37">
        <f>Current_year</f>
        <v>2023</v>
      </c>
      <c r="T8" s="37">
        <f>Current_year</f>
        <v>2023</v>
      </c>
    </row>
    <row r="9" spans="2:47" x14ac:dyDescent="0.3">
      <c r="B9" t="s">
        <v>72</v>
      </c>
      <c r="D9" s="32" t="b">
        <v>1</v>
      </c>
      <c r="L9" s="37" t="str">
        <f t="shared" ref="L9:T9" si="1">Current_month</f>
        <v>Apr</v>
      </c>
      <c r="M9" s="37" t="str">
        <f t="shared" si="1"/>
        <v>Apr</v>
      </c>
      <c r="N9" s="37" t="str">
        <f t="shared" si="1"/>
        <v>Apr</v>
      </c>
      <c r="O9" s="37" t="str">
        <f t="shared" si="1"/>
        <v>Apr</v>
      </c>
      <c r="P9" s="37" t="str">
        <f t="shared" si="1"/>
        <v>Apr</v>
      </c>
      <c r="Q9" s="37" t="str">
        <f t="shared" si="1"/>
        <v>Apr</v>
      </c>
      <c r="R9" s="37" t="str">
        <f t="shared" si="1"/>
        <v>Apr</v>
      </c>
      <c r="S9" s="37" t="str">
        <f t="shared" si="1"/>
        <v>Apr</v>
      </c>
      <c r="T9" s="37" t="str">
        <f t="shared" si="1"/>
        <v>Apr</v>
      </c>
    </row>
    <row r="10" spans="2:47" x14ac:dyDescent="0.3">
      <c r="B10" t="s">
        <v>73</v>
      </c>
      <c r="D10" s="32" t="b">
        <v>1</v>
      </c>
      <c r="L10" s="37" t="s">
        <v>4</v>
      </c>
      <c r="M10" s="37" t="s">
        <v>4</v>
      </c>
      <c r="N10" s="37" t="s">
        <v>4</v>
      </c>
      <c r="O10" s="37" t="s">
        <v>4</v>
      </c>
      <c r="P10" s="37" t="s">
        <v>4</v>
      </c>
      <c r="Q10" s="37" t="s">
        <v>4</v>
      </c>
      <c r="R10" s="37" t="s">
        <v>6</v>
      </c>
      <c r="S10" s="37" t="s">
        <v>6</v>
      </c>
      <c r="T10" s="37" t="s">
        <v>6</v>
      </c>
    </row>
    <row r="11" spans="2:47" ht="15" thickBot="1" x14ac:dyDescent="0.35">
      <c r="L11" s="37" t="s">
        <v>20</v>
      </c>
      <c r="M11" s="37" t="s">
        <v>21</v>
      </c>
      <c r="N11" s="37" t="s">
        <v>22</v>
      </c>
      <c r="O11" s="37" t="s">
        <v>20</v>
      </c>
      <c r="P11" s="37" t="s">
        <v>21</v>
      </c>
      <c r="Q11" s="37" t="s">
        <v>22</v>
      </c>
      <c r="R11" s="37" t="s">
        <v>20</v>
      </c>
      <c r="S11" s="37" t="s">
        <v>21</v>
      </c>
      <c r="T11" s="37" t="s">
        <v>22</v>
      </c>
      <c r="AE11" t="str">
        <f>CHOOSE($D$7,"Top 5","Bottom 5")&amp;" Selected based on % of Budget achieve"</f>
        <v>Bottom 5 Selected based on % of Budget achieve</v>
      </c>
    </row>
    <row r="12" spans="2:47" ht="15" thickBot="1" x14ac:dyDescent="0.35">
      <c r="B12" s="31" t="s">
        <v>74</v>
      </c>
      <c r="C12" s="34"/>
      <c r="D12" s="34"/>
      <c r="F12" s="31" t="s">
        <v>75</v>
      </c>
      <c r="G12" s="31"/>
      <c r="H12" s="31"/>
      <c r="L12" s="101" t="s">
        <v>78</v>
      </c>
      <c r="M12" s="101"/>
      <c r="N12" s="101"/>
      <c r="O12" s="101" t="s">
        <v>79</v>
      </c>
      <c r="P12" s="101"/>
      <c r="Q12" s="101"/>
      <c r="R12" s="102" t="s">
        <v>80</v>
      </c>
      <c r="S12" s="102"/>
      <c r="T12" s="102"/>
      <c r="U12" s="103" t="s">
        <v>83</v>
      </c>
      <c r="V12" s="104"/>
      <c r="W12" s="105"/>
      <c r="X12" s="106" t="s">
        <v>82</v>
      </c>
      <c r="Y12" s="107"/>
      <c r="Z12" s="108"/>
      <c r="AE12" t="s">
        <v>84</v>
      </c>
      <c r="AF12" t="s">
        <v>4</v>
      </c>
      <c r="AG12" t="s">
        <v>6</v>
      </c>
      <c r="AK12" s="65" t="str">
        <f>INDEX(F14:H28,D5,$D$4)</f>
        <v>WenCaL</v>
      </c>
      <c r="AP12" s="65" t="str">
        <f>"Profit for "&amp; AK12</f>
        <v>Profit for WenCaL</v>
      </c>
    </row>
    <row r="13" spans="2:47" ht="15" thickBot="1" x14ac:dyDescent="0.35">
      <c r="B13" s="30" t="s">
        <v>8</v>
      </c>
      <c r="C13" s="30" t="s">
        <v>23</v>
      </c>
      <c r="D13" s="30" t="s">
        <v>20</v>
      </c>
      <c r="F13" s="35" t="str">
        <f t="array" ref="F13:H13">TRANSPOSE(C13:C15)</f>
        <v>Productivity Apps</v>
      </c>
      <c r="G13" s="36" t="str">
        <v>Game Apps</v>
      </c>
      <c r="H13" s="36" t="str">
        <v>Utility Apps</v>
      </c>
      <c r="J13" s="39" t="s">
        <v>76</v>
      </c>
      <c r="K13" s="40" t="s">
        <v>77</v>
      </c>
      <c r="L13" s="39" t="s">
        <v>20</v>
      </c>
      <c r="M13" s="45" t="s">
        <v>21</v>
      </c>
      <c r="N13" s="40" t="s">
        <v>22</v>
      </c>
      <c r="O13" s="39" t="s">
        <v>20</v>
      </c>
      <c r="P13" s="45" t="s">
        <v>21</v>
      </c>
      <c r="Q13" s="40" t="s">
        <v>22</v>
      </c>
      <c r="R13" s="39" t="s">
        <v>20</v>
      </c>
      <c r="S13" s="45" t="s">
        <v>21</v>
      </c>
      <c r="T13" s="45" t="s">
        <v>22</v>
      </c>
      <c r="U13" s="39" t="s">
        <v>20</v>
      </c>
      <c r="V13" s="45" t="s">
        <v>21</v>
      </c>
      <c r="W13" s="45" t="s">
        <v>22</v>
      </c>
      <c r="X13" s="39" t="s">
        <v>20</v>
      </c>
      <c r="Y13" s="45" t="s">
        <v>21</v>
      </c>
      <c r="Z13" s="40" t="s">
        <v>22</v>
      </c>
      <c r="AB13" s="40" t="s">
        <v>77</v>
      </c>
      <c r="AC13" s="64" t="str">
        <f>CHOOSE(D6,"Revenue","Profit","Cash")</f>
        <v>Cash</v>
      </c>
      <c r="AE13" s="40" t="s">
        <v>77</v>
      </c>
      <c r="AF13" s="40" t="str">
        <f>CHOOSE(D6,"Revenue","Profit","Cash")</f>
        <v>Cash</v>
      </c>
      <c r="AG13" s="40" t="str">
        <f>CHOOSE(D6,"Revenue","Profit","Cash")</f>
        <v>Cash</v>
      </c>
      <c r="AH13" t="s">
        <v>87</v>
      </c>
      <c r="AL13">
        <v>2023</v>
      </c>
      <c r="AM13">
        <f>AL13-1</f>
        <v>2022</v>
      </c>
      <c r="AN13">
        <v>2023</v>
      </c>
      <c r="AQ13">
        <v>2023</v>
      </c>
      <c r="AR13">
        <f>AQ13-1</f>
        <v>2022</v>
      </c>
      <c r="AS13">
        <v>2023</v>
      </c>
    </row>
    <row r="14" spans="2:47" x14ac:dyDescent="0.3">
      <c r="B14" s="30" t="s">
        <v>9</v>
      </c>
      <c r="C14" s="30" t="s">
        <v>39</v>
      </c>
      <c r="D14" s="30" t="s">
        <v>21</v>
      </c>
      <c r="F14" s="30" t="s">
        <v>24</v>
      </c>
      <c r="G14" s="29" t="s">
        <v>40</v>
      </c>
      <c r="H14" s="29" t="s">
        <v>53</v>
      </c>
      <c r="J14" s="41">
        <f>IF(K14="","",ROWS($H$14:H14))</f>
        <v>1</v>
      </c>
      <c r="K14" s="42" t="str">
        <f>IF(INDEX(F14:H28,1,$D$4)="","",INDEX(F14:H28,1,$D$4))</f>
        <v>WenCaL</v>
      </c>
      <c r="L14" s="41">
        <f>IF(K14="","",INDEX('raw data'!$B$9:$J$51,MATCH(support!$K14,'raw data'!$A$9:$A$51,0),MATCH(support!L$7,'raw data'!$B$4:$J$4,0)))</f>
        <v>14432</v>
      </c>
      <c r="M14" s="38">
        <f>IF(L14="","",INDEX('raw data'!$B$9:$J$51,MATCH(support!$K14,'raw data'!$A$9:$A$51,0),MATCH(support!M$7,'raw data'!$B$4:$J$4,0)))</f>
        <v>240</v>
      </c>
      <c r="N14" s="42">
        <f>IF(M14="","",INDEX('raw data'!$B$9:$J$51,MATCH(support!$K14,'raw data'!$A$9:$A$51,0),MATCH(support!N$7,'raw data'!$B$4:$J$4,0)))</f>
        <v>11099</v>
      </c>
      <c r="O14" s="41">
        <f>IF(N14="","",INDEX('raw data'!$B$9:$J$51,MATCH(support!$K14,'raw data'!$A$9:$A$51,0),MATCH(support!O$7,'raw data'!$B$4:$J$4,0)))</f>
        <v>13699</v>
      </c>
      <c r="P14" s="38">
        <f>IF(O14="","",INDEX('raw data'!$B$9:$J$51,MATCH(support!$K14,'raw data'!$A$9:$A$51,0),MATCH(support!P$7,'raw data'!$B$4:$J$4,0)))</f>
        <v>210</v>
      </c>
      <c r="Q14" s="42">
        <f>IF(P14="","",INDEX('raw data'!$B$9:$J$51,MATCH(support!$K14,'raw data'!$A$9:$A$51,0),MATCH(support!Q$7,'raw data'!$B$4:$J$4,0)))</f>
        <v>12058</v>
      </c>
      <c r="R14" s="41">
        <f>IF(Q14="","",INDEX('raw data'!$B$9:$J$51,MATCH(support!$K14,'raw data'!$A$9:$A$51,0),MATCH(support!R$7,'raw data'!$B$4:$J$4,0)))</f>
        <v>15113</v>
      </c>
      <c r="S14" s="38">
        <f>IF(R14="","",INDEX('raw data'!$B$9:$J$51,MATCH(support!$K14,'raw data'!$A$9:$A$51,0),MATCH(support!S$7,'raw data'!$B$4:$J$4,0)))</f>
        <v>363</v>
      </c>
      <c r="T14" s="38">
        <f>IF(S14="","",INDEX('raw data'!$B$9:$J$51,MATCH(support!$K14,'raw data'!$A$9:$A$51,0),MATCH(support!T$7,'raw data'!$B$4:$J$4,0)))</f>
        <v>11468</v>
      </c>
      <c r="U14" s="55">
        <f>IF(K14="","",(L14-O14)/O14)</f>
        <v>5.3507555296007009E-2</v>
      </c>
      <c r="V14" s="56">
        <f>IF(L14="","",(M14-P14)/P14)</f>
        <v>0.14285714285714285</v>
      </c>
      <c r="W14" s="56">
        <f>IF(M14="","",(N14-Q14)/Q14)</f>
        <v>-7.9532260739757832E-2</v>
      </c>
      <c r="X14" s="52">
        <f>IF(K14="","",(L14-R14)/R14)</f>
        <v>-4.5060543902600413E-2</v>
      </c>
      <c r="Y14" s="53">
        <f t="shared" ref="Y14:Z14" si="2">IF(L14="","",(M14-S14)/S14)</f>
        <v>-0.33884297520661155</v>
      </c>
      <c r="Z14" s="54">
        <f t="shared" si="2"/>
        <v>-3.2176491105685386E-2</v>
      </c>
      <c r="AB14" t="str">
        <f>K14</f>
        <v>WenCaL</v>
      </c>
      <c r="AC14" s="51">
        <f>INDEX($U$14:$W$28,MATCH(AB14,$K$14:$K$28,0),MATCH(AC$13,$U$13:$W$13,0))</f>
        <v>-7.9532260739757832E-2</v>
      </c>
      <c r="AE14" t="str">
        <f>INDEX($AB$14:$AB$28,MATCH(CHOOSE($D$7,LARGE($AC$14:$AC$28,ROWS($AM$14:AM14)),SMALL($AC$14:$AC$28,ROWS($AQ$14:AQ14))),$AC$14:$AC$28,0),1)</f>
        <v>Didactic</v>
      </c>
      <c r="AF14">
        <f>INDEX($L$14:$N$28,MATCH(AE14,$K$14:$K$28,0),MATCH(AF$13,$L$13:$N$13,0))</f>
        <v>1389</v>
      </c>
      <c r="AG14">
        <f>INDEX($R$14:$T$28,MATCH(AE14,$K$14:$K$28,0),MATCH(AG$13,$R$13:$T$13,0))</f>
        <v>2226</v>
      </c>
      <c r="AH14">
        <f>MAX(AF14:AG14)</f>
        <v>2226</v>
      </c>
      <c r="AI14" t="str">
        <f>AF14&amp;" | " &amp;TEXT(INDEX($AC$14:$AC$28,MATCH(AE14,$AB$14:$AB$28,0),1),"0%")</f>
        <v>1389 | -19%</v>
      </c>
      <c r="AK14" s="40" t="s">
        <v>88</v>
      </c>
      <c r="AL14" s="40" t="s">
        <v>89</v>
      </c>
      <c r="AM14" s="40" t="s">
        <v>90</v>
      </c>
      <c r="AN14" s="40" t="s">
        <v>6</v>
      </c>
      <c r="AP14" s="40" t="s">
        <v>88</v>
      </c>
      <c r="AQ14" s="40" t="s">
        <v>89</v>
      </c>
      <c r="AR14" s="40" t="s">
        <v>90</v>
      </c>
      <c r="AS14" s="40" t="s">
        <v>6</v>
      </c>
    </row>
    <row r="15" spans="2:47" x14ac:dyDescent="0.3">
      <c r="B15" s="30" t="s">
        <v>10</v>
      </c>
      <c r="C15" s="30" t="s">
        <v>52</v>
      </c>
      <c r="D15" s="30" t="s">
        <v>22</v>
      </c>
      <c r="F15" s="30" t="s">
        <v>25</v>
      </c>
      <c r="G15" s="29" t="s">
        <v>41</v>
      </c>
      <c r="H15" s="29" t="s">
        <v>54</v>
      </c>
      <c r="J15" s="41">
        <f>IF(K15="","",ROWS($H$14:H15))</f>
        <v>2</v>
      </c>
      <c r="K15" s="42" t="str">
        <f t="shared" ref="K15:K25" si="3">IF(INDEX(F15:H29,1,$D$4)="","",INDEX(F15:H29,1,$D$4))</f>
        <v>Blend</v>
      </c>
      <c r="L15" s="41">
        <f>IF(K15="","",INDEX('raw data'!$B$9:$J$51,MATCH(support!$K15,'raw data'!$A$9:$A$51,0),MATCH(support!L$7,'raw data'!$B$4:$J$4,0)))</f>
        <v>17990</v>
      </c>
      <c r="M15" s="38">
        <f>IF(L15="","",INDEX('raw data'!$B$9:$J$51,MATCH(support!$K15,'raw data'!$A$9:$A$51,0),MATCH(support!M$7,'raw data'!$B$4:$J$4,0)))</f>
        <v>1166</v>
      </c>
      <c r="N15" s="42">
        <f>IF(M15="","",INDEX('raw data'!$B$9:$J$51,MATCH(support!$K15,'raw data'!$A$9:$A$51,0),MATCH(support!N$7,'raw data'!$B$4:$J$4,0)))</f>
        <v>7137</v>
      </c>
      <c r="O15" s="41">
        <f>IF(N15="","",INDEX('raw data'!$B$9:$J$51,MATCH(support!$K15,'raw data'!$A$9:$A$51,0),MATCH(support!O$7,'raw data'!$B$4:$J$4,0)))</f>
        <v>16395</v>
      </c>
      <c r="P15" s="38">
        <f>IF(O15="","",INDEX('raw data'!$B$9:$J$51,MATCH(support!$K15,'raw data'!$A$9:$A$51,0),MATCH(support!P$7,'raw data'!$B$4:$J$4,0)))</f>
        <v>1003</v>
      </c>
      <c r="Q15" s="42">
        <f>IF(P15="","",INDEX('raw data'!$B$9:$J$51,MATCH(support!$K15,'raw data'!$A$9:$A$51,0),MATCH(support!Q$7,'raw data'!$B$4:$J$4,0)))</f>
        <v>7423</v>
      </c>
      <c r="R15" s="41">
        <f>IF(Q15="","",INDEX('raw data'!$B$9:$J$51,MATCH(support!$K15,'raw data'!$A$9:$A$51,0),MATCH(support!R$7,'raw data'!$B$4:$J$4,0)))</f>
        <v>18181</v>
      </c>
      <c r="S15" s="38">
        <f>IF(R15="","",INDEX('raw data'!$B$9:$J$51,MATCH(support!$K15,'raw data'!$A$9:$A$51,0),MATCH(support!S$7,'raw data'!$B$4:$J$4,0)))</f>
        <v>1223</v>
      </c>
      <c r="T15" s="38">
        <f>IF(S15="","",INDEX('raw data'!$B$9:$J$51,MATCH(support!$K15,'raw data'!$A$9:$A$51,0),MATCH(support!T$7,'raw data'!$B$4:$J$4,0)))</f>
        <v>8196</v>
      </c>
      <c r="U15" s="55">
        <f t="shared" ref="U15:U28" si="4">IF(K15="","",(L15-O15)/O15)</f>
        <v>9.728575785300396E-2</v>
      </c>
      <c r="V15" s="56">
        <f t="shared" ref="V15:V28" si="5">IF(L15="","",(M15-P15)/P15)</f>
        <v>0.16251246261216351</v>
      </c>
      <c r="W15" s="56">
        <f t="shared" ref="W15:W28" si="6">IF(M15="","",(N15-Q15)/Q15)</f>
        <v>-3.8528896672504379E-2</v>
      </c>
      <c r="X15" s="55">
        <f t="shared" ref="X15:X28" si="7">IF(K15="","",(L15-R15)/R15)</f>
        <v>-1.0505472746273583E-2</v>
      </c>
      <c r="Y15" s="56">
        <f t="shared" ref="Y15:Y28" si="8">IF(L15="","",(M15-S15)/S15)</f>
        <v>-4.6606704824202781E-2</v>
      </c>
      <c r="Z15" s="57">
        <f t="shared" ref="Z15:Z28" si="9">IF(M15="","",(N15-T15)/T15)</f>
        <v>-0.12920937042459738</v>
      </c>
      <c r="AB15" t="str">
        <f t="shared" ref="AB15:AB28" si="10">K15</f>
        <v>Blend</v>
      </c>
      <c r="AC15" s="51">
        <f t="shared" ref="AC15:AC28" si="11">INDEX($U$14:$W$28,MATCH(AB15,$K$14:$K$28,0),MATCH(AC$13,$U$13:$W$13,0))</f>
        <v>-3.8528896672504379E-2</v>
      </c>
      <c r="AE15" t="str">
        <f>INDEX($AB$14:$AB$28,MATCH(CHOOSE($D$7,LARGE($AC$14:$AC$28,ROWS($AM$14:AM15)),SMALL($AC$14:$AC$28,ROWS($AQ$14:AQ15))),$AC$14:$AC$28,0),1)</f>
        <v>Dasring</v>
      </c>
      <c r="AF15">
        <f t="shared" ref="AF15:AF18" si="12">INDEX($L$14:$N$28,MATCH(AE15,$K$14:$K$28,0),MATCH(AF$13,$L$13:$N$13,0))</f>
        <v>4396</v>
      </c>
      <c r="AG15">
        <f t="shared" ref="AG15:AG18" si="13">INDEX($R$14:$T$28,MATCH(AE15,$K$14:$K$28,0),MATCH(AG$13,$R$13:$T$13,0))</f>
        <v>4779</v>
      </c>
      <c r="AH15">
        <f t="shared" ref="AH15:AH18" si="14">MAX(AF15:AG15)</f>
        <v>4779</v>
      </c>
      <c r="AI15" t="str">
        <f>AF15&amp;" | " &amp;TEXT(INDEX($AC$14:$AC$28,MATCH(AE15,$AB$14:$AB$28,0),1),"0%")</f>
        <v>4396 | -12%</v>
      </c>
      <c r="AK15" t="s">
        <v>8</v>
      </c>
      <c r="AL15" s="73">
        <f>IF(INDEX('raw data'!$K$9:$V$51,MATCH(support!$AK$12,'raw data'!$A$9:$A$51,0),MATCH(support!AK15,'raw data'!$K$6:$V$6,0))=0,NA(),INDEX('raw data'!$K$9:$V$51,MATCH(support!$AK$12,'raw data'!$A$9:$A$51,0),MATCH(support!AK15,'raw data'!$K$6:$V$6,0)))</f>
        <v>23</v>
      </c>
      <c r="AM15" s="73">
        <f>INDEX('raw data'!$W$9:$AH$51,MATCH(support!$AK$12,'raw data'!$A$9:$A$51,0),MATCH(support!AK15,'raw data'!$W$6:$AH$6,0))</f>
        <v>22</v>
      </c>
      <c r="AN15" s="73">
        <f>INDEX('raw data'!$AI$9:$AT$51,MATCH(support!$AK$12,'raw data'!$A$9:$A$51,0),MATCH(support!AK15,'raw data'!$AI$6:$AT$6,0))</f>
        <v>49</v>
      </c>
      <c r="AP15" t="s">
        <v>8</v>
      </c>
      <c r="AQ15" s="72">
        <f>IF(MATCH(Current_month,$AK$15:$AK$26,0)&gt;=ROWS($AK$15:AK15),AL15,NA())</f>
        <v>23</v>
      </c>
      <c r="AR15">
        <f>IF($D$9,AM15,NA())</f>
        <v>22</v>
      </c>
      <c r="AS15">
        <f>IF($D$10,AN15,NA())</f>
        <v>49</v>
      </c>
      <c r="AU15" t="str">
        <f>Current_month</f>
        <v>Apr</v>
      </c>
    </row>
    <row r="16" spans="2:47" x14ac:dyDescent="0.3">
      <c r="B16" s="30" t="s">
        <v>11</v>
      </c>
      <c r="F16" s="30" t="s">
        <v>26</v>
      </c>
      <c r="G16" s="29" t="s">
        <v>42</v>
      </c>
      <c r="H16" s="29" t="s">
        <v>55</v>
      </c>
      <c r="J16" s="41">
        <f>IF(K16="","",ROWS($H$14:H16))</f>
        <v>3</v>
      </c>
      <c r="K16" s="42" t="str">
        <f t="shared" si="3"/>
        <v>Voltage</v>
      </c>
      <c r="L16" s="41">
        <f>IF(K16="","",INDEX('raw data'!$B$9:$J$51,MATCH(support!$K16,'raw data'!$A$9:$A$51,0),MATCH(support!L$7,'raw data'!$B$4:$J$4,0)))</f>
        <v>15117</v>
      </c>
      <c r="M16" s="38">
        <f>IF(L16="","",INDEX('raw data'!$B$9:$J$51,MATCH(support!$K16,'raw data'!$A$9:$A$51,0),MATCH(support!M$7,'raw data'!$B$4:$J$4,0)))</f>
        <v>1613</v>
      </c>
      <c r="N16" s="42">
        <f>IF(M16="","",INDEX('raw data'!$B$9:$J$51,MATCH(support!$K16,'raw data'!$A$9:$A$51,0),MATCH(support!N$7,'raw data'!$B$4:$J$4,0)))</f>
        <v>5828</v>
      </c>
      <c r="O16" s="41">
        <f>IF(N16="","",INDEX('raw data'!$B$9:$J$51,MATCH(support!$K16,'raw data'!$A$9:$A$51,0),MATCH(support!O$7,'raw data'!$B$4:$J$4,0)))</f>
        <v>14138</v>
      </c>
      <c r="P16" s="38">
        <f>IF(O16="","",INDEX('raw data'!$B$9:$J$51,MATCH(support!$K16,'raw data'!$A$9:$A$51,0),MATCH(support!P$7,'raw data'!$B$4:$J$4,0)))</f>
        <v>1200</v>
      </c>
      <c r="Q16" s="42">
        <f>IF(P16="","",INDEX('raw data'!$B$9:$J$51,MATCH(support!$K16,'raw data'!$A$9:$A$51,0),MATCH(support!Q$7,'raw data'!$B$4:$J$4,0)))</f>
        <v>6212</v>
      </c>
      <c r="R16" s="41">
        <f>IF(Q16="","",INDEX('raw data'!$B$9:$J$51,MATCH(support!$K16,'raw data'!$A$9:$A$51,0),MATCH(support!R$7,'raw data'!$B$4:$J$4,0)))</f>
        <v>13455</v>
      </c>
      <c r="S16" s="38">
        <f>IF(R16="","",INDEX('raw data'!$B$9:$J$51,MATCH(support!$K16,'raw data'!$A$9:$A$51,0),MATCH(support!S$7,'raw data'!$B$4:$J$4,0)))</f>
        <v>1400</v>
      </c>
      <c r="T16" s="38">
        <f>IF(S16="","",INDEX('raw data'!$B$9:$J$51,MATCH(support!$K16,'raw data'!$A$9:$A$51,0),MATCH(support!T$7,'raw data'!$B$4:$J$4,0)))</f>
        <v>5810</v>
      </c>
      <c r="U16" s="55">
        <f t="shared" si="4"/>
        <v>6.924600367803084E-2</v>
      </c>
      <c r="V16" s="56">
        <f t="shared" si="5"/>
        <v>0.34416666666666668</v>
      </c>
      <c r="W16" s="56">
        <f t="shared" si="6"/>
        <v>-6.1815840309079204E-2</v>
      </c>
      <c r="X16" s="55">
        <f t="shared" si="7"/>
        <v>0.12352285395763657</v>
      </c>
      <c r="Y16" s="56">
        <f t="shared" si="8"/>
        <v>0.15214285714285714</v>
      </c>
      <c r="Z16" s="57">
        <f t="shared" si="9"/>
        <v>3.098106712564544E-3</v>
      </c>
      <c r="AB16" t="str">
        <f t="shared" si="10"/>
        <v>Voltage</v>
      </c>
      <c r="AC16" s="51">
        <f t="shared" si="11"/>
        <v>-6.1815840309079204E-2</v>
      </c>
      <c r="AE16" t="str">
        <f>INDEX($AB$14:$AB$28,MATCH(CHOOSE($D$7,LARGE($AC$14:$AC$28,ROWS($AM$14:AM16)),SMALL($AC$14:$AC$28,ROWS($AQ$14:AQ16))),$AC$14:$AC$28,0),1)</f>
        <v>Inkly</v>
      </c>
      <c r="AF16">
        <f t="shared" si="12"/>
        <v>8008</v>
      </c>
      <c r="AG16">
        <f t="shared" si="13"/>
        <v>8424</v>
      </c>
      <c r="AH16">
        <f t="shared" si="14"/>
        <v>8424</v>
      </c>
      <c r="AI16" t="str">
        <f>AF16&amp;" | " &amp;TEXT(INDEX($AC$14:$AC$28,MATCH(AE16,$AB$14:$AB$28,0),1),"0%")</f>
        <v>8008 | -11%</v>
      </c>
      <c r="AK16" t="s">
        <v>9</v>
      </c>
      <c r="AL16" s="73">
        <f>IF(INDEX('raw data'!$K$9:$V$51,MATCH(support!$AK$12,'raw data'!$A$9:$A$51,0),MATCH(support!AK16,'raw data'!$K$6:$V$6,0))=0,NA(),INDEX('raw data'!$K$9:$V$51,MATCH(support!$AK$12,'raw data'!$A$9:$A$51,0),MATCH(support!AK16,'raw data'!$K$6:$V$6,0)))</f>
        <v>66</v>
      </c>
      <c r="AM16" s="73">
        <f>INDEX('raw data'!$W$9:$AH$51,MATCH(support!$AK$12,'raw data'!$A$9:$A$51,0),MATCH(support!AK16,'raw data'!$W$6:$AH$6,0))</f>
        <v>32</v>
      </c>
      <c r="AN16" s="73">
        <f>INDEX('raw data'!$AI$9:$AT$51,MATCH(support!$AK$12,'raw data'!$A$9:$A$51,0),MATCH(support!AK16,'raw data'!$AI$6:$AT$6,0))</f>
        <v>92</v>
      </c>
      <c r="AP16" t="s">
        <v>9</v>
      </c>
      <c r="AQ16" s="72">
        <f>IF(MATCH(Current_month,$AK$15:$AK$26,0)&gt;=ROWS($AK$15:AK16),AL16,NA())</f>
        <v>66</v>
      </c>
      <c r="AR16">
        <f t="shared" ref="AR16:AR26" si="15">IF($D$9,AM16,NA())</f>
        <v>32</v>
      </c>
      <c r="AS16">
        <f t="shared" ref="AS16:AS26" si="16">IF($D$10,AN16,NA())</f>
        <v>92</v>
      </c>
    </row>
    <row r="17" spans="2:48" x14ac:dyDescent="0.3">
      <c r="B17" s="30" t="s">
        <v>12</v>
      </c>
      <c r="F17" s="30" t="s">
        <v>27</v>
      </c>
      <c r="G17" s="29" t="s">
        <v>43</v>
      </c>
      <c r="H17" s="29" t="s">
        <v>56</v>
      </c>
      <c r="J17" s="41">
        <f>IF(K17="","",ROWS($H$14:H17))</f>
        <v>4</v>
      </c>
      <c r="K17" s="42" t="str">
        <f t="shared" si="3"/>
        <v>Inkly</v>
      </c>
      <c r="L17" s="41">
        <f>IF(K17="","",INDEX('raw data'!$B$9:$J$51,MATCH(support!$K17,'raw data'!$A$9:$A$51,0),MATCH(support!L$7,'raw data'!$B$4:$J$4,0)))</f>
        <v>11154</v>
      </c>
      <c r="M17" s="38">
        <f>IF(L17="","",INDEX('raw data'!$B$9:$J$51,MATCH(support!$K17,'raw data'!$A$9:$A$51,0),MATCH(support!M$7,'raw data'!$B$4:$J$4,0)))</f>
        <v>731</v>
      </c>
      <c r="N17" s="42">
        <f>IF(M17="","",INDEX('raw data'!$B$9:$J$51,MATCH(support!$K17,'raw data'!$A$9:$A$51,0),MATCH(support!N$7,'raw data'!$B$4:$J$4,0)))</f>
        <v>8008</v>
      </c>
      <c r="O17" s="41">
        <f>IF(N17="","",INDEX('raw data'!$B$9:$J$51,MATCH(support!$K17,'raw data'!$A$9:$A$51,0),MATCH(support!O$7,'raw data'!$B$4:$J$4,0)))</f>
        <v>11502</v>
      </c>
      <c r="P17" s="38">
        <f>IF(O17="","",INDEX('raw data'!$B$9:$J$51,MATCH(support!$K17,'raw data'!$A$9:$A$51,0),MATCH(support!P$7,'raw data'!$B$4:$J$4,0)))</f>
        <v>499</v>
      </c>
      <c r="Q17" s="42">
        <f>IF(P17="","",INDEX('raw data'!$B$9:$J$51,MATCH(support!$K17,'raw data'!$A$9:$A$51,0),MATCH(support!Q$7,'raw data'!$B$4:$J$4,0)))</f>
        <v>8953</v>
      </c>
      <c r="R17" s="41">
        <f>IF(Q17="","",INDEX('raw data'!$B$9:$J$51,MATCH(support!$K17,'raw data'!$A$9:$A$51,0),MATCH(support!R$7,'raw data'!$B$4:$J$4,0)))</f>
        <v>12031</v>
      </c>
      <c r="S17" s="38">
        <f>IF(R17="","",INDEX('raw data'!$B$9:$J$51,MATCH(support!$K17,'raw data'!$A$9:$A$51,0),MATCH(support!S$7,'raw data'!$B$4:$J$4,0)))</f>
        <v>641</v>
      </c>
      <c r="T17" s="38">
        <f>IF(S17="","",INDEX('raw data'!$B$9:$J$51,MATCH(support!$K17,'raw data'!$A$9:$A$51,0),MATCH(support!T$7,'raw data'!$B$4:$J$4,0)))</f>
        <v>8424</v>
      </c>
      <c r="U17" s="55">
        <f t="shared" si="4"/>
        <v>-3.0255607720396451E-2</v>
      </c>
      <c r="V17" s="56">
        <f t="shared" si="5"/>
        <v>0.4649298597194389</v>
      </c>
      <c r="W17" s="56">
        <f t="shared" si="6"/>
        <v>-0.1055512118842846</v>
      </c>
      <c r="X17" s="55">
        <f t="shared" si="7"/>
        <v>-7.2895021195245616E-2</v>
      </c>
      <c r="Y17" s="56">
        <f t="shared" si="8"/>
        <v>0.14040561622464898</v>
      </c>
      <c r="Z17" s="57">
        <f t="shared" si="9"/>
        <v>-4.9382716049382713E-2</v>
      </c>
      <c r="AB17" t="str">
        <f t="shared" si="10"/>
        <v>Inkly</v>
      </c>
      <c r="AC17" s="51">
        <f t="shared" si="11"/>
        <v>-0.1055512118842846</v>
      </c>
      <c r="AE17" t="str">
        <f>INDEX($AB$14:$AB$28,MATCH(CHOOSE($D$7,LARGE($AC$14:$AC$28,ROWS($AM$14:AM17)),SMALL($AC$14:$AC$28,ROWS($AQ$14:AQ17))),$AC$14:$AC$28,0),1)</f>
        <v>WenCaL</v>
      </c>
      <c r="AF17">
        <f t="shared" si="12"/>
        <v>11099</v>
      </c>
      <c r="AG17">
        <f t="shared" si="13"/>
        <v>11468</v>
      </c>
      <c r="AH17">
        <f t="shared" si="14"/>
        <v>11468</v>
      </c>
      <c r="AI17" t="str">
        <f>AF17&amp;" | " &amp;TEXT(INDEX($AC$14:$AC$28,MATCH(AE17,$AB$14:$AB$28,0),1),"0%")</f>
        <v>11099 | -8%</v>
      </c>
      <c r="AK17" t="s">
        <v>10</v>
      </c>
      <c r="AL17" s="73">
        <f>IF(INDEX('raw data'!$K$9:$V$51,MATCH(support!$AK$12,'raw data'!$A$9:$A$51,0),MATCH(support!AK17,'raw data'!$K$6:$V$6,0))=0,NA(),INDEX('raw data'!$K$9:$V$51,MATCH(support!$AK$12,'raw data'!$A$9:$A$51,0),MATCH(support!AK17,'raw data'!$K$6:$V$6,0)))</f>
        <v>171</v>
      </c>
      <c r="AM17" s="73">
        <f>INDEX('raw data'!$W$9:$AH$51,MATCH(support!$AK$12,'raw data'!$A$9:$A$51,0),MATCH(support!AK17,'raw data'!$W$6:$AH$6,0))</f>
        <v>44</v>
      </c>
      <c r="AN17" s="73">
        <f>INDEX('raw data'!$AI$9:$AT$51,MATCH(support!$AK$12,'raw data'!$A$9:$A$51,0),MATCH(support!AK17,'raw data'!$AI$6:$AT$6,0))</f>
        <v>163</v>
      </c>
      <c r="AP17" t="s">
        <v>10</v>
      </c>
      <c r="AQ17" s="72">
        <f>IF(MATCH(Current_month,$AK$15:$AK$26,0)&gt;=ROWS($AK$15:AK17),AL17,NA())</f>
        <v>171</v>
      </c>
      <c r="AR17">
        <f t="shared" si="15"/>
        <v>44</v>
      </c>
      <c r="AS17">
        <f t="shared" si="16"/>
        <v>163</v>
      </c>
    </row>
    <row r="18" spans="2:48" x14ac:dyDescent="0.3">
      <c r="B18" s="30" t="s">
        <v>13</v>
      </c>
      <c r="F18" s="30" t="s">
        <v>28</v>
      </c>
      <c r="G18" s="29" t="s">
        <v>44</v>
      </c>
      <c r="H18" s="29" t="s">
        <v>57</v>
      </c>
      <c r="J18" s="41">
        <f>IF(K18="","",ROWS($H$14:H18))</f>
        <v>5</v>
      </c>
      <c r="K18" s="42" t="str">
        <f t="shared" si="3"/>
        <v>Sleops</v>
      </c>
      <c r="L18" s="41">
        <f>IF(K18="","",INDEX('raw data'!$B$9:$J$51,MATCH(support!$K18,'raw data'!$A$9:$A$51,0),MATCH(support!L$7,'raw data'!$B$4:$J$4,0)))</f>
        <v>11022</v>
      </c>
      <c r="M18" s="38">
        <f>IF(L18="","",INDEX('raw data'!$B$9:$J$51,MATCH(support!$K18,'raw data'!$A$9:$A$51,0),MATCH(support!M$7,'raw data'!$B$4:$J$4,0)))</f>
        <v>550</v>
      </c>
      <c r="N18" s="42">
        <f>IF(M18="","",INDEX('raw data'!$B$9:$J$51,MATCH(support!$K18,'raw data'!$A$9:$A$51,0),MATCH(support!N$7,'raw data'!$B$4:$J$4,0)))</f>
        <v>9000</v>
      </c>
      <c r="O18" s="41">
        <f>IF(N18="","",INDEX('raw data'!$B$9:$J$51,MATCH(support!$K18,'raw data'!$A$9:$A$51,0),MATCH(support!O$7,'raw data'!$B$4:$J$4,0)))</f>
        <v>14644</v>
      </c>
      <c r="P18" s="38">
        <f>IF(O18="","",INDEX('raw data'!$B$9:$J$51,MATCH(support!$K18,'raw data'!$A$9:$A$51,0),MATCH(support!P$7,'raw data'!$B$4:$J$4,0)))</f>
        <v>780</v>
      </c>
      <c r="Q18" s="42">
        <f>IF(P18="","",INDEX('raw data'!$B$9:$J$51,MATCH(support!$K18,'raw data'!$A$9:$A$51,0),MATCH(support!Q$7,'raw data'!$B$4:$J$4,0)))</f>
        <v>8670</v>
      </c>
      <c r="R18" s="41">
        <f>IF(Q18="","",INDEX('raw data'!$B$9:$J$51,MATCH(support!$K18,'raw data'!$A$9:$A$51,0),MATCH(support!R$7,'raw data'!$B$4:$J$4,0)))</f>
        <v>13112</v>
      </c>
      <c r="S18" s="38">
        <f>IF(R18="","",INDEX('raw data'!$B$9:$J$51,MATCH(support!$K18,'raw data'!$A$9:$A$51,0),MATCH(support!S$7,'raw data'!$B$4:$J$4,0)))</f>
        <v>474</v>
      </c>
      <c r="T18" s="38">
        <f>IF(S18="","",INDEX('raw data'!$B$9:$J$51,MATCH(support!$K18,'raw data'!$A$9:$A$51,0),MATCH(support!T$7,'raw data'!$B$4:$J$4,0)))</f>
        <v>8193</v>
      </c>
      <c r="U18" s="55">
        <f t="shared" si="4"/>
        <v>-0.24733679322589455</v>
      </c>
      <c r="V18" s="56">
        <f t="shared" si="5"/>
        <v>-0.29487179487179488</v>
      </c>
      <c r="W18" s="56">
        <f t="shared" si="6"/>
        <v>3.8062283737024222E-2</v>
      </c>
      <c r="X18" s="55">
        <f t="shared" si="7"/>
        <v>-0.15939597315436241</v>
      </c>
      <c r="Y18" s="56">
        <f t="shared" si="8"/>
        <v>0.16033755274261605</v>
      </c>
      <c r="Z18" s="57">
        <f t="shared" si="9"/>
        <v>9.8498718418161851E-2</v>
      </c>
      <c r="AB18" t="str">
        <f t="shared" si="10"/>
        <v>Sleops</v>
      </c>
      <c r="AC18" s="51">
        <f t="shared" si="11"/>
        <v>3.8062283737024222E-2</v>
      </c>
      <c r="AE18" t="str">
        <f>INDEX($AB$14:$AB$28,MATCH(CHOOSE($D$7,LARGE($AC$14:$AC$28,ROWS($AM$14:AM18)),SMALL($AC$14:$AC$28,ROWS($AQ$14:AQ18))),$AC$14:$AC$28,0),1)</f>
        <v>Voltage</v>
      </c>
      <c r="AF18">
        <f t="shared" si="12"/>
        <v>5828</v>
      </c>
      <c r="AG18">
        <f t="shared" si="13"/>
        <v>5810</v>
      </c>
      <c r="AH18">
        <f t="shared" si="14"/>
        <v>5828</v>
      </c>
      <c r="AI18" t="str">
        <f>AF18&amp;" | " &amp;TEXT(INDEX($AC$14:$AC$28,MATCH(AE18,$AB$14:$AB$28,0),1),"0%")</f>
        <v>5828 | -6%</v>
      </c>
      <c r="AK18" t="s">
        <v>11</v>
      </c>
      <c r="AL18" s="73">
        <f>IF(INDEX('raw data'!$K$9:$V$51,MATCH(support!$AK$12,'raw data'!$A$9:$A$51,0),MATCH(support!AK18,'raw data'!$K$6:$V$6,0))=0,NA(),INDEX('raw data'!$K$9:$V$51,MATCH(support!$AK$12,'raw data'!$A$9:$A$51,0),MATCH(support!AK18,'raw data'!$K$6:$V$6,0)))</f>
        <v>200</v>
      </c>
      <c r="AM18" s="73">
        <f>INDEX('raw data'!$W$9:$AH$51,MATCH(support!$AK$12,'raw data'!$A$9:$A$51,0),MATCH(support!AK18,'raw data'!$W$6:$AH$6,0))</f>
        <v>54</v>
      </c>
      <c r="AN18" s="73">
        <f>INDEX('raw data'!$AI$9:$AT$51,MATCH(support!$AK$12,'raw data'!$A$9:$A$51,0),MATCH(support!AK18,'raw data'!$AI$6:$AT$6,0))</f>
        <v>228</v>
      </c>
      <c r="AP18" t="s">
        <v>11</v>
      </c>
      <c r="AQ18" s="72">
        <f>IF(MATCH(Current_month,$AK$15:$AK$26,0)&gt;=ROWS($AK$15:AK18),AL18,NA())</f>
        <v>200</v>
      </c>
      <c r="AR18">
        <f t="shared" si="15"/>
        <v>54</v>
      </c>
      <c r="AS18">
        <f t="shared" si="16"/>
        <v>228</v>
      </c>
    </row>
    <row r="19" spans="2:48" x14ac:dyDescent="0.3">
      <c r="B19" s="30" t="s">
        <v>14</v>
      </c>
      <c r="F19" s="30" t="s">
        <v>29</v>
      </c>
      <c r="G19" s="29" t="s">
        <v>45</v>
      </c>
      <c r="H19" s="29" t="s">
        <v>58</v>
      </c>
      <c r="J19" s="41">
        <f>IF(K19="","",ROWS($H$14:H19))</f>
        <v>6</v>
      </c>
      <c r="K19" s="42" t="str">
        <f t="shared" si="3"/>
        <v>Kind Ape</v>
      </c>
      <c r="L19" s="41">
        <f>IF(K19="","",INDEX('raw data'!$B$9:$J$51,MATCH(support!$K19,'raw data'!$A$9:$A$51,0),MATCH(support!L$7,'raw data'!$B$4:$J$4,0)))</f>
        <v>8905</v>
      </c>
      <c r="M19" s="38">
        <f>IF(L19="","",INDEX('raw data'!$B$9:$J$51,MATCH(support!$K19,'raw data'!$A$9:$A$51,0),MATCH(support!M$7,'raw data'!$B$4:$J$4,0)))</f>
        <v>469</v>
      </c>
      <c r="N19" s="42">
        <f>IF(M19="","",INDEX('raw data'!$B$9:$J$51,MATCH(support!$K19,'raw data'!$A$9:$A$51,0),MATCH(support!N$7,'raw data'!$B$4:$J$4,0)))</f>
        <v>6026</v>
      </c>
      <c r="O19" s="41">
        <f>IF(N19="","",INDEX('raw data'!$B$9:$J$51,MATCH(support!$K19,'raw data'!$A$9:$A$51,0),MATCH(support!O$7,'raw data'!$B$4:$J$4,0)))</f>
        <v>8796</v>
      </c>
      <c r="P19" s="38">
        <f>IF(O19="","",INDEX('raw data'!$B$9:$J$51,MATCH(support!$K19,'raw data'!$A$9:$A$51,0),MATCH(support!P$7,'raw data'!$B$4:$J$4,0)))</f>
        <v>316</v>
      </c>
      <c r="Q19" s="42">
        <f>IF(P19="","",INDEX('raw data'!$B$9:$J$51,MATCH(support!$K19,'raw data'!$A$9:$A$51,0),MATCH(support!Q$7,'raw data'!$B$4:$J$4,0)))</f>
        <v>6251</v>
      </c>
      <c r="R19" s="41">
        <f>IF(Q19="","",INDEX('raw data'!$B$9:$J$51,MATCH(support!$K19,'raw data'!$A$9:$A$51,0),MATCH(support!R$7,'raw data'!$B$4:$J$4,0)))</f>
        <v>9096</v>
      </c>
      <c r="S19" s="38">
        <f>IF(R19="","",INDEX('raw data'!$B$9:$J$51,MATCH(support!$K19,'raw data'!$A$9:$A$51,0),MATCH(support!S$7,'raw data'!$B$4:$J$4,0)))</f>
        <v>620</v>
      </c>
      <c r="T19" s="38">
        <f>IF(S19="","",INDEX('raw data'!$B$9:$J$51,MATCH(support!$K19,'raw data'!$A$9:$A$51,0),MATCH(support!T$7,'raw data'!$B$4:$J$4,0)))</f>
        <v>5804</v>
      </c>
      <c r="U19" s="55">
        <f t="shared" si="4"/>
        <v>1.2391996361982719E-2</v>
      </c>
      <c r="V19" s="56">
        <f t="shared" si="5"/>
        <v>0.48417721518987344</v>
      </c>
      <c r="W19" s="56">
        <f t="shared" si="6"/>
        <v>-3.5994240921452571E-2</v>
      </c>
      <c r="X19" s="55">
        <f t="shared" si="7"/>
        <v>-2.0998240985048374E-2</v>
      </c>
      <c r="Y19" s="56">
        <f t="shared" si="8"/>
        <v>-0.2435483870967742</v>
      </c>
      <c r="Z19" s="57">
        <f t="shared" si="9"/>
        <v>3.824948311509304E-2</v>
      </c>
      <c r="AB19" t="str">
        <f t="shared" si="10"/>
        <v>Kind Ape</v>
      </c>
      <c r="AC19" s="51">
        <f t="shared" si="11"/>
        <v>-3.5994240921452571E-2</v>
      </c>
      <c r="AK19" t="s">
        <v>12</v>
      </c>
      <c r="AL19" s="73">
        <f>IF(INDEX('raw data'!$K$9:$V$51,MATCH(support!$AK$12,'raw data'!$A$9:$A$51,0),MATCH(support!AK19,'raw data'!$K$6:$V$6,0))=0,NA(),INDEX('raw data'!$K$9:$V$51,MATCH(support!$AK$12,'raw data'!$A$9:$A$51,0),MATCH(support!AK19,'raw data'!$K$6:$V$6,0)))</f>
        <v>222</v>
      </c>
      <c r="AM19" s="73">
        <f>INDEX('raw data'!$W$9:$AH$51,MATCH(support!$AK$12,'raw data'!$A$9:$A$51,0),MATCH(support!AK19,'raw data'!$W$6:$AH$6,0))</f>
        <v>68</v>
      </c>
      <c r="AN19" s="73">
        <f>INDEX('raw data'!$AI$9:$AT$51,MATCH(support!$AK$12,'raw data'!$A$9:$A$51,0),MATCH(support!AK19,'raw data'!$AI$6:$AT$6,0))</f>
        <v>299</v>
      </c>
      <c r="AP19" t="s">
        <v>12</v>
      </c>
      <c r="AQ19" s="72" t="e">
        <f>IF(MATCH(Current_month,$AK$15:$AK$26,0)&gt;=ROWS($AK$15:AK19),AL19,NA())</f>
        <v>#N/A</v>
      </c>
      <c r="AR19">
        <f t="shared" si="15"/>
        <v>68</v>
      </c>
      <c r="AS19">
        <f t="shared" si="16"/>
        <v>299</v>
      </c>
    </row>
    <row r="20" spans="2:48" x14ac:dyDescent="0.3">
      <c r="B20" s="30" t="s">
        <v>15</v>
      </c>
      <c r="F20" s="30" t="s">
        <v>30</v>
      </c>
      <c r="G20" s="29" t="s">
        <v>46</v>
      </c>
      <c r="H20" s="29" t="s">
        <v>59</v>
      </c>
      <c r="J20" s="41">
        <f>IF(K20="","",ROWS($H$14:H20))</f>
        <v>7</v>
      </c>
      <c r="K20" s="42" t="str">
        <f t="shared" si="3"/>
        <v>Pet Feed</v>
      </c>
      <c r="L20" s="41">
        <f>IF(K20="","",INDEX('raw data'!$B$9:$J$51,MATCH(support!$K20,'raw data'!$A$9:$A$51,0),MATCH(support!L$7,'raw data'!$B$4:$J$4,0)))</f>
        <v>16735</v>
      </c>
      <c r="M20" s="38">
        <f>IF(L20="","",INDEX('raw data'!$B$9:$J$51,MATCH(support!$K20,'raw data'!$A$9:$A$51,0),MATCH(support!M$7,'raw data'!$B$4:$J$4,0)))</f>
        <v>800</v>
      </c>
      <c r="N20" s="42">
        <f>IF(M20="","",INDEX('raw data'!$B$9:$J$51,MATCH(support!$K20,'raw data'!$A$9:$A$51,0),MATCH(support!N$7,'raw data'!$B$4:$J$4,0)))</f>
        <v>10149</v>
      </c>
      <c r="O20" s="41">
        <f>IF(N20="","",INDEX('raw data'!$B$9:$J$51,MATCH(support!$K20,'raw data'!$A$9:$A$51,0),MATCH(support!O$7,'raw data'!$B$4:$J$4,0)))</f>
        <v>17503</v>
      </c>
      <c r="P20" s="38">
        <f>IF(O20="","",INDEX('raw data'!$B$9:$J$51,MATCH(support!$K20,'raw data'!$A$9:$A$51,0),MATCH(support!P$7,'raw data'!$B$4:$J$4,0)))</f>
        <v>1083</v>
      </c>
      <c r="Q20" s="42">
        <f>IF(P20="","",INDEX('raw data'!$B$9:$J$51,MATCH(support!$K20,'raw data'!$A$9:$A$51,0),MATCH(support!Q$7,'raw data'!$B$4:$J$4,0)))</f>
        <v>10507</v>
      </c>
      <c r="R20" s="41">
        <f>IF(Q20="","",INDEX('raw data'!$B$9:$J$51,MATCH(support!$K20,'raw data'!$A$9:$A$51,0),MATCH(support!R$7,'raw data'!$B$4:$J$4,0)))</f>
        <v>18207</v>
      </c>
      <c r="S20" s="38">
        <f>IF(R20="","",INDEX('raw data'!$B$9:$J$51,MATCH(support!$K20,'raw data'!$A$9:$A$51,0),MATCH(support!S$7,'raw data'!$B$4:$J$4,0)))</f>
        <v>1176</v>
      </c>
      <c r="T20" s="38">
        <f>IF(S20="","",INDEX('raw data'!$B$9:$J$51,MATCH(support!$K20,'raw data'!$A$9:$A$51,0),MATCH(support!T$7,'raw data'!$B$4:$J$4,0)))</f>
        <v>10508</v>
      </c>
      <c r="U20" s="55">
        <f t="shared" si="4"/>
        <v>-4.3878192309889735E-2</v>
      </c>
      <c r="V20" s="56">
        <f t="shared" si="5"/>
        <v>-0.26131117266851339</v>
      </c>
      <c r="W20" s="56">
        <f t="shared" si="6"/>
        <v>-3.4072523079851529E-2</v>
      </c>
      <c r="X20" s="55">
        <f t="shared" si="7"/>
        <v>-8.0848025484703684E-2</v>
      </c>
      <c r="Y20" s="56">
        <f t="shared" si="8"/>
        <v>-0.31972789115646261</v>
      </c>
      <c r="Z20" s="57">
        <f t="shared" si="9"/>
        <v>-3.4164446136277123E-2</v>
      </c>
      <c r="AB20" t="str">
        <f t="shared" si="10"/>
        <v>Pet Feed</v>
      </c>
      <c r="AC20" s="51">
        <f t="shared" si="11"/>
        <v>-3.4072523079851529E-2</v>
      </c>
      <c r="AK20" t="s">
        <v>13</v>
      </c>
      <c r="AL20" s="73">
        <f>IF(INDEX('raw data'!$K$9:$V$51,MATCH(support!$AK$12,'raw data'!$A$9:$A$51,0),MATCH(support!AK20,'raw data'!$K$6:$V$6,0))=0,NA(),INDEX('raw data'!$K$9:$V$51,MATCH(support!$AK$12,'raw data'!$A$9:$A$51,0),MATCH(support!AK20,'raw data'!$K$6:$V$6,0)))</f>
        <v>240</v>
      </c>
      <c r="AM20" s="73">
        <f>INDEX('raw data'!$W$9:$AH$51,MATCH(support!$AK$12,'raw data'!$A$9:$A$51,0),MATCH(support!AK20,'raw data'!$W$6:$AH$6,0))</f>
        <v>76</v>
      </c>
      <c r="AN20" s="73">
        <f>INDEX('raw data'!$AI$9:$AT$51,MATCH(support!$AK$12,'raw data'!$A$9:$A$51,0),MATCH(support!AK20,'raw data'!$AI$6:$AT$6,0))</f>
        <v>363</v>
      </c>
      <c r="AP20" t="s">
        <v>13</v>
      </c>
      <c r="AQ20" s="72" t="e">
        <f>IF(MATCH(Current_month,$AK$15:$AK$26,0)&gt;=ROWS($AK$15:AK20),AL20,NA())</f>
        <v>#N/A</v>
      </c>
      <c r="AR20">
        <f t="shared" si="15"/>
        <v>76</v>
      </c>
      <c r="AS20">
        <f t="shared" si="16"/>
        <v>363</v>
      </c>
    </row>
    <row r="21" spans="2:48" x14ac:dyDescent="0.3">
      <c r="B21" s="30" t="s">
        <v>16</v>
      </c>
      <c r="F21" s="30" t="s">
        <v>31</v>
      </c>
      <c r="G21" s="29" t="s">
        <v>47</v>
      </c>
      <c r="H21" s="29" t="s">
        <v>60</v>
      </c>
      <c r="J21" s="41">
        <f>IF(K21="","",ROWS($H$14:H21))</f>
        <v>8</v>
      </c>
      <c r="K21" s="42" t="str">
        <f t="shared" si="3"/>
        <v>Right App</v>
      </c>
      <c r="L21" s="41">
        <f>IF(K21="","",INDEX('raw data'!$B$9:$J$51,MATCH(support!$K21,'raw data'!$A$9:$A$51,0),MATCH(support!L$7,'raw data'!$B$4:$J$4,0)))</f>
        <v>3635</v>
      </c>
      <c r="M21" s="38">
        <f>IF(L21="","",INDEX('raw data'!$B$9:$J$51,MATCH(support!$K21,'raw data'!$A$9:$A$51,0),MATCH(support!M$7,'raw data'!$B$4:$J$4,0)))</f>
        <v>96</v>
      </c>
      <c r="N21" s="42">
        <f>IF(M21="","",INDEX('raw data'!$B$9:$J$51,MATCH(support!$K21,'raw data'!$A$9:$A$51,0),MATCH(support!N$7,'raw data'!$B$4:$J$4,0)))</f>
        <v>2050</v>
      </c>
      <c r="O21" s="41">
        <f>IF(N21="","",INDEX('raw data'!$B$9:$J$51,MATCH(support!$K21,'raw data'!$A$9:$A$51,0),MATCH(support!O$7,'raw data'!$B$4:$J$4,0)))</f>
        <v>2337</v>
      </c>
      <c r="P21" s="38">
        <f>IF(O21="","",INDEX('raw data'!$B$9:$J$51,MATCH(support!$K21,'raw data'!$A$9:$A$51,0),MATCH(support!P$7,'raw data'!$B$4:$J$4,0)))</f>
        <v>90</v>
      </c>
      <c r="Q21" s="42">
        <f>IF(P21="","",INDEX('raw data'!$B$9:$J$51,MATCH(support!$K21,'raw data'!$A$9:$A$51,0),MATCH(support!Q$7,'raw data'!$B$4:$J$4,0)))</f>
        <v>1585</v>
      </c>
      <c r="R21" s="41">
        <f>IF(Q21="","",INDEX('raw data'!$B$9:$J$51,MATCH(support!$K21,'raw data'!$A$9:$A$51,0),MATCH(support!R$7,'raw data'!$B$4:$J$4,0)))</f>
        <v>3579</v>
      </c>
      <c r="S21" s="38">
        <f>IF(R21="","",INDEX('raw data'!$B$9:$J$51,MATCH(support!$K21,'raw data'!$A$9:$A$51,0),MATCH(support!S$7,'raw data'!$B$4:$J$4,0)))</f>
        <v>184</v>
      </c>
      <c r="T21" s="38">
        <f>IF(S21="","",INDEX('raw data'!$B$9:$J$51,MATCH(support!$K21,'raw data'!$A$9:$A$51,0),MATCH(support!T$7,'raw data'!$B$4:$J$4,0)))</f>
        <v>1396</v>
      </c>
      <c r="U21" s="55">
        <f t="shared" si="4"/>
        <v>0.55541292255027819</v>
      </c>
      <c r="V21" s="56">
        <f t="shared" si="5"/>
        <v>6.6666666666666666E-2</v>
      </c>
      <c r="W21" s="56">
        <f t="shared" si="6"/>
        <v>0.29337539432176657</v>
      </c>
      <c r="X21" s="55">
        <f t="shared" si="7"/>
        <v>1.5646828723107013E-2</v>
      </c>
      <c r="Y21" s="56">
        <f t="shared" si="8"/>
        <v>-0.47826086956521741</v>
      </c>
      <c r="Z21" s="57">
        <f t="shared" si="9"/>
        <v>0.4684813753581662</v>
      </c>
      <c r="AB21" t="str">
        <f t="shared" si="10"/>
        <v>Right App</v>
      </c>
      <c r="AC21" s="51">
        <f t="shared" si="11"/>
        <v>0.29337539432176657</v>
      </c>
      <c r="AK21" t="s">
        <v>14</v>
      </c>
      <c r="AL21" s="73" t="e">
        <f>IF(INDEX('raw data'!$K$9:$V$51,MATCH(support!$AK$12,'raw data'!$A$9:$A$51,0),MATCH(support!AK21,'raw data'!$K$6:$V$6,0))=0,NA(),INDEX('raw data'!$K$9:$V$51,MATCH(support!$AK$12,'raw data'!$A$9:$A$51,0),MATCH(support!AK21,'raw data'!$K$6:$V$6,0)))</f>
        <v>#N/A</v>
      </c>
      <c r="AM21" s="73">
        <f>INDEX('raw data'!$W$9:$AH$51,MATCH(support!$AK$12,'raw data'!$A$9:$A$51,0),MATCH(support!AK21,'raw data'!$W$6:$AH$6,0))</f>
        <v>89</v>
      </c>
      <c r="AN21" s="73">
        <f>INDEX('raw data'!$AI$9:$AT$51,MATCH(support!$AK$12,'raw data'!$A$9:$A$51,0),MATCH(support!AK21,'raw data'!$AI$6:$AT$6,0))</f>
        <v>423</v>
      </c>
      <c r="AP21" t="s">
        <v>14</v>
      </c>
      <c r="AQ21" s="72" t="e">
        <f>IF(MATCH(Current_month,$AK$15:$AK$26,0)&gt;=ROWS($AK$15:AK21),AL21,NA())</f>
        <v>#N/A</v>
      </c>
      <c r="AR21">
        <f t="shared" si="15"/>
        <v>89</v>
      </c>
      <c r="AS21">
        <f t="shared" si="16"/>
        <v>423</v>
      </c>
    </row>
    <row r="22" spans="2:48" x14ac:dyDescent="0.3">
      <c r="B22" s="30" t="s">
        <v>17</v>
      </c>
      <c r="F22" s="30" t="s">
        <v>32</v>
      </c>
      <c r="G22" s="29" t="s">
        <v>48</v>
      </c>
      <c r="H22" s="29" t="s">
        <v>61</v>
      </c>
      <c r="J22" s="41">
        <f>IF(K22="","",ROWS($H$14:H22))</f>
        <v>9</v>
      </c>
      <c r="K22" s="42" t="str">
        <f t="shared" si="3"/>
        <v>Mirrrr</v>
      </c>
      <c r="L22" s="41">
        <f>IF(K22="","",INDEX('raw data'!$B$9:$J$51,MATCH(support!$K22,'raw data'!$A$9:$A$51,0),MATCH(support!L$7,'raw data'!$B$4:$J$4,0)))</f>
        <v>15627</v>
      </c>
      <c r="M22" s="38">
        <f>IF(L22="","",INDEX('raw data'!$B$9:$J$51,MATCH(support!$K22,'raw data'!$A$9:$A$51,0),MATCH(support!M$7,'raw data'!$B$4:$J$4,0)))</f>
        <v>1996</v>
      </c>
      <c r="N22" s="42">
        <f>IF(M22="","",INDEX('raw data'!$B$9:$J$51,MATCH(support!$K22,'raw data'!$A$9:$A$51,0),MATCH(support!N$7,'raw data'!$B$4:$J$4,0)))</f>
        <v>9397</v>
      </c>
      <c r="O22" s="41">
        <f>IF(N22="","",INDEX('raw data'!$B$9:$J$51,MATCH(support!$K22,'raw data'!$A$9:$A$51,0),MATCH(support!O$7,'raw data'!$B$4:$J$4,0)))</f>
        <v>15357</v>
      </c>
      <c r="P22" s="38">
        <f>IF(O22="","",INDEX('raw data'!$B$9:$J$51,MATCH(support!$K22,'raw data'!$A$9:$A$51,0),MATCH(support!P$7,'raw data'!$B$4:$J$4,0)))</f>
        <v>1908</v>
      </c>
      <c r="Q22" s="42">
        <f>IF(P22="","",INDEX('raw data'!$B$9:$J$51,MATCH(support!$K22,'raw data'!$A$9:$A$51,0),MATCH(support!Q$7,'raw data'!$B$4:$J$4,0)))</f>
        <v>9702</v>
      </c>
      <c r="R22" s="41">
        <f>IF(Q22="","",INDEX('raw data'!$B$9:$J$51,MATCH(support!$K22,'raw data'!$A$9:$A$51,0),MATCH(support!R$7,'raw data'!$B$4:$J$4,0)))</f>
        <v>14634</v>
      </c>
      <c r="S22" s="38">
        <f>IF(R22="","",INDEX('raw data'!$B$9:$J$51,MATCH(support!$K22,'raw data'!$A$9:$A$51,0),MATCH(support!S$7,'raw data'!$B$4:$J$4,0)))</f>
        <v>1584</v>
      </c>
      <c r="T22" s="38">
        <f>IF(S22="","",INDEX('raw data'!$B$9:$J$51,MATCH(support!$K22,'raw data'!$A$9:$A$51,0),MATCH(support!T$7,'raw data'!$B$4:$J$4,0)))</f>
        <v>9527</v>
      </c>
      <c r="U22" s="55">
        <f t="shared" si="4"/>
        <v>1.758155889822231E-2</v>
      </c>
      <c r="V22" s="56">
        <f t="shared" si="5"/>
        <v>4.6121593291404611E-2</v>
      </c>
      <c r="W22" s="56">
        <f t="shared" si="6"/>
        <v>-3.1436817151102865E-2</v>
      </c>
      <c r="X22" s="55">
        <f t="shared" si="7"/>
        <v>6.7855678556785565E-2</v>
      </c>
      <c r="Y22" s="56">
        <f t="shared" si="8"/>
        <v>0.26010101010101011</v>
      </c>
      <c r="Z22" s="57">
        <f t="shared" si="9"/>
        <v>-1.3645428781358245E-2</v>
      </c>
      <c r="AB22" t="str">
        <f t="shared" si="10"/>
        <v>Mirrrr</v>
      </c>
      <c r="AC22" s="51">
        <f t="shared" si="11"/>
        <v>-3.1436817151102865E-2</v>
      </c>
      <c r="AK22" t="s">
        <v>15</v>
      </c>
      <c r="AL22" s="73" t="e">
        <f>IF(INDEX('raw data'!$K$9:$V$51,MATCH(support!$AK$12,'raw data'!$A$9:$A$51,0),MATCH(support!AK22,'raw data'!$K$6:$V$6,0))=0,NA(),INDEX('raw data'!$K$9:$V$51,MATCH(support!$AK$12,'raw data'!$A$9:$A$51,0),MATCH(support!AK22,'raw data'!$K$6:$V$6,0)))</f>
        <v>#N/A</v>
      </c>
      <c r="AM22" s="73">
        <f>INDEX('raw data'!$W$9:$AH$51,MATCH(support!$AK$12,'raw data'!$A$9:$A$51,0),MATCH(support!AK22,'raw data'!$W$6:$AH$6,0))</f>
        <v>110</v>
      </c>
      <c r="AN22" s="73">
        <f>INDEX('raw data'!$AI$9:$AT$51,MATCH(support!$AK$12,'raw data'!$A$9:$A$51,0),MATCH(support!AK22,'raw data'!$AI$6:$AT$6,0))</f>
        <v>483</v>
      </c>
      <c r="AP22" t="s">
        <v>15</v>
      </c>
      <c r="AQ22" s="72" t="e">
        <f>IF(MATCH(Current_month,$AK$15:$AK$26,0)&gt;=ROWS($AK$15:AK22),AL22,NA())</f>
        <v>#N/A</v>
      </c>
      <c r="AR22">
        <f t="shared" si="15"/>
        <v>110</v>
      </c>
      <c r="AS22">
        <f t="shared" si="16"/>
        <v>483</v>
      </c>
    </row>
    <row r="23" spans="2:48" x14ac:dyDescent="0.3">
      <c r="B23" s="30" t="s">
        <v>18</v>
      </c>
      <c r="F23" s="30" t="s">
        <v>33</v>
      </c>
      <c r="G23" s="29" t="s">
        <v>49</v>
      </c>
      <c r="H23" s="29" t="s">
        <v>62</v>
      </c>
      <c r="J23" s="41">
        <f>IF(K23="","",ROWS($H$14:H23))</f>
        <v>10</v>
      </c>
      <c r="K23" s="42" t="str">
        <f t="shared" si="3"/>
        <v>Halotot</v>
      </c>
      <c r="L23" s="41">
        <f>IF(K23="","",INDEX('raw data'!$B$9:$J$51,MATCH(support!$K23,'raw data'!$A$9:$A$51,0),MATCH(support!L$7,'raw data'!$B$4:$J$4,0)))</f>
        <v>7270</v>
      </c>
      <c r="M23" s="38">
        <f>IF(L23="","",INDEX('raw data'!$B$9:$J$51,MATCH(support!$K23,'raw data'!$A$9:$A$51,0),MATCH(support!M$7,'raw data'!$B$4:$J$4,0)))</f>
        <v>150</v>
      </c>
      <c r="N23" s="42">
        <f>IF(M23="","",INDEX('raw data'!$B$9:$J$51,MATCH(support!$K23,'raw data'!$A$9:$A$51,0),MATCH(support!N$7,'raw data'!$B$4:$J$4,0)))</f>
        <v>8948</v>
      </c>
      <c r="O23" s="41">
        <f>IF(N23="","",INDEX('raw data'!$B$9:$J$51,MATCH(support!$K23,'raw data'!$A$9:$A$51,0),MATCH(support!O$7,'raw data'!$B$4:$J$4,0)))</f>
        <v>7119</v>
      </c>
      <c r="P23" s="38">
        <f>IF(O23="","",INDEX('raw data'!$B$9:$J$51,MATCH(support!$K23,'raw data'!$A$9:$A$51,0),MATCH(support!P$7,'raw data'!$B$4:$J$4,0)))</f>
        <v>349</v>
      </c>
      <c r="Q23" s="42">
        <f>IF(P23="","",INDEX('raw data'!$B$9:$J$51,MATCH(support!$K23,'raw data'!$A$9:$A$51,0),MATCH(support!Q$7,'raw data'!$B$4:$J$4,0)))</f>
        <v>8520</v>
      </c>
      <c r="R23" s="41">
        <f>IF(Q23="","",INDEX('raw data'!$B$9:$J$51,MATCH(support!$K23,'raw data'!$A$9:$A$51,0),MATCH(support!R$7,'raw data'!$B$4:$J$4,0)))</f>
        <v>7158</v>
      </c>
      <c r="S23" s="38">
        <f>IF(R23="","",INDEX('raw data'!$B$9:$J$51,MATCH(support!$K23,'raw data'!$A$9:$A$51,0),MATCH(support!S$7,'raw data'!$B$4:$J$4,0)))</f>
        <v>120</v>
      </c>
      <c r="T23" s="38">
        <f>IF(S23="","",INDEX('raw data'!$B$9:$J$51,MATCH(support!$K23,'raw data'!$A$9:$A$51,0),MATCH(support!T$7,'raw data'!$B$4:$J$4,0)))</f>
        <v>8630</v>
      </c>
      <c r="U23" s="55">
        <f t="shared" si="4"/>
        <v>2.1210844219693777E-2</v>
      </c>
      <c r="V23" s="56">
        <f t="shared" si="5"/>
        <v>-0.57020057306590255</v>
      </c>
      <c r="W23" s="56">
        <f t="shared" si="6"/>
        <v>5.0234741784037557E-2</v>
      </c>
      <c r="X23" s="55">
        <f t="shared" si="7"/>
        <v>1.5646828723107013E-2</v>
      </c>
      <c r="Y23" s="56">
        <f t="shared" si="8"/>
        <v>0.25</v>
      </c>
      <c r="Z23" s="57">
        <f t="shared" si="9"/>
        <v>3.6848203939745076E-2</v>
      </c>
      <c r="AB23" t="str">
        <f t="shared" si="10"/>
        <v>Halotot</v>
      </c>
      <c r="AC23" s="51">
        <f t="shared" si="11"/>
        <v>5.0234741784037557E-2</v>
      </c>
      <c r="AE23" t="s">
        <v>85</v>
      </c>
      <c r="AF23" t="s">
        <v>86</v>
      </c>
      <c r="AK23" t="s">
        <v>16</v>
      </c>
      <c r="AL23" s="73" t="e">
        <f>IF(INDEX('raw data'!$K$9:$V$51,MATCH(support!$AK$12,'raw data'!$A$9:$A$51,0),MATCH(support!AK23,'raw data'!$K$6:$V$6,0))=0,NA(),INDEX('raw data'!$K$9:$V$51,MATCH(support!$AK$12,'raw data'!$A$9:$A$51,0),MATCH(support!AK23,'raw data'!$K$6:$V$6,0)))</f>
        <v>#N/A</v>
      </c>
      <c r="AM23" s="73">
        <f>INDEX('raw data'!$W$9:$AH$51,MATCH(support!$AK$12,'raw data'!$A$9:$A$51,0),MATCH(support!AK23,'raw data'!$W$6:$AH$6,0))</f>
        <v>113</v>
      </c>
      <c r="AN23" s="73">
        <f>INDEX('raw data'!$AI$9:$AT$51,MATCH(support!$AK$12,'raw data'!$A$9:$A$51,0),MATCH(support!AK23,'raw data'!$AI$6:$AT$6,0))</f>
        <v>535</v>
      </c>
      <c r="AP23" t="s">
        <v>16</v>
      </c>
      <c r="AQ23" s="72" t="e">
        <f>IF(MATCH(Current_month,$AK$15:$AK$26,0)&gt;=ROWS($AK$15:AK23),AL23,NA())</f>
        <v>#N/A</v>
      </c>
      <c r="AR23">
        <f t="shared" si="15"/>
        <v>113</v>
      </c>
      <c r="AS23">
        <f t="shared" si="16"/>
        <v>535</v>
      </c>
    </row>
    <row r="24" spans="2:48" x14ac:dyDescent="0.3">
      <c r="B24" s="30" t="s">
        <v>19</v>
      </c>
      <c r="F24" t="s">
        <v>34</v>
      </c>
      <c r="G24" s="29" t="s">
        <v>50</v>
      </c>
      <c r="H24" s="29" t="s">
        <v>63</v>
      </c>
      <c r="J24" s="41">
        <f>IF(K24="","",ROWS($H$14:H24))</f>
        <v>11</v>
      </c>
      <c r="K24" s="42" t="str">
        <f t="shared" si="3"/>
        <v>Flowrrr</v>
      </c>
      <c r="L24" s="41">
        <f>IF(K24="","",INDEX('raw data'!$B$9:$J$51,MATCH(support!$K24,'raw data'!$A$9:$A$51,0),MATCH(support!L$7,'raw data'!$B$4:$J$4,0)))</f>
        <v>5955</v>
      </c>
      <c r="M24" s="38">
        <f>IF(L24="","",INDEX('raw data'!$B$9:$J$51,MATCH(support!$K24,'raw data'!$A$9:$A$51,0),MATCH(support!M$7,'raw data'!$B$4:$J$4,0)))</f>
        <v>260</v>
      </c>
      <c r="N24" s="42">
        <f>IF(M24="","",INDEX('raw data'!$B$9:$J$51,MATCH(support!$K24,'raw data'!$A$9:$A$51,0),MATCH(support!N$7,'raw data'!$B$4:$J$4,0)))</f>
        <v>5931</v>
      </c>
      <c r="O24" s="41">
        <f>IF(N24="","",INDEX('raw data'!$B$9:$J$51,MATCH(support!$K24,'raw data'!$A$9:$A$51,0),MATCH(support!O$7,'raw data'!$B$4:$J$4,0)))</f>
        <v>5612</v>
      </c>
      <c r="P24" s="38">
        <f>IF(O24="","",INDEX('raw data'!$B$9:$J$51,MATCH(support!$K24,'raw data'!$A$9:$A$51,0),MATCH(support!P$7,'raw data'!$B$4:$J$4,0)))</f>
        <v>233</v>
      </c>
      <c r="Q24" s="42">
        <f>IF(P24="","",INDEX('raw data'!$B$9:$J$51,MATCH(support!$K24,'raw data'!$A$9:$A$51,0),MATCH(support!Q$7,'raw data'!$B$4:$J$4,0)))</f>
        <v>5128</v>
      </c>
      <c r="R24" s="41">
        <f>IF(Q24="","",INDEX('raw data'!$B$9:$J$51,MATCH(support!$K24,'raw data'!$A$9:$A$51,0),MATCH(support!R$7,'raw data'!$B$4:$J$4,0)))</f>
        <v>5977</v>
      </c>
      <c r="S24" s="38">
        <f>IF(R24="","",INDEX('raw data'!$B$9:$J$51,MATCH(support!$K24,'raw data'!$A$9:$A$51,0),MATCH(support!S$7,'raw data'!$B$4:$J$4,0)))</f>
        <v>210</v>
      </c>
      <c r="T24" s="38">
        <f>IF(S24="","",INDEX('raw data'!$B$9:$J$51,MATCH(support!$K24,'raw data'!$A$9:$A$51,0),MATCH(support!T$7,'raw data'!$B$4:$J$4,0)))</f>
        <v>4722</v>
      </c>
      <c r="U24" s="55">
        <f t="shared" si="4"/>
        <v>6.1119030648610122E-2</v>
      </c>
      <c r="V24" s="56">
        <f t="shared" si="5"/>
        <v>0.11587982832618025</v>
      </c>
      <c r="W24" s="56">
        <f t="shared" si="6"/>
        <v>0.15659126365054601</v>
      </c>
      <c r="X24" s="55">
        <f t="shared" si="7"/>
        <v>-3.6807763091852102E-3</v>
      </c>
      <c r="Y24" s="56">
        <f t="shared" si="8"/>
        <v>0.23809523809523808</v>
      </c>
      <c r="Z24" s="57">
        <f t="shared" si="9"/>
        <v>0.25603557814485389</v>
      </c>
      <c r="AB24" t="str">
        <f t="shared" si="10"/>
        <v>Flowrrr</v>
      </c>
      <c r="AC24" s="51">
        <f t="shared" si="11"/>
        <v>0.15659126365054601</v>
      </c>
      <c r="AE24">
        <f>LARGE(AC14:AC28,ROWS($AJ$14:AJ14))</f>
        <v>0.29337539432176657</v>
      </c>
      <c r="AF24">
        <f>LARGE(AC14:AC28,ROWS($AJ$14:AK14))</f>
        <v>0.29337539432176657</v>
      </c>
      <c r="AK24" t="s">
        <v>17</v>
      </c>
      <c r="AL24" s="73" t="e">
        <f>IF(INDEX('raw data'!$K$9:$V$51,MATCH(support!$AK$12,'raw data'!$A$9:$A$51,0),MATCH(support!AK24,'raw data'!$K$6:$V$6,0))=0,NA(),INDEX('raw data'!$K$9:$V$51,MATCH(support!$AK$12,'raw data'!$A$9:$A$51,0),MATCH(support!AK24,'raw data'!$K$6:$V$6,0)))</f>
        <v>#N/A</v>
      </c>
      <c r="AM24" s="73">
        <f>INDEX('raw data'!$W$9:$AH$51,MATCH(support!$AK$12,'raw data'!$A$9:$A$51,0),MATCH(support!AK24,'raw data'!$W$6:$AH$6,0))</f>
        <v>191</v>
      </c>
      <c r="AN24" s="73">
        <f>INDEX('raw data'!$AI$9:$AT$51,MATCH(support!$AK$12,'raw data'!$A$9:$A$51,0),MATCH(support!AK24,'raw data'!$AI$6:$AT$6,0))</f>
        <v>607</v>
      </c>
      <c r="AP24" t="s">
        <v>17</v>
      </c>
      <c r="AQ24" s="72" t="e">
        <f>IF(MATCH(Current_month,$AK$15:$AK$26,0)&gt;=ROWS($AK$15:AK24),AL24,NA())</f>
        <v>#N/A</v>
      </c>
      <c r="AR24">
        <f t="shared" si="15"/>
        <v>191</v>
      </c>
      <c r="AS24">
        <f t="shared" si="16"/>
        <v>607</v>
      </c>
      <c r="AV24" t="str">
        <f>Current_month</f>
        <v>Apr</v>
      </c>
    </row>
    <row r="25" spans="2:48" x14ac:dyDescent="0.3">
      <c r="F25" s="30" t="s">
        <v>35</v>
      </c>
      <c r="G25" s="29" t="s">
        <v>51</v>
      </c>
      <c r="H25" s="29" t="s">
        <v>64</v>
      </c>
      <c r="J25" s="41">
        <f>IF(K25="","",ROWS($H$14:H25))</f>
        <v>12</v>
      </c>
      <c r="K25" s="42" t="str">
        <f t="shared" si="3"/>
        <v>Silvrr</v>
      </c>
      <c r="L25" s="41">
        <f>IF(K25="","",INDEX('raw data'!$B$9:$J$51,MATCH(support!$K25,'raw data'!$A$9:$A$51,0),MATCH(support!L$7,'raw data'!$B$4:$J$4,0)))</f>
        <v>7666</v>
      </c>
      <c r="M25" s="38">
        <f>IF(L25="","",INDEX('raw data'!$B$9:$J$51,MATCH(support!$K25,'raw data'!$A$9:$A$51,0),MATCH(support!M$7,'raw data'!$B$4:$J$4,0)))</f>
        <v>274</v>
      </c>
      <c r="N25" s="42">
        <f>IF(M25="","",INDEX('raw data'!$B$9:$J$51,MATCH(support!$K25,'raw data'!$A$9:$A$51,0),MATCH(support!N$7,'raw data'!$B$4:$J$4,0)))</f>
        <v>6624</v>
      </c>
      <c r="O25" s="41">
        <f>IF(N25="","",INDEX('raw data'!$B$9:$J$51,MATCH(support!$K25,'raw data'!$A$9:$A$51,0),MATCH(support!O$7,'raw data'!$B$4:$J$4,0)))</f>
        <v>5060</v>
      </c>
      <c r="P25" s="38">
        <f>IF(O25="","",INDEX('raw data'!$B$9:$J$51,MATCH(support!$K25,'raw data'!$A$9:$A$51,0),MATCH(support!P$7,'raw data'!$B$4:$J$4,0)))</f>
        <v>369</v>
      </c>
      <c r="Q25" s="42">
        <f>IF(P25="","",INDEX('raw data'!$B$9:$J$51,MATCH(support!$K25,'raw data'!$A$9:$A$51,0),MATCH(support!Q$7,'raw data'!$B$4:$J$4,0)))</f>
        <v>5174</v>
      </c>
      <c r="R25" s="41">
        <f>IF(Q25="","",INDEX('raw data'!$B$9:$J$51,MATCH(support!$K25,'raw data'!$A$9:$A$51,0),MATCH(support!R$7,'raw data'!$B$4:$J$4,0)))</f>
        <v>7099</v>
      </c>
      <c r="S25" s="38">
        <f>IF(R25="","",INDEX('raw data'!$B$9:$J$51,MATCH(support!$K25,'raw data'!$A$9:$A$51,0),MATCH(support!S$7,'raw data'!$B$4:$J$4,0)))</f>
        <v>230</v>
      </c>
      <c r="T25" s="38">
        <f>IF(S25="","",INDEX('raw data'!$B$9:$J$51,MATCH(support!$K25,'raw data'!$A$9:$A$51,0),MATCH(support!T$7,'raw data'!$B$4:$J$4,0)))</f>
        <v>6253</v>
      </c>
      <c r="U25" s="55">
        <f t="shared" si="4"/>
        <v>0.51501976284584983</v>
      </c>
      <c r="V25" s="56">
        <f t="shared" si="5"/>
        <v>-0.25745257452574527</v>
      </c>
      <c r="W25" s="56">
        <f t="shared" si="6"/>
        <v>0.28024739080015459</v>
      </c>
      <c r="X25" s="55">
        <f t="shared" si="7"/>
        <v>7.9870404282293278E-2</v>
      </c>
      <c r="Y25" s="56">
        <f t="shared" si="8"/>
        <v>0.19130434782608696</v>
      </c>
      <c r="Z25" s="57">
        <f t="shared" si="9"/>
        <v>5.9331520869982411E-2</v>
      </c>
      <c r="AB25" t="str">
        <f t="shared" si="10"/>
        <v>Silvrr</v>
      </c>
      <c r="AC25" s="51">
        <f t="shared" si="11"/>
        <v>0.28024739080015459</v>
      </c>
      <c r="AE25">
        <f>LARGE(AC15:AC29,ROWS($AJ$14:AJ15))</f>
        <v>0.28024739080015459</v>
      </c>
      <c r="AF25">
        <f>LARGE(AC15:AC29,ROWS($AJ$14:AK15))</f>
        <v>0.28024739080015459</v>
      </c>
      <c r="AK25" t="s">
        <v>18</v>
      </c>
      <c r="AL25" s="73" t="e">
        <f>IF(INDEX('raw data'!$K$9:$V$51,MATCH(support!$AK$12,'raw data'!$A$9:$A$51,0),MATCH(support!AK25,'raw data'!$K$6:$V$6,0))=0,NA(),INDEX('raw data'!$K$9:$V$51,MATCH(support!$AK$12,'raw data'!$A$9:$A$51,0),MATCH(support!AK25,'raw data'!$K$6:$V$6,0)))</f>
        <v>#N/A</v>
      </c>
      <c r="AM25" s="73">
        <f>INDEX('raw data'!$W$9:$AH$51,MATCH(support!$AK$12,'raw data'!$A$9:$A$51,0),MATCH(support!AK25,'raw data'!$W$6:$AH$6,0))</f>
        <v>276</v>
      </c>
      <c r="AN25" s="73">
        <f>INDEX('raw data'!$AI$9:$AT$51,MATCH(support!$AK$12,'raw data'!$A$9:$A$51,0),MATCH(support!AK25,'raw data'!$AI$6:$AT$6,0))</f>
        <v>671</v>
      </c>
      <c r="AP25" t="s">
        <v>18</v>
      </c>
      <c r="AQ25" s="72" t="e">
        <f>IF(MATCH(Current_month,$AK$15:$AK$26,0)&gt;=ROWS($AK$15:AK25),AL25,NA())</f>
        <v>#N/A</v>
      </c>
      <c r="AR25">
        <f t="shared" si="15"/>
        <v>276</v>
      </c>
      <c r="AS25">
        <f t="shared" si="16"/>
        <v>671</v>
      </c>
    </row>
    <row r="26" spans="2:48" x14ac:dyDescent="0.3">
      <c r="F26" s="30" t="s">
        <v>36</v>
      </c>
      <c r="G26" s="32"/>
      <c r="H26" s="32" t="s">
        <v>65</v>
      </c>
      <c r="J26" s="41">
        <f>IF(K26="","",ROWS($H$14:H26))</f>
        <v>13</v>
      </c>
      <c r="K26" s="42" t="str">
        <f t="shared" ref="K26:K28" si="17">IF(INDEX(F26:H40,1,$D$4)="","",INDEX(F26:H40,1,$D$4))</f>
        <v>Dasring</v>
      </c>
      <c r="L26" s="41">
        <f>IF(K26="","",INDEX('raw data'!$B$9:$J$51,MATCH(support!$K26,'raw data'!$A$9:$A$51,0),MATCH(support!L$7,'raw data'!$B$4:$J$4,0)))</f>
        <v>10857</v>
      </c>
      <c r="M26" s="38">
        <f>IF(L26="","",INDEX('raw data'!$B$9:$J$51,MATCH(support!$K26,'raw data'!$A$9:$A$51,0),MATCH(support!M$7,'raw data'!$B$4:$J$4,0)))</f>
        <v>281</v>
      </c>
      <c r="N26" s="42">
        <f>IF(M26="","",INDEX('raw data'!$B$9:$J$51,MATCH(support!$K26,'raw data'!$A$9:$A$51,0),MATCH(support!N$7,'raw data'!$B$4:$J$4,0)))</f>
        <v>4396</v>
      </c>
      <c r="O26" s="41">
        <f>IF(N26="","",INDEX('raw data'!$B$9:$J$51,MATCH(support!$K26,'raw data'!$A$9:$A$51,0),MATCH(support!O$7,'raw data'!$B$4:$J$4,0)))</f>
        <v>10547</v>
      </c>
      <c r="P26" s="38">
        <f>IF(O26="","",INDEX('raw data'!$B$9:$J$51,MATCH(support!$K26,'raw data'!$A$9:$A$51,0),MATCH(support!P$7,'raw data'!$B$4:$J$4,0)))</f>
        <v>281</v>
      </c>
      <c r="Q26" s="42">
        <f>IF(P26="","",INDEX('raw data'!$B$9:$J$51,MATCH(support!$K26,'raw data'!$A$9:$A$51,0),MATCH(support!Q$7,'raw data'!$B$4:$J$4,0)))</f>
        <v>4979</v>
      </c>
      <c r="R26" s="41">
        <f>IF(Q26="","",INDEX('raw data'!$B$9:$J$51,MATCH(support!$K26,'raw data'!$A$9:$A$51,0),MATCH(support!R$7,'raw data'!$B$4:$J$4,0)))</f>
        <v>10799</v>
      </c>
      <c r="S26" s="38">
        <f>IF(R26="","",INDEX('raw data'!$B$9:$J$51,MATCH(support!$K26,'raw data'!$A$9:$A$51,0),MATCH(support!S$7,'raw data'!$B$4:$J$4,0)))</f>
        <v>333</v>
      </c>
      <c r="T26" s="38">
        <f>IF(S26="","",INDEX('raw data'!$B$9:$J$51,MATCH(support!$K26,'raw data'!$A$9:$A$51,0),MATCH(support!T$7,'raw data'!$B$4:$J$4,0)))</f>
        <v>4779</v>
      </c>
      <c r="U26" s="55">
        <f t="shared" si="4"/>
        <v>2.9392244240068265E-2</v>
      </c>
      <c r="V26" s="56">
        <f t="shared" si="5"/>
        <v>0</v>
      </c>
      <c r="W26" s="56">
        <f t="shared" si="6"/>
        <v>-0.1170917854990962</v>
      </c>
      <c r="X26" s="55">
        <f t="shared" si="7"/>
        <v>5.3708676729326789E-3</v>
      </c>
      <c r="Y26" s="56">
        <f t="shared" si="8"/>
        <v>-0.15615615615615616</v>
      </c>
      <c r="Z26" s="57">
        <f t="shared" si="9"/>
        <v>-8.0142289181837204E-2</v>
      </c>
      <c r="AB26" t="str">
        <f t="shared" si="10"/>
        <v>Dasring</v>
      </c>
      <c r="AC26" s="51">
        <f t="shared" si="11"/>
        <v>-0.1170917854990962</v>
      </c>
      <c r="AE26">
        <f>LARGE(AC16:AC30,ROWS($AJ$14:AJ16))</f>
        <v>0.15659126365054601</v>
      </c>
      <c r="AF26">
        <f>LARGE(AC16:AC30,ROWS($AJ$14:AK16))</f>
        <v>0.15659126365054601</v>
      </c>
      <c r="AK26" t="s">
        <v>19</v>
      </c>
      <c r="AL26" s="73" t="e">
        <f>IF(INDEX('raw data'!$K$9:$V$51,MATCH(support!$AK$12,'raw data'!$A$9:$A$51,0),MATCH(support!AK26,'raw data'!$K$6:$V$6,0))=0,NA(),INDEX('raw data'!$K$9:$V$51,MATCH(support!$AK$12,'raw data'!$A$9:$A$51,0),MATCH(support!AK26,'raw data'!$K$6:$V$6,0)))</f>
        <v>#N/A</v>
      </c>
      <c r="AM26" s="73">
        <f>INDEX('raw data'!$W$9:$AH$51,MATCH(support!$AK$12,'raw data'!$A$9:$A$51,0),MATCH(support!AK26,'raw data'!$W$6:$AH$6,0))</f>
        <v>264</v>
      </c>
      <c r="AN26" s="73">
        <f>INDEX('raw data'!$AI$9:$AT$51,MATCH(support!$AK$12,'raw data'!$A$9:$A$51,0),MATCH(support!AK26,'raw data'!$AI$6:$AT$6,0))</f>
        <v>582</v>
      </c>
      <c r="AP26" t="s">
        <v>19</v>
      </c>
      <c r="AQ26" s="72" t="e">
        <f>IF(MATCH(Current_month,$AK$15:$AK$26,0)&gt;=ROWS($AK$15:AK26),AL26,NA())</f>
        <v>#N/A</v>
      </c>
      <c r="AR26">
        <f t="shared" si="15"/>
        <v>264</v>
      </c>
      <c r="AS26">
        <f t="shared" si="16"/>
        <v>582</v>
      </c>
    </row>
    <row r="27" spans="2:48" x14ac:dyDescent="0.3">
      <c r="F27" s="30" t="s">
        <v>37</v>
      </c>
      <c r="G27" s="32"/>
      <c r="H27" s="32"/>
      <c r="J27" s="41">
        <f>IF(K27="","",ROWS($H$14:H27))</f>
        <v>14</v>
      </c>
      <c r="K27" s="42" t="str">
        <f t="shared" si="17"/>
        <v>Rehire</v>
      </c>
      <c r="L27" s="41">
        <f>IF(K27="","",INDEX('raw data'!$B$9:$J$51,MATCH(support!$K27,'raw data'!$A$9:$A$51,0),MATCH(support!L$7,'raw data'!$B$4:$J$4,0)))</f>
        <v>9873</v>
      </c>
      <c r="M27" s="38">
        <f>IF(L27="","",INDEX('raw data'!$B$9:$J$51,MATCH(support!$K27,'raw data'!$A$9:$A$51,0),MATCH(support!M$7,'raw data'!$B$4:$J$4,0)))</f>
        <v>370</v>
      </c>
      <c r="N27" s="42">
        <f>IF(M27="","",INDEX('raw data'!$B$9:$J$51,MATCH(support!$K27,'raw data'!$A$9:$A$51,0),MATCH(support!N$7,'raw data'!$B$4:$J$4,0)))</f>
        <v>7076</v>
      </c>
      <c r="O27" s="41">
        <f>IF(N27="","",INDEX('raw data'!$B$9:$J$51,MATCH(support!$K27,'raw data'!$A$9:$A$51,0),MATCH(support!O$7,'raw data'!$B$4:$J$4,0)))</f>
        <v>11069</v>
      </c>
      <c r="P27" s="38">
        <f>IF(O27="","",INDEX('raw data'!$B$9:$J$51,MATCH(support!$K27,'raw data'!$A$9:$A$51,0),MATCH(support!P$7,'raw data'!$B$4:$J$4,0)))</f>
        <v>652</v>
      </c>
      <c r="Q27" s="42">
        <f>IF(P27="","",INDEX('raw data'!$B$9:$J$51,MATCH(support!$K27,'raw data'!$A$9:$A$51,0),MATCH(support!Q$7,'raw data'!$B$4:$J$4,0)))</f>
        <v>6853</v>
      </c>
      <c r="R27" s="41">
        <f>IF(Q27="","",INDEX('raw data'!$B$9:$J$51,MATCH(support!$K27,'raw data'!$A$9:$A$51,0),MATCH(support!R$7,'raw data'!$B$4:$J$4,0)))</f>
        <v>10500</v>
      </c>
      <c r="S27" s="38">
        <f>IF(R27="","",INDEX('raw data'!$B$9:$J$51,MATCH(support!$K27,'raw data'!$A$9:$A$51,0),MATCH(support!S$7,'raw data'!$B$4:$J$4,0)))</f>
        <v>637</v>
      </c>
      <c r="T27" s="38">
        <f>IF(S27="","",INDEX('raw data'!$B$9:$J$51,MATCH(support!$K27,'raw data'!$A$9:$A$51,0),MATCH(support!T$7,'raw data'!$B$4:$J$4,0)))</f>
        <v>8490</v>
      </c>
      <c r="U27" s="55">
        <f t="shared" si="4"/>
        <v>-0.1080495076339326</v>
      </c>
      <c r="V27" s="56">
        <f t="shared" si="5"/>
        <v>-0.43251533742331288</v>
      </c>
      <c r="W27" s="56">
        <f t="shared" si="6"/>
        <v>3.2540493214650516E-2</v>
      </c>
      <c r="X27" s="55">
        <f t="shared" si="7"/>
        <v>-5.9714285714285713E-2</v>
      </c>
      <c r="Y27" s="56">
        <f t="shared" si="8"/>
        <v>-0.41915227629513346</v>
      </c>
      <c r="Z27" s="57">
        <f t="shared" si="9"/>
        <v>-0.16654888103651355</v>
      </c>
      <c r="AB27" t="str">
        <f t="shared" si="10"/>
        <v>Rehire</v>
      </c>
      <c r="AC27" s="51">
        <f t="shared" si="11"/>
        <v>3.2540493214650516E-2</v>
      </c>
      <c r="AE27">
        <f>LARGE(AC17:AC31,ROWS($AJ$14:AJ17))</f>
        <v>5.0234741784037557E-2</v>
      </c>
      <c r="AF27">
        <f>LARGE(AC17:AC31,ROWS($AJ$14:AK17))</f>
        <v>5.0234741784037557E-2</v>
      </c>
    </row>
    <row r="28" spans="2:48" ht="15" thickBot="1" x14ac:dyDescent="0.35">
      <c r="F28" s="30" t="s">
        <v>38</v>
      </c>
      <c r="G28" s="32"/>
      <c r="H28" s="32"/>
      <c r="J28" s="43">
        <f>IF(K28="","",ROWS($H$14:H28))</f>
        <v>15</v>
      </c>
      <c r="K28" s="44" t="str">
        <f t="shared" si="17"/>
        <v>Didactic</v>
      </c>
      <c r="L28" s="43">
        <f>IF(K28="","",INDEX('raw data'!$B$9:$J$51,MATCH(support!$K28,'raw data'!$A$9:$A$51,0),MATCH(support!L$7,'raw data'!$B$4:$J$4,0)))</f>
        <v>6405</v>
      </c>
      <c r="M28" s="46">
        <f>IF(L28="","",INDEX('raw data'!$B$9:$J$51,MATCH(support!$K28,'raw data'!$A$9:$A$51,0),MATCH(support!M$7,'raw data'!$B$4:$J$4,0)))</f>
        <v>363</v>
      </c>
      <c r="N28" s="44">
        <f>IF(M28="","",INDEX('raw data'!$B$9:$J$51,MATCH(support!$K28,'raw data'!$A$9:$A$51,0),MATCH(support!N$7,'raw data'!$B$4:$J$4,0)))</f>
        <v>1389</v>
      </c>
      <c r="O28" s="43">
        <f>IF(N28="","",INDEX('raw data'!$B$9:$J$51,MATCH(support!$K28,'raw data'!$A$9:$A$51,0),MATCH(support!O$7,'raw data'!$B$4:$J$4,0)))</f>
        <v>5995</v>
      </c>
      <c r="P28" s="46">
        <f>IF(O28="","",INDEX('raw data'!$B$9:$J$51,MATCH(support!$K28,'raw data'!$A$9:$A$51,0),MATCH(support!P$7,'raw data'!$B$4:$J$4,0)))</f>
        <v>268</v>
      </c>
      <c r="Q28" s="44">
        <f>IF(P28="","",INDEX('raw data'!$B$9:$J$51,MATCH(support!$K28,'raw data'!$A$9:$A$51,0),MATCH(support!Q$7,'raw data'!$B$4:$J$4,0)))</f>
        <v>1708</v>
      </c>
      <c r="R28" s="43">
        <f>IF(Q28="","",INDEX('raw data'!$B$9:$J$51,MATCH(support!$K28,'raw data'!$A$9:$A$51,0),MATCH(support!R$7,'raw data'!$B$4:$J$4,0)))</f>
        <v>5819</v>
      </c>
      <c r="S28" s="46">
        <f>IF(R28="","",INDEX('raw data'!$B$9:$J$51,MATCH(support!$K28,'raw data'!$A$9:$A$51,0),MATCH(support!S$7,'raw data'!$B$4:$J$4,0)))</f>
        <v>248</v>
      </c>
      <c r="T28" s="46">
        <f>IF(S28="","",INDEX('raw data'!$B$9:$J$51,MATCH(support!$K28,'raw data'!$A$9:$A$51,0),MATCH(support!T$7,'raw data'!$B$4:$J$4,0)))</f>
        <v>2226</v>
      </c>
      <c r="U28" s="55">
        <f t="shared" si="4"/>
        <v>6.8390325271059219E-2</v>
      </c>
      <c r="V28" s="56">
        <f t="shared" si="5"/>
        <v>0.35447761194029853</v>
      </c>
      <c r="W28" s="56">
        <f t="shared" si="6"/>
        <v>-0.18676814988290399</v>
      </c>
      <c r="X28" s="66">
        <f t="shared" si="7"/>
        <v>0.10070458841725383</v>
      </c>
      <c r="Y28" s="67">
        <f t="shared" si="8"/>
        <v>0.46370967741935482</v>
      </c>
      <c r="Z28" s="68">
        <f t="shared" si="9"/>
        <v>-0.37601078167115903</v>
      </c>
      <c r="AB28" t="str">
        <f t="shared" si="10"/>
        <v>Didactic</v>
      </c>
      <c r="AC28" s="51">
        <f t="shared" si="11"/>
        <v>-0.18676814988290399</v>
      </c>
      <c r="AE28">
        <f>LARGE(AC18:AC32,ROWS($AJ$14:AJ18))</f>
        <v>3.8062283737024222E-2</v>
      </c>
      <c r="AF28">
        <f>LARGE(AC18:AC32,ROWS($AJ$14:AK18))</f>
        <v>3.8062283737024222E-2</v>
      </c>
      <c r="AV28" t="e">
        <f>curr</f>
        <v>#NAME?</v>
      </c>
    </row>
    <row r="29" spans="2:48" ht="15" thickBot="1" x14ac:dyDescent="0.35">
      <c r="J29" s="47"/>
      <c r="K29" s="50" t="s">
        <v>81</v>
      </c>
      <c r="L29" s="47">
        <f>SUM(L14:L28)</f>
        <v>162643</v>
      </c>
      <c r="M29" s="49">
        <f>SUM(M14:M28)</f>
        <v>9359</v>
      </c>
      <c r="N29" s="48">
        <f>SUM(N14:N28)</f>
        <v>103058</v>
      </c>
      <c r="O29" s="47">
        <f>SUM(O14:O28)</f>
        <v>159773</v>
      </c>
      <c r="P29" s="49">
        <f>SUM(P14:P28)</f>
        <v>9241</v>
      </c>
      <c r="Q29" s="48">
        <f>SUM(O29:P29)</f>
        <v>169014</v>
      </c>
      <c r="R29" s="47">
        <f>SUM(R14:R28)</f>
        <v>164760</v>
      </c>
      <c r="S29" s="49">
        <f>SUM(S14:S28)</f>
        <v>9443</v>
      </c>
      <c r="T29" s="49">
        <f>SUM(T14:T28)</f>
        <v>104426</v>
      </c>
      <c r="U29" s="60"/>
      <c r="V29" s="62"/>
      <c r="W29" s="61"/>
      <c r="X29" s="63"/>
      <c r="Y29" s="58"/>
      <c r="Z29" s="59"/>
    </row>
    <row r="30" spans="2:48" x14ac:dyDescent="0.3"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2:48" x14ac:dyDescent="0.3">
      <c r="M31" s="38"/>
      <c r="N31" s="38"/>
      <c r="O31" s="38"/>
      <c r="P31" s="38"/>
      <c r="Q31" s="38"/>
      <c r="R31" s="38"/>
      <c r="S31" s="38"/>
      <c r="T31" s="38"/>
    </row>
    <row r="32" spans="2:48" x14ac:dyDescent="0.3">
      <c r="G32" s="30">
        <f>COUNTA(F14:H28)</f>
        <v>40</v>
      </c>
      <c r="N32" s="38"/>
      <c r="O32" s="38">
        <f>L25-O25</f>
        <v>2606</v>
      </c>
      <c r="P32" s="38">
        <f>O32/O25</f>
        <v>0.51501976284584983</v>
      </c>
      <c r="Q32" s="38"/>
      <c r="R32" s="38"/>
      <c r="S32" s="38"/>
      <c r="T32" s="38"/>
    </row>
    <row r="33" spans="12:20" x14ac:dyDescent="0.3">
      <c r="N33" s="38" t="s">
        <v>98</v>
      </c>
      <c r="O33" s="38"/>
      <c r="P33" s="38"/>
      <c r="Q33" s="38"/>
      <c r="R33" s="38"/>
      <c r="S33" s="38"/>
      <c r="T33" s="38"/>
    </row>
    <row r="34" spans="12:20" x14ac:dyDescent="0.3">
      <c r="L34" t="s">
        <v>96</v>
      </c>
      <c r="M34">
        <f>M29</f>
        <v>9359</v>
      </c>
      <c r="N34" s="71">
        <f>M29-S29</f>
        <v>-84</v>
      </c>
      <c r="O34" s="38" t="str">
        <f>IF(N34&lt;0,"Under Budget","Over Budget")</f>
        <v>Under Budget</v>
      </c>
      <c r="P34" s="38"/>
      <c r="Q34" s="38" t="str">
        <f>TEXT(N34,"0")&amp;" "&amp;O34</f>
        <v>-84 Under Budget</v>
      </c>
      <c r="R34" s="38"/>
      <c r="S34" s="38"/>
      <c r="T34" s="38"/>
    </row>
    <row r="35" spans="12:20" x14ac:dyDescent="0.3">
      <c r="M35" s="30"/>
      <c r="N35" s="38"/>
      <c r="O35" s="38"/>
      <c r="P35" s="38"/>
      <c r="Q35" s="38"/>
      <c r="R35" s="38"/>
      <c r="S35" s="38"/>
      <c r="T35" s="38"/>
    </row>
    <row r="36" spans="12:20" x14ac:dyDescent="0.3">
      <c r="L36" t="s">
        <v>97</v>
      </c>
      <c r="M36" s="30">
        <f>L29</f>
        <v>162643</v>
      </c>
      <c r="N36" s="38">
        <f>L29-R29</f>
        <v>-2117</v>
      </c>
      <c r="O36" s="38" t="str">
        <f>IF(N36&lt;0,"Under Budget","Over Budget")</f>
        <v>Under Budget</v>
      </c>
      <c r="P36" s="38"/>
      <c r="Q36" s="38" t="str">
        <f>TEXT(N36,"0")&amp;" "&amp;O36</f>
        <v>-2117 Under Budget</v>
      </c>
      <c r="R36" s="69" t="s">
        <v>95</v>
      </c>
      <c r="S36" s="38" t="s">
        <v>6</v>
      </c>
      <c r="T36" s="38"/>
    </row>
    <row r="37" spans="12:20" x14ac:dyDescent="0.3">
      <c r="M37" s="30"/>
      <c r="N37" s="38"/>
      <c r="O37" s="38"/>
      <c r="P37" s="38"/>
      <c r="Q37" s="38"/>
      <c r="R37" s="70"/>
      <c r="S37" s="38"/>
      <c r="T37" s="38"/>
    </row>
    <row r="38" spans="12:20" x14ac:dyDescent="0.3">
      <c r="L38" t="s">
        <v>22</v>
      </c>
      <c r="M38" s="30">
        <f>N29</f>
        <v>103058</v>
      </c>
      <c r="N38" s="38">
        <f>N29-T29</f>
        <v>-1368</v>
      </c>
      <c r="O38" s="38" t="str">
        <f>IF(N38&lt;0,"Under Budget","Over Budget")</f>
        <v>Under Budget</v>
      </c>
      <c r="P38" s="38"/>
      <c r="Q38" s="38" t="str">
        <f>TEXT(N38,"0")&amp;" "&amp;O38</f>
        <v>-1368 Under Budget</v>
      </c>
      <c r="R38" s="70">
        <f>P29</f>
        <v>9241</v>
      </c>
      <c r="S38" s="38">
        <f>S29</f>
        <v>9443</v>
      </c>
      <c r="T38" s="38"/>
    </row>
    <row r="39" spans="12:20" x14ac:dyDescent="0.3">
      <c r="M39" s="38"/>
      <c r="N39" s="38"/>
      <c r="O39" s="38"/>
      <c r="P39" s="38"/>
      <c r="Q39" s="38"/>
      <c r="R39" s="38"/>
      <c r="S39" s="38"/>
      <c r="T39" s="38"/>
    </row>
    <row r="40" spans="12:20" x14ac:dyDescent="0.3">
      <c r="M40" s="38"/>
      <c r="N40" s="38"/>
      <c r="O40" s="38"/>
      <c r="P40" s="38"/>
      <c r="Q40" s="38"/>
      <c r="R40" s="38"/>
      <c r="S40" s="38"/>
      <c r="T40" s="38"/>
    </row>
    <row r="41" spans="12:20" x14ac:dyDescent="0.3">
      <c r="M41" s="38"/>
      <c r="N41" s="38"/>
      <c r="O41" s="38"/>
      <c r="P41" s="38"/>
      <c r="Q41" s="38"/>
      <c r="R41" s="38"/>
      <c r="S41" s="38"/>
      <c r="T41" s="38"/>
    </row>
    <row r="42" spans="12:20" x14ac:dyDescent="0.3">
      <c r="M42" s="38"/>
      <c r="N42" s="38"/>
      <c r="O42" s="38"/>
      <c r="P42" s="38"/>
      <c r="Q42" s="38"/>
      <c r="R42" s="38"/>
      <c r="S42" s="38"/>
      <c r="T42" s="38"/>
    </row>
    <row r="43" spans="12:20" x14ac:dyDescent="0.3">
      <c r="M43" s="38"/>
      <c r="N43" s="38"/>
      <c r="O43" s="38"/>
      <c r="P43" s="38"/>
      <c r="Q43" s="38"/>
      <c r="R43" s="38"/>
      <c r="S43" s="38"/>
      <c r="T43" s="38"/>
    </row>
    <row r="44" spans="12:20" x14ac:dyDescent="0.3">
      <c r="M44" s="38"/>
      <c r="N44" s="38"/>
      <c r="O44" s="38"/>
      <c r="P44" s="38"/>
      <c r="Q44" s="38"/>
      <c r="R44" s="38"/>
      <c r="S44" s="38"/>
      <c r="T44" s="38"/>
    </row>
  </sheetData>
  <mergeCells count="5">
    <mergeCell ref="L12:N12"/>
    <mergeCell ref="O12:Q12"/>
    <mergeCell ref="R12:T12"/>
    <mergeCell ref="U12:W12"/>
    <mergeCell ref="X12:Z12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DAD-7B88-4A6D-971F-E8550F30D9DB}">
  <sheetPr>
    <tabColor theme="1"/>
  </sheetPr>
  <dimension ref="B1:AC36"/>
  <sheetViews>
    <sheetView showGridLines="0" tabSelected="1" zoomScale="70" zoomScaleNormal="70" workbookViewId="0">
      <selection activeCell="AA18" sqref="AA18"/>
    </sheetView>
  </sheetViews>
  <sheetFormatPr defaultRowHeight="14.4" x14ac:dyDescent="0.3"/>
  <cols>
    <col min="1" max="1" width="2" customWidth="1"/>
    <col min="2" max="2" width="1.5546875" customWidth="1"/>
    <col min="3" max="3" width="8.33203125" customWidth="1"/>
    <col min="4" max="4" width="15.5546875" customWidth="1"/>
    <col min="5" max="5" width="4" customWidth="1"/>
    <col min="6" max="6" width="3" customWidth="1"/>
    <col min="7" max="7" width="18.77734375" customWidth="1"/>
    <col min="14" max="14" width="2.33203125" customWidth="1"/>
    <col min="15" max="15" width="6" bestFit="1" customWidth="1"/>
    <col min="16" max="16" width="13.33203125" bestFit="1" customWidth="1"/>
    <col min="17" max="17" width="8" bestFit="1" customWidth="1"/>
    <col min="18" max="18" width="7.21875" bestFit="1" customWidth="1"/>
    <col min="19" max="19" width="7.21875" customWidth="1"/>
    <col min="20" max="20" width="8" bestFit="1" customWidth="1"/>
    <col min="21" max="22" width="7.21875" bestFit="1" customWidth="1"/>
    <col min="23" max="23" width="4.6640625" customWidth="1"/>
    <col min="24" max="24" width="1.77734375" customWidth="1"/>
  </cols>
  <sheetData>
    <row r="1" spans="2:29" ht="7.8" customHeight="1" x14ac:dyDescent="0.3"/>
    <row r="2" spans="2:29" ht="7.8" customHeight="1" x14ac:dyDescent="0.3"/>
    <row r="3" spans="2:29" ht="7.8" customHeight="1" thickBot="1" x14ac:dyDescent="0.35">
      <c r="E3" s="58"/>
      <c r="F3" s="58"/>
      <c r="G3" s="58"/>
      <c r="H3" s="58"/>
      <c r="I3" s="58"/>
    </row>
    <row r="4" spans="2:29" x14ac:dyDescent="0.3">
      <c r="B4" s="74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6"/>
    </row>
    <row r="5" spans="2:29" ht="2.4" customHeight="1" x14ac:dyDescent="0.3">
      <c r="B5" s="77"/>
      <c r="C5" s="78"/>
      <c r="D5" s="78"/>
      <c r="E5" s="78"/>
      <c r="F5" s="78"/>
      <c r="G5" s="79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80"/>
    </row>
    <row r="6" spans="2:29" ht="15.6" x14ac:dyDescent="0.3">
      <c r="B6" s="77"/>
      <c r="C6" s="98" t="s">
        <v>92</v>
      </c>
      <c r="D6" s="99">
        <v>2023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80"/>
    </row>
    <row r="7" spans="2:29" ht="15.6" x14ac:dyDescent="0.3">
      <c r="B7" s="77"/>
      <c r="C7" s="98" t="s">
        <v>93</v>
      </c>
      <c r="D7" s="100" t="s">
        <v>11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80"/>
    </row>
    <row r="8" spans="2:29" ht="15.6" x14ac:dyDescent="0.3">
      <c r="B8" s="77"/>
      <c r="C8" s="98" t="s">
        <v>94</v>
      </c>
      <c r="D8" s="98"/>
      <c r="E8" s="81"/>
      <c r="F8" s="81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80"/>
      <c r="AA8" s="109" t="s">
        <v>99</v>
      </c>
      <c r="AB8" s="109"/>
      <c r="AC8" s="109"/>
    </row>
    <row r="9" spans="2:29" x14ac:dyDescent="0.3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80"/>
      <c r="AB9" s="38"/>
    </row>
    <row r="10" spans="2:29" x14ac:dyDescent="0.3">
      <c r="B10" s="77"/>
      <c r="C10" s="82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80"/>
      <c r="AA10" s="38"/>
      <c r="AC10" s="38"/>
    </row>
    <row r="11" spans="2:29" ht="9.6" customHeight="1" x14ac:dyDescent="0.3">
      <c r="B11" s="7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80"/>
      <c r="AA11" s="38"/>
      <c r="AB11" s="38"/>
      <c r="AC11" s="38"/>
    </row>
    <row r="12" spans="2:29" x14ac:dyDescent="0.3"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80"/>
      <c r="AA12" s="38"/>
      <c r="AB12" s="38"/>
      <c r="AC12" s="38"/>
    </row>
    <row r="13" spans="2:29" x14ac:dyDescent="0.3"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80"/>
      <c r="AA13" s="38"/>
      <c r="AB13" s="38"/>
      <c r="AC13" s="38"/>
    </row>
    <row r="14" spans="2:29" x14ac:dyDescent="0.3">
      <c r="B14" s="77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80"/>
      <c r="AA14" s="38"/>
      <c r="AB14" s="38"/>
      <c r="AC14" s="38"/>
    </row>
    <row r="15" spans="2:29" ht="18" customHeight="1" x14ac:dyDescent="0.3"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80"/>
      <c r="AA15" s="38"/>
      <c r="AB15" s="38"/>
      <c r="AC15" s="38"/>
    </row>
    <row r="16" spans="2:29" ht="8.4" customHeight="1" x14ac:dyDescent="0.3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110" t="s">
        <v>91</v>
      </c>
      <c r="R16" s="110"/>
      <c r="S16" s="110"/>
      <c r="T16" s="110" t="str">
        <f>support!X12</f>
        <v>Current year vs budget</v>
      </c>
      <c r="U16" s="110"/>
      <c r="V16" s="110"/>
      <c r="W16" s="80"/>
      <c r="AA16" s="38"/>
      <c r="AB16" s="38"/>
      <c r="AC16" s="38"/>
    </row>
    <row r="17" spans="2:29" ht="15" thickBot="1" x14ac:dyDescent="0.35"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110"/>
      <c r="R17" s="110"/>
      <c r="S17" s="110"/>
      <c r="T17" s="110"/>
      <c r="U17" s="110"/>
      <c r="V17" s="110"/>
      <c r="W17" s="80"/>
      <c r="AA17" s="38"/>
      <c r="AB17" s="38"/>
      <c r="AC17" s="38"/>
    </row>
    <row r="18" spans="2:29" ht="12" customHeight="1" thickBot="1" x14ac:dyDescent="0.35">
      <c r="B18" s="77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97" t="str">
        <f>support!J13</f>
        <v xml:space="preserve">Sr.No </v>
      </c>
      <c r="P18" s="97" t="str">
        <f>support!K13</f>
        <v>Product name</v>
      </c>
      <c r="Q18" s="94" t="str">
        <f>support!U13</f>
        <v>Revenue</v>
      </c>
      <c r="R18" s="94" t="str">
        <f>support!V13</f>
        <v>Profit</v>
      </c>
      <c r="S18" s="95" t="str">
        <f>support!W13</f>
        <v>Cash</v>
      </c>
      <c r="T18" s="96" t="str">
        <f>support!X13</f>
        <v>Revenue</v>
      </c>
      <c r="U18" s="94" t="str">
        <f>support!Y13</f>
        <v>Profit</v>
      </c>
      <c r="V18" s="94" t="str">
        <f>support!Z13</f>
        <v>Cash</v>
      </c>
      <c r="W18" s="80"/>
      <c r="AA18" s="38"/>
      <c r="AB18" s="38"/>
      <c r="AC18" s="38"/>
    </row>
    <row r="19" spans="2:29" x14ac:dyDescent="0.3">
      <c r="B19" s="77"/>
      <c r="C19" s="78"/>
      <c r="D19" s="82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86">
        <f>support!J14</f>
        <v>1</v>
      </c>
      <c r="P19" s="87" t="str">
        <f>support!K14</f>
        <v>WenCaL</v>
      </c>
      <c r="Q19" s="88">
        <f>support!U14</f>
        <v>5.3507555296007009E-2</v>
      </c>
      <c r="R19" s="88">
        <f>support!V14</f>
        <v>0.14285714285714285</v>
      </c>
      <c r="S19" s="88">
        <f>support!W14</f>
        <v>-7.9532260739757832E-2</v>
      </c>
      <c r="T19" s="88">
        <f>support!X14</f>
        <v>-4.5060543902600413E-2</v>
      </c>
      <c r="U19" s="88">
        <f>support!Y14</f>
        <v>-0.33884297520661155</v>
      </c>
      <c r="V19" s="89">
        <f>support!Z14</f>
        <v>-3.2176491105685386E-2</v>
      </c>
      <c r="W19" s="80"/>
      <c r="AA19" s="109"/>
      <c r="AB19" s="109"/>
      <c r="AC19" s="109"/>
    </row>
    <row r="20" spans="2:29" x14ac:dyDescent="0.3"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41">
        <f>support!J15</f>
        <v>2</v>
      </c>
      <c r="P20" s="38" t="str">
        <f>support!K15</f>
        <v>Blend</v>
      </c>
      <c r="Q20" s="90">
        <f>support!U15</f>
        <v>9.728575785300396E-2</v>
      </c>
      <c r="R20" s="90">
        <f>support!V15</f>
        <v>0.16251246261216351</v>
      </c>
      <c r="S20" s="90">
        <f>support!W15</f>
        <v>-3.8528896672504379E-2</v>
      </c>
      <c r="T20" s="90">
        <f>support!X15</f>
        <v>-1.0505472746273583E-2</v>
      </c>
      <c r="U20" s="90">
        <f>support!Y15</f>
        <v>-4.6606704824202781E-2</v>
      </c>
      <c r="V20" s="91">
        <f>support!Z15</f>
        <v>-0.12920937042459738</v>
      </c>
      <c r="W20" s="80"/>
      <c r="AA20" s="38"/>
      <c r="AB20" s="38"/>
    </row>
    <row r="21" spans="2:29" x14ac:dyDescent="0.3">
      <c r="B21" s="77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41">
        <f>support!J16</f>
        <v>3</v>
      </c>
      <c r="P21" s="38" t="str">
        <f>support!K16</f>
        <v>Voltage</v>
      </c>
      <c r="Q21" s="90">
        <f>support!U16</f>
        <v>6.924600367803084E-2</v>
      </c>
      <c r="R21" s="90">
        <f>support!V16</f>
        <v>0.34416666666666668</v>
      </c>
      <c r="S21" s="90">
        <f>support!W16</f>
        <v>-6.1815840309079204E-2</v>
      </c>
      <c r="T21" s="90">
        <f>support!X16</f>
        <v>0.12352285395763657</v>
      </c>
      <c r="U21" s="90">
        <f>support!Y16</f>
        <v>0.15214285714285714</v>
      </c>
      <c r="V21" s="91">
        <f>support!Z16</f>
        <v>3.098106712564544E-3</v>
      </c>
      <c r="W21" s="80"/>
      <c r="AA21" s="38"/>
      <c r="AB21" s="38"/>
      <c r="AC21" s="38"/>
    </row>
    <row r="22" spans="2:29" x14ac:dyDescent="0.3">
      <c r="B22" s="77"/>
      <c r="C22" s="78"/>
      <c r="D22" s="78"/>
      <c r="E22" s="82"/>
      <c r="F22" s="82"/>
      <c r="G22" s="82"/>
      <c r="H22" s="82"/>
      <c r="I22" s="82"/>
      <c r="J22" s="82"/>
      <c r="K22" s="82"/>
      <c r="L22" s="82"/>
      <c r="M22" s="82"/>
      <c r="N22" s="78"/>
      <c r="O22" s="41">
        <f>support!J17</f>
        <v>4</v>
      </c>
      <c r="P22" s="38" t="str">
        <f>support!K17</f>
        <v>Inkly</v>
      </c>
      <c r="Q22" s="90">
        <f>support!U17</f>
        <v>-3.0255607720396451E-2</v>
      </c>
      <c r="R22" s="90">
        <f>support!V17</f>
        <v>0.4649298597194389</v>
      </c>
      <c r="S22" s="90">
        <f>support!W17</f>
        <v>-0.1055512118842846</v>
      </c>
      <c r="T22" s="90">
        <f>support!X17</f>
        <v>-7.2895021195245616E-2</v>
      </c>
      <c r="U22" s="90">
        <f>support!Y17</f>
        <v>0.14040561622464898</v>
      </c>
      <c r="V22" s="91">
        <f>support!Z17</f>
        <v>-4.9382716049382713E-2</v>
      </c>
      <c r="W22" s="80"/>
      <c r="AA22" s="38"/>
      <c r="AB22" s="38"/>
      <c r="AC22" s="38"/>
    </row>
    <row r="23" spans="2:29" x14ac:dyDescent="0.3">
      <c r="B23" s="77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41">
        <f>support!J18</f>
        <v>5</v>
      </c>
      <c r="P23" s="38" t="str">
        <f>support!K18</f>
        <v>Sleops</v>
      </c>
      <c r="Q23" s="90">
        <f>support!U18</f>
        <v>-0.24733679322589455</v>
      </c>
      <c r="R23" s="90">
        <f>support!V18</f>
        <v>-0.29487179487179488</v>
      </c>
      <c r="S23" s="90">
        <f>support!W18</f>
        <v>3.8062283737024222E-2</v>
      </c>
      <c r="T23" s="90">
        <f>support!X18</f>
        <v>-0.15939597315436241</v>
      </c>
      <c r="U23" s="90">
        <f>support!Y18</f>
        <v>0.16033755274261605</v>
      </c>
      <c r="V23" s="91">
        <f>support!Z18</f>
        <v>9.8498718418161851E-2</v>
      </c>
      <c r="W23" s="80"/>
      <c r="AA23" s="38"/>
      <c r="AB23" s="38"/>
    </row>
    <row r="24" spans="2:29" x14ac:dyDescent="0.3">
      <c r="B24" s="77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41">
        <f>support!J19</f>
        <v>6</v>
      </c>
      <c r="P24" s="38" t="str">
        <f>support!K19</f>
        <v>Kind Ape</v>
      </c>
      <c r="Q24" s="90">
        <f>support!U19</f>
        <v>1.2391996361982719E-2</v>
      </c>
      <c r="R24" s="90">
        <f>support!V19</f>
        <v>0.48417721518987344</v>
      </c>
      <c r="S24" s="90">
        <f>support!W19</f>
        <v>-3.5994240921452571E-2</v>
      </c>
      <c r="T24" s="90">
        <f>support!X19</f>
        <v>-2.0998240985048374E-2</v>
      </c>
      <c r="U24" s="90">
        <f>support!Y19</f>
        <v>-0.2435483870967742</v>
      </c>
      <c r="V24" s="91">
        <f>support!Z19</f>
        <v>3.824948311509304E-2</v>
      </c>
      <c r="W24" s="80"/>
      <c r="AA24" s="38"/>
      <c r="AB24" s="38"/>
      <c r="AC24" s="38"/>
    </row>
    <row r="25" spans="2:29" x14ac:dyDescent="0.3">
      <c r="B25" s="77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41">
        <f>support!J20</f>
        <v>7</v>
      </c>
      <c r="P25" s="38" t="str">
        <f>support!K20</f>
        <v>Pet Feed</v>
      </c>
      <c r="Q25" s="90">
        <f>support!U20</f>
        <v>-4.3878192309889735E-2</v>
      </c>
      <c r="R25" s="90">
        <f>support!V20</f>
        <v>-0.26131117266851339</v>
      </c>
      <c r="S25" s="90">
        <f>support!W20</f>
        <v>-3.4072523079851529E-2</v>
      </c>
      <c r="T25" s="90">
        <f>support!X20</f>
        <v>-8.0848025484703684E-2</v>
      </c>
      <c r="U25" s="90">
        <f>support!Y20</f>
        <v>-0.31972789115646261</v>
      </c>
      <c r="V25" s="91">
        <f>support!Z20</f>
        <v>-3.4164446136277123E-2</v>
      </c>
      <c r="W25" s="80"/>
      <c r="AA25" s="38"/>
      <c r="AB25" s="38"/>
      <c r="AC25" s="38"/>
    </row>
    <row r="26" spans="2:29" x14ac:dyDescent="0.3"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41">
        <f>support!J21</f>
        <v>8</v>
      </c>
      <c r="P26" s="38" t="str">
        <f>support!K21</f>
        <v>Right App</v>
      </c>
      <c r="Q26" s="90">
        <f>support!U21</f>
        <v>0.55541292255027819</v>
      </c>
      <c r="R26" s="90">
        <f>support!V21</f>
        <v>6.6666666666666666E-2</v>
      </c>
      <c r="S26" s="90">
        <f>support!W21</f>
        <v>0.29337539432176657</v>
      </c>
      <c r="T26" s="90">
        <f>support!X21</f>
        <v>1.5646828723107013E-2</v>
      </c>
      <c r="U26" s="90">
        <f>support!Y21</f>
        <v>-0.47826086956521741</v>
      </c>
      <c r="V26" s="91">
        <f>support!Z21</f>
        <v>0.4684813753581662</v>
      </c>
      <c r="W26" s="80"/>
      <c r="AA26" s="38"/>
      <c r="AB26" s="38"/>
      <c r="AC26" s="38"/>
    </row>
    <row r="27" spans="2:29" x14ac:dyDescent="0.3">
      <c r="B27" s="77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41">
        <f>support!J22</f>
        <v>9</v>
      </c>
      <c r="P27" s="38" t="str">
        <f>support!K22</f>
        <v>Mirrrr</v>
      </c>
      <c r="Q27" s="90">
        <f>support!U22</f>
        <v>1.758155889822231E-2</v>
      </c>
      <c r="R27" s="90">
        <f>support!V22</f>
        <v>4.6121593291404611E-2</v>
      </c>
      <c r="S27" s="90">
        <f>support!W22</f>
        <v>-3.1436817151102865E-2</v>
      </c>
      <c r="T27" s="90">
        <f>support!X22</f>
        <v>6.7855678556785565E-2</v>
      </c>
      <c r="U27" s="90">
        <f>support!Y22</f>
        <v>0.26010101010101011</v>
      </c>
      <c r="V27" s="91">
        <f>support!Z22</f>
        <v>-1.3645428781358245E-2</v>
      </c>
      <c r="W27" s="80"/>
    </row>
    <row r="28" spans="2:29" x14ac:dyDescent="0.3"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41">
        <f>support!J23</f>
        <v>10</v>
      </c>
      <c r="P28" s="38" t="str">
        <f>support!K23</f>
        <v>Halotot</v>
      </c>
      <c r="Q28" s="90">
        <f>support!U23</f>
        <v>2.1210844219693777E-2</v>
      </c>
      <c r="R28" s="90">
        <f>support!V23</f>
        <v>-0.57020057306590255</v>
      </c>
      <c r="S28" s="90">
        <f>support!W23</f>
        <v>5.0234741784037557E-2</v>
      </c>
      <c r="T28" s="90">
        <f>support!X23</f>
        <v>1.5646828723107013E-2</v>
      </c>
      <c r="U28" s="90">
        <f>support!Y23</f>
        <v>0.25</v>
      </c>
      <c r="V28" s="91">
        <f>support!Z23</f>
        <v>3.6848203939745076E-2</v>
      </c>
      <c r="W28" s="80"/>
    </row>
    <row r="29" spans="2:29" x14ac:dyDescent="0.3">
      <c r="B29" s="77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41">
        <f>support!J24</f>
        <v>11</v>
      </c>
      <c r="P29" s="38" t="str">
        <f>support!K24</f>
        <v>Flowrrr</v>
      </c>
      <c r="Q29" s="90">
        <f>support!U24</f>
        <v>6.1119030648610122E-2</v>
      </c>
      <c r="R29" s="90">
        <f>support!V24</f>
        <v>0.11587982832618025</v>
      </c>
      <c r="S29" s="90">
        <f>support!W24</f>
        <v>0.15659126365054601</v>
      </c>
      <c r="T29" s="90">
        <f>support!X24</f>
        <v>-3.6807763091852102E-3</v>
      </c>
      <c r="U29" s="90">
        <f>support!Y24</f>
        <v>0.23809523809523808</v>
      </c>
      <c r="V29" s="91">
        <f>support!Z24</f>
        <v>0.25603557814485389</v>
      </c>
      <c r="W29" s="80"/>
      <c r="AA29" s="109"/>
      <c r="AB29" s="109"/>
      <c r="AC29" s="109"/>
    </row>
    <row r="30" spans="2:29" x14ac:dyDescent="0.3">
      <c r="B30" s="77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41">
        <f>support!J25</f>
        <v>12</v>
      </c>
      <c r="P30" s="38" t="str">
        <f>support!K25</f>
        <v>Silvrr</v>
      </c>
      <c r="Q30" s="90">
        <f>support!U25</f>
        <v>0.51501976284584983</v>
      </c>
      <c r="R30" s="90">
        <f>support!V25</f>
        <v>-0.25745257452574527</v>
      </c>
      <c r="S30" s="90">
        <f>support!W25</f>
        <v>0.28024739080015459</v>
      </c>
      <c r="T30" s="90">
        <f>support!X25</f>
        <v>7.9870404282293278E-2</v>
      </c>
      <c r="U30" s="90">
        <f>support!Y25</f>
        <v>0.19130434782608696</v>
      </c>
      <c r="V30" s="91">
        <f>support!Z25</f>
        <v>5.9331520869982411E-2</v>
      </c>
      <c r="W30" s="80"/>
      <c r="AA30" s="38"/>
      <c r="AB30" s="38"/>
    </row>
    <row r="31" spans="2:29" x14ac:dyDescent="0.3">
      <c r="B31" s="77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41">
        <f>support!J26</f>
        <v>13</v>
      </c>
      <c r="P31" s="38" t="str">
        <f>support!K26</f>
        <v>Dasring</v>
      </c>
      <c r="Q31" s="90">
        <f>support!U26</f>
        <v>2.9392244240068265E-2</v>
      </c>
      <c r="R31" s="90">
        <f>support!V26</f>
        <v>0</v>
      </c>
      <c r="S31" s="90">
        <f>support!W26</f>
        <v>-0.1170917854990962</v>
      </c>
      <c r="T31" s="90">
        <f>support!X26</f>
        <v>5.3708676729326789E-3</v>
      </c>
      <c r="U31" s="90">
        <f>support!Y26</f>
        <v>-0.15615615615615616</v>
      </c>
      <c r="V31" s="91">
        <f>support!Z26</f>
        <v>-8.0142289181837204E-2</v>
      </c>
      <c r="W31" s="80"/>
      <c r="AA31" s="38"/>
      <c r="AB31" s="38"/>
      <c r="AC31" s="38"/>
    </row>
    <row r="32" spans="2:29" x14ac:dyDescent="0.3"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41">
        <f>support!J27</f>
        <v>14</v>
      </c>
      <c r="P32" s="38" t="str">
        <f>support!K27</f>
        <v>Rehire</v>
      </c>
      <c r="Q32" s="90">
        <f>support!U27</f>
        <v>-0.1080495076339326</v>
      </c>
      <c r="R32" s="90">
        <f>support!V27</f>
        <v>-0.43251533742331288</v>
      </c>
      <c r="S32" s="90">
        <f>support!W27</f>
        <v>3.2540493214650516E-2</v>
      </c>
      <c r="T32" s="90">
        <f>support!X27</f>
        <v>-5.9714285714285713E-2</v>
      </c>
      <c r="U32" s="90">
        <f>support!Y27</f>
        <v>-0.41915227629513346</v>
      </c>
      <c r="V32" s="91">
        <f>support!Z27</f>
        <v>-0.16654888103651355</v>
      </c>
      <c r="W32" s="80"/>
      <c r="AA32" s="38"/>
      <c r="AB32" s="38"/>
      <c r="AC32" s="38"/>
    </row>
    <row r="33" spans="2:29" ht="15" thickBot="1" x14ac:dyDescent="0.35"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43">
        <f>support!J28</f>
        <v>15</v>
      </c>
      <c r="P33" s="46" t="str">
        <f>support!K28</f>
        <v>Didactic</v>
      </c>
      <c r="Q33" s="92">
        <f>support!U28</f>
        <v>6.8390325271059219E-2</v>
      </c>
      <c r="R33" s="92">
        <f>support!V28</f>
        <v>0.35447761194029853</v>
      </c>
      <c r="S33" s="92">
        <f>support!W28</f>
        <v>-0.18676814988290399</v>
      </c>
      <c r="T33" s="92">
        <f>support!X28</f>
        <v>0.10070458841725383</v>
      </c>
      <c r="U33" s="92">
        <f>support!Y28</f>
        <v>0.46370967741935482</v>
      </c>
      <c r="V33" s="93">
        <f>support!Z28</f>
        <v>-0.37601078167115903</v>
      </c>
      <c r="W33" s="80"/>
      <c r="AA33" s="38"/>
      <c r="AB33" s="38"/>
      <c r="AC33" s="38"/>
    </row>
    <row r="34" spans="2:29" ht="6" customHeight="1" x14ac:dyDescent="0.3">
      <c r="B34" s="77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80"/>
      <c r="AA34" s="38"/>
      <c r="AB34" s="38"/>
      <c r="AC34" s="38"/>
    </row>
    <row r="35" spans="2:29" ht="4.95" customHeight="1" thickBot="1" x14ac:dyDescent="0.35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5"/>
      <c r="AA35" s="38"/>
      <c r="AB35" s="38"/>
      <c r="AC35" s="38"/>
    </row>
    <row r="36" spans="2:29" x14ac:dyDescent="0.3">
      <c r="AA36" s="38"/>
      <c r="AB36" s="38"/>
      <c r="AC36" s="38"/>
    </row>
  </sheetData>
  <mergeCells count="5">
    <mergeCell ref="AA8:AC8"/>
    <mergeCell ref="AA19:AC19"/>
    <mergeCell ref="AA29:AC29"/>
    <mergeCell ref="Q16:S17"/>
    <mergeCell ref="T16:V17"/>
  </mergeCells>
  <conditionalFormatting sqref="Q19:Q3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R19:R33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S19:S33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T19:T3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U19:U3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V19:V3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Check Box 2">
              <controlPr defaultSize="0" autoFill="0" autoLine="0" autoPict="0">
                <anchor moveWithCells="1">
                  <from>
                    <xdr:col>6</xdr:col>
                    <xdr:colOff>213360</xdr:colOff>
                    <xdr:row>5</xdr:row>
                    <xdr:rowOff>0</xdr:rowOff>
                  </from>
                  <to>
                    <xdr:col>7</xdr:col>
                    <xdr:colOff>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6</xdr:col>
                    <xdr:colOff>815340</xdr:colOff>
                    <xdr:row>5</xdr:row>
                    <xdr:rowOff>7620</xdr:rowOff>
                  </from>
                  <to>
                    <xdr:col>8</xdr:col>
                    <xdr:colOff>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5" name="Scroll Bar 1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6" name="Option Button 6">
              <controlPr defaultSize="0" autoFill="0" autoLine="0" autoPict="0">
                <anchor moveWithCells="1">
                  <from>
                    <xdr:col>1</xdr:col>
                    <xdr:colOff>45720</xdr:colOff>
                    <xdr:row>20</xdr:row>
                    <xdr:rowOff>0</xdr:rowOff>
                  </from>
                  <to>
                    <xdr:col>3</xdr:col>
                    <xdr:colOff>350520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Option Button 7">
              <controlPr defaultSize="0" autoFill="0" autoLine="0" autoPict="0">
                <anchor moveWithCells="1">
                  <from>
                    <xdr:col>3</xdr:col>
                    <xdr:colOff>495300</xdr:colOff>
                    <xdr:row>20</xdr:row>
                    <xdr:rowOff>7620</xdr:rowOff>
                  </from>
                  <to>
                    <xdr:col>5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List Box 8">
              <controlPr defaultSize="0" autoLine="0" autoPict="0">
                <anchor moveWithCells="1" siz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5</xdr:col>
                    <xdr:colOff>175260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9" name="Drop Down 9">
              <controlPr defaultSize="0" autoLine="0" autoPict="0">
                <anchor moveWithCells="1">
                  <from>
                    <xdr:col>3</xdr:col>
                    <xdr:colOff>0</xdr:colOff>
                    <xdr:row>7</xdr:row>
                    <xdr:rowOff>15240</xdr:rowOff>
                  </from>
                  <to>
                    <xdr:col>4</xdr:col>
                    <xdr:colOff>182880</xdr:colOff>
                    <xdr:row>7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602577-F9C7-4C0E-861D-B243D305BBDC}">
          <x14:formula1>
            <xm:f>support!$B$13:$B$24</xm:f>
          </x14:formula1>
          <xm:sqref>AC23 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Report</vt:lpstr>
      <vt:lpstr>raw data</vt:lpstr>
      <vt:lpstr>support</vt:lpstr>
      <vt:lpstr>Dashboard</vt:lpstr>
      <vt:lpstr>Current_month</vt:lpstr>
      <vt:lpstr>Current_year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</cp:lastModifiedBy>
  <dcterms:created xsi:type="dcterms:W3CDTF">2024-02-09T12:15:37Z</dcterms:created>
  <dcterms:modified xsi:type="dcterms:W3CDTF">2024-04-08T11:47:24Z</dcterms:modified>
</cp:coreProperties>
</file>