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F421AC8E-AE8A-4E5B-BE12-8270DB0C7C93}" xr6:coauthVersionLast="47" xr6:coauthVersionMax="47" xr10:uidLastSave="{00000000-0000-0000-0000-000000000000}"/>
  <bookViews>
    <workbookView xWindow="-108" yWindow="-108" windowWidth="23256" windowHeight="12456" firstSheet="1" activeTab="4" xr2:uid="{268B7C20-9D8C-4B3C-8FDE-1BF58AB468BE}"/>
  </bookViews>
  <sheets>
    <sheet name="Dashboard" sheetId="17" r:id="rId1"/>
    <sheet name="IS" sheetId="3" r:id="rId2"/>
    <sheet name="BS" sheetId="5" r:id="rId3"/>
    <sheet name="CF" sheetId="6" r:id="rId4"/>
    <sheet name="DCF Model" sheetId="10" r:id="rId5"/>
    <sheet name="Comparative Analysis" sheetId="12" r:id="rId6"/>
    <sheet name="Peer DCF Comparison" sheetId="13" r:id="rId7"/>
    <sheet name="Debt Analysis" sheetId="16" r:id="rId8"/>
    <sheet name="Segmental Analysis" sheetId="15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3" l="1"/>
  <c r="F46" i="3"/>
  <c r="E46" i="3"/>
  <c r="D46" i="3"/>
  <c r="C46" i="3"/>
  <c r="G86" i="15"/>
  <c r="F86" i="15"/>
  <c r="E86" i="15"/>
  <c r="D86" i="15"/>
  <c r="C86" i="15"/>
  <c r="G12" i="16"/>
  <c r="F12" i="16"/>
  <c r="E12" i="16"/>
  <c r="D12" i="16"/>
  <c r="C12" i="16"/>
  <c r="G8" i="16"/>
  <c r="F8" i="16"/>
  <c r="E8" i="16"/>
  <c r="D8" i="16"/>
  <c r="C8" i="16"/>
  <c r="G4" i="16"/>
  <c r="F4" i="16"/>
  <c r="E4" i="16"/>
  <c r="D4" i="16"/>
  <c r="C4" i="16"/>
  <c r="G9" i="16"/>
  <c r="F9" i="16"/>
  <c r="E9" i="16"/>
  <c r="D9" i="16"/>
  <c r="C9" i="16"/>
  <c r="G7" i="16"/>
  <c r="F7" i="16"/>
  <c r="E7" i="16"/>
  <c r="D7" i="16"/>
  <c r="C7" i="16"/>
  <c r="G6" i="16"/>
  <c r="F6" i="16"/>
  <c r="E6" i="16"/>
  <c r="D6" i="16"/>
  <c r="C6" i="16"/>
  <c r="F5" i="16"/>
  <c r="E5" i="16"/>
  <c r="D5" i="16"/>
  <c r="C5" i="16"/>
  <c r="F3" i="16"/>
  <c r="E3" i="16"/>
  <c r="D3" i="16"/>
  <c r="C3" i="16"/>
  <c r="D2" i="16"/>
  <c r="E2" i="16" s="1"/>
  <c r="F2" i="16" s="1"/>
  <c r="G2" i="16" s="1"/>
  <c r="G3" i="16"/>
  <c r="G5" i="16"/>
  <c r="D111" i="13"/>
  <c r="D110" i="13"/>
  <c r="D109" i="13"/>
  <c r="C111" i="13"/>
  <c r="C110" i="13"/>
  <c r="C109" i="13"/>
  <c r="G83" i="15"/>
  <c r="F83" i="15"/>
  <c r="E83" i="15"/>
  <c r="D83" i="15"/>
  <c r="G82" i="15"/>
  <c r="F82" i="15"/>
  <c r="E82" i="15"/>
  <c r="D82" i="15"/>
  <c r="G81" i="15"/>
  <c r="F81" i="15"/>
  <c r="E81" i="15"/>
  <c r="D81" i="15"/>
  <c r="G80" i="15"/>
  <c r="F80" i="15"/>
  <c r="E80" i="15"/>
  <c r="D80" i="15"/>
  <c r="C83" i="15"/>
  <c r="C82" i="15"/>
  <c r="C81" i="15"/>
  <c r="C80" i="15"/>
  <c r="G79" i="15"/>
  <c r="F79" i="15"/>
  <c r="E79" i="15"/>
  <c r="D79" i="15"/>
  <c r="C79" i="15"/>
  <c r="G77" i="15"/>
  <c r="F77" i="15"/>
  <c r="E77" i="15"/>
  <c r="D77" i="15"/>
  <c r="C77" i="15"/>
  <c r="G76" i="15"/>
  <c r="F76" i="15"/>
  <c r="E76" i="15"/>
  <c r="D76" i="15"/>
  <c r="C76" i="15"/>
  <c r="G75" i="15"/>
  <c r="F75" i="15"/>
  <c r="E75" i="15"/>
  <c r="D75" i="15"/>
  <c r="C75" i="15"/>
  <c r="G74" i="15"/>
  <c r="F74" i="15"/>
  <c r="E74" i="15"/>
  <c r="D74" i="15"/>
  <c r="C74" i="15"/>
  <c r="G73" i="15"/>
  <c r="F73" i="15"/>
  <c r="E73" i="15"/>
  <c r="D73" i="15"/>
  <c r="C73" i="15"/>
  <c r="G71" i="15"/>
  <c r="F71" i="15"/>
  <c r="E71" i="15"/>
  <c r="D71" i="15"/>
  <c r="G70" i="15"/>
  <c r="F70" i="15"/>
  <c r="E70" i="15"/>
  <c r="D70" i="15"/>
  <c r="G69" i="15"/>
  <c r="F69" i="15"/>
  <c r="E69" i="15"/>
  <c r="D69" i="15"/>
  <c r="G68" i="15"/>
  <c r="F68" i="15"/>
  <c r="E68" i="15"/>
  <c r="D68" i="15"/>
  <c r="C71" i="15"/>
  <c r="C70" i="15"/>
  <c r="C69" i="15"/>
  <c r="C68" i="15"/>
  <c r="G67" i="15"/>
  <c r="F67" i="15"/>
  <c r="E67" i="15"/>
  <c r="D67" i="15"/>
  <c r="C67" i="15"/>
  <c r="G56" i="15"/>
  <c r="F56" i="15"/>
  <c r="E56" i="15"/>
  <c r="D56" i="15"/>
  <c r="D46" i="15"/>
  <c r="C46" i="15"/>
  <c r="G57" i="15"/>
  <c r="F57" i="15"/>
  <c r="E57" i="15"/>
  <c r="D57" i="15"/>
  <c r="G49" i="15"/>
  <c r="F49" i="15"/>
  <c r="E49" i="15"/>
  <c r="D49" i="15"/>
  <c r="G55" i="15"/>
  <c r="F55" i="15"/>
  <c r="E55" i="15"/>
  <c r="D55" i="15"/>
  <c r="G54" i="15"/>
  <c r="F54" i="15"/>
  <c r="E54" i="15"/>
  <c r="D54" i="15"/>
  <c r="E63" i="15"/>
  <c r="D63" i="15"/>
  <c r="G62" i="15"/>
  <c r="F62" i="15"/>
  <c r="E62" i="15"/>
  <c r="D62" i="15"/>
  <c r="G61" i="15"/>
  <c r="F61" i="15"/>
  <c r="E61" i="15"/>
  <c r="D61" i="15"/>
  <c r="G60" i="15"/>
  <c r="F60" i="15"/>
  <c r="E60" i="15"/>
  <c r="D60" i="15"/>
  <c r="E51" i="15"/>
  <c r="D51" i="15"/>
  <c r="G50" i="15"/>
  <c r="F50" i="15"/>
  <c r="E50" i="15"/>
  <c r="D50" i="15"/>
  <c r="G48" i="15"/>
  <c r="F48" i="15"/>
  <c r="E48" i="15"/>
  <c r="D48" i="15"/>
  <c r="G10" i="15"/>
  <c r="G40" i="15"/>
  <c r="F40" i="15"/>
  <c r="G30" i="15"/>
  <c r="G20" i="15"/>
  <c r="F30" i="15"/>
  <c r="F63" i="15" s="1"/>
  <c r="F20" i="15"/>
  <c r="F10" i="15"/>
  <c r="F51" i="15" s="1"/>
  <c r="D3" i="15"/>
  <c r="E3" i="15" s="1"/>
  <c r="F3" i="15" s="1"/>
  <c r="G3" i="15" s="1"/>
  <c r="G46" i="15" s="1"/>
  <c r="E14" i="10"/>
  <c r="F14" i="10" s="1"/>
  <c r="G14" i="10" s="1"/>
  <c r="D14" i="10"/>
  <c r="F31" i="12"/>
  <c r="E31" i="12"/>
  <c r="D31" i="12"/>
  <c r="C31" i="12"/>
  <c r="E29" i="12"/>
  <c r="F29" i="12"/>
  <c r="D29" i="12"/>
  <c r="C29" i="12"/>
  <c r="F33" i="12"/>
  <c r="E33" i="12"/>
  <c r="D33" i="12"/>
  <c r="F28" i="12"/>
  <c r="E28" i="12"/>
  <c r="D28" i="12"/>
  <c r="F27" i="12"/>
  <c r="E27" i="12"/>
  <c r="D27" i="12"/>
  <c r="N7" i="13"/>
  <c r="M7" i="13"/>
  <c r="L7" i="13"/>
  <c r="N6" i="13"/>
  <c r="M6" i="13"/>
  <c r="L6" i="13"/>
  <c r="N5" i="13"/>
  <c r="M5" i="13"/>
  <c r="L5" i="13"/>
  <c r="N4" i="13"/>
  <c r="M4" i="13"/>
  <c r="L4" i="13"/>
  <c r="K4" i="13"/>
  <c r="G103" i="13"/>
  <c r="G91" i="13"/>
  <c r="F91" i="13"/>
  <c r="E91" i="13"/>
  <c r="D91" i="13"/>
  <c r="C91" i="13"/>
  <c r="D48" i="13"/>
  <c r="G68" i="13" s="1"/>
  <c r="D12" i="13"/>
  <c r="G32" i="13" s="1"/>
  <c r="F96" i="13"/>
  <c r="G96" i="13"/>
  <c r="E96" i="13"/>
  <c r="D96" i="13"/>
  <c r="C96" i="13"/>
  <c r="G89" i="13"/>
  <c r="F89" i="13"/>
  <c r="E89" i="13"/>
  <c r="D89" i="13"/>
  <c r="C89" i="13"/>
  <c r="E86" i="13"/>
  <c r="F86" i="13" s="1"/>
  <c r="G86" i="13" s="1"/>
  <c r="D86" i="13"/>
  <c r="E85" i="13"/>
  <c r="F85" i="13" s="1"/>
  <c r="G85" i="13" s="1"/>
  <c r="D85" i="13"/>
  <c r="C76" i="13"/>
  <c r="C78" i="13" s="1"/>
  <c r="C80" i="13" s="1"/>
  <c r="G56" i="13"/>
  <c r="F56" i="13"/>
  <c r="E56" i="13"/>
  <c r="D56" i="13"/>
  <c r="C56" i="13"/>
  <c r="B16" i="13"/>
  <c r="G61" i="13"/>
  <c r="F61" i="13"/>
  <c r="E61" i="13"/>
  <c r="D61" i="13"/>
  <c r="C61" i="13"/>
  <c r="G54" i="13"/>
  <c r="F54" i="13"/>
  <c r="E54" i="13"/>
  <c r="D54" i="13"/>
  <c r="C54" i="13"/>
  <c r="D51" i="13"/>
  <c r="E51" i="13" s="1"/>
  <c r="F51" i="13" s="1"/>
  <c r="G51" i="13" s="1"/>
  <c r="D50" i="13"/>
  <c r="E50" i="13" s="1"/>
  <c r="F50" i="13" s="1"/>
  <c r="G50" i="13" s="1"/>
  <c r="C41" i="13"/>
  <c r="C43" i="13" s="1"/>
  <c r="C45" i="13" s="1"/>
  <c r="G20" i="13"/>
  <c r="G25" i="13" s="1"/>
  <c r="F20" i="13"/>
  <c r="F25" i="13" s="1"/>
  <c r="E20" i="13"/>
  <c r="D20" i="13"/>
  <c r="D25" i="13" s="1"/>
  <c r="C20" i="13"/>
  <c r="C25" i="13" s="1"/>
  <c r="G18" i="13"/>
  <c r="F18" i="13"/>
  <c r="E18" i="13"/>
  <c r="D18" i="13"/>
  <c r="C18" i="13"/>
  <c r="C5" i="13"/>
  <c r="D14" i="13"/>
  <c r="E14" i="13" s="1"/>
  <c r="F14" i="13" s="1"/>
  <c r="G14" i="13" s="1"/>
  <c r="B17" i="13"/>
  <c r="E25" i="13"/>
  <c r="D15" i="13"/>
  <c r="E15" i="13" s="1"/>
  <c r="F15" i="13" s="1"/>
  <c r="G15" i="13" s="1"/>
  <c r="C7" i="13"/>
  <c r="C9" i="13" s="1"/>
  <c r="F19" i="12"/>
  <c r="D21" i="12"/>
  <c r="C21" i="12"/>
  <c r="C22" i="12"/>
  <c r="C19" i="12"/>
  <c r="C18" i="12"/>
  <c r="C17" i="12"/>
  <c r="C16" i="12"/>
  <c r="C11" i="12"/>
  <c r="C33" i="12" s="1"/>
  <c r="C8" i="12"/>
  <c r="C5" i="10"/>
  <c r="C7" i="10" s="1"/>
  <c r="C9" i="10" s="1"/>
  <c r="G23" i="10"/>
  <c r="G19" i="10"/>
  <c r="F19" i="10"/>
  <c r="E19" i="10"/>
  <c r="D19" i="10"/>
  <c r="C19" i="10"/>
  <c r="F23" i="10"/>
  <c r="E23" i="10"/>
  <c r="D23" i="10"/>
  <c r="C23" i="10"/>
  <c r="G21" i="10"/>
  <c r="F21" i="10"/>
  <c r="E21" i="10"/>
  <c r="D21" i="10"/>
  <c r="C21" i="10"/>
  <c r="G18" i="10"/>
  <c r="F18" i="10"/>
  <c r="E18" i="10"/>
  <c r="D18" i="10"/>
  <c r="C18" i="10"/>
  <c r="G17" i="10"/>
  <c r="F17" i="10"/>
  <c r="E17" i="10"/>
  <c r="D17" i="10"/>
  <c r="C17" i="10"/>
  <c r="G16" i="10"/>
  <c r="G22" i="10" s="1"/>
  <c r="F16" i="10"/>
  <c r="F22" i="10" s="1"/>
  <c r="E16" i="10"/>
  <c r="E22" i="10" s="1"/>
  <c r="D16" i="10"/>
  <c r="D22" i="10" s="1"/>
  <c r="C16" i="10"/>
  <c r="C22" i="10" s="1"/>
  <c r="D15" i="10"/>
  <c r="E15" i="10" s="1"/>
  <c r="F15" i="10" s="1"/>
  <c r="G15" i="10" s="1"/>
  <c r="B17" i="10"/>
  <c r="B16" i="10"/>
  <c r="E46" i="15" l="1"/>
  <c r="F46" i="15"/>
  <c r="G63" i="15"/>
  <c r="G51" i="15"/>
  <c r="C28" i="12"/>
  <c r="E98" i="13"/>
  <c r="C98" i="13"/>
  <c r="G98" i="13"/>
  <c r="G97" i="13"/>
  <c r="G100" i="13" s="1"/>
  <c r="D98" i="13"/>
  <c r="F98" i="13"/>
  <c r="F27" i="13"/>
  <c r="C27" i="13"/>
  <c r="E63" i="13"/>
  <c r="C63" i="13"/>
  <c r="G63" i="13"/>
  <c r="G62" i="13"/>
  <c r="G65" i="13" s="1"/>
  <c r="D63" i="13"/>
  <c r="F63" i="13"/>
  <c r="G27" i="13"/>
  <c r="G26" i="13"/>
  <c r="G29" i="13" s="1"/>
  <c r="D27" i="13"/>
  <c r="E27" i="13"/>
  <c r="G101" i="13" l="1"/>
  <c r="G104" i="13" s="1"/>
  <c r="G66" i="13"/>
  <c r="G69" i="13" s="1"/>
  <c r="G30" i="13"/>
  <c r="G33" i="13" s="1"/>
  <c r="J44" i="5" l="1"/>
  <c r="I44" i="5"/>
  <c r="H44" i="5"/>
  <c r="G44" i="5"/>
  <c r="F44" i="5"/>
  <c r="E44" i="5"/>
  <c r="D44" i="5"/>
  <c r="J45" i="5" l="1"/>
  <c r="I45" i="5"/>
  <c r="H45" i="5"/>
  <c r="G45" i="5"/>
  <c r="F45" i="5"/>
  <c r="E45" i="5"/>
  <c r="D45" i="5"/>
  <c r="J49" i="5"/>
  <c r="I49" i="5"/>
  <c r="H49" i="5"/>
  <c r="G49" i="5"/>
  <c r="F49" i="5"/>
  <c r="E49" i="5"/>
  <c r="D49" i="5"/>
  <c r="J46" i="5"/>
  <c r="D33" i="5"/>
  <c r="E33" i="5"/>
  <c r="F33" i="5"/>
  <c r="G33" i="5"/>
  <c r="G46" i="5" l="1"/>
  <c r="F46" i="5"/>
  <c r="E46" i="5"/>
  <c r="H33" i="5" l="1"/>
  <c r="H34" i="5"/>
  <c r="D38" i="5"/>
  <c r="E38" i="5"/>
  <c r="F38" i="5"/>
  <c r="G38" i="5"/>
  <c r="G29" i="5"/>
  <c r="F29" i="5"/>
  <c r="E29" i="5"/>
  <c r="D29" i="5"/>
  <c r="C29" i="5"/>
  <c r="J11" i="6"/>
  <c r="H17" i="6"/>
  <c r="G17" i="6"/>
  <c r="F17" i="6"/>
  <c r="E17" i="6"/>
  <c r="D17" i="6"/>
  <c r="I17" i="6" s="1"/>
  <c r="I16" i="6"/>
  <c r="H16" i="6"/>
  <c r="G16" i="6"/>
  <c r="F16" i="6"/>
  <c r="E16" i="6"/>
  <c r="D16" i="6"/>
  <c r="K4" i="6" l="1"/>
  <c r="L4" i="6" s="1"/>
  <c r="G42" i="5"/>
  <c r="F42" i="5"/>
  <c r="E42" i="5"/>
  <c r="D42" i="5"/>
  <c r="G41" i="5"/>
  <c r="F41" i="5"/>
  <c r="E41" i="5"/>
  <c r="D41" i="5"/>
  <c r="G39" i="5"/>
  <c r="F39" i="5"/>
  <c r="E39" i="5"/>
  <c r="D39" i="5"/>
  <c r="G36" i="5"/>
  <c r="F36" i="5"/>
  <c r="E36" i="5"/>
  <c r="D36" i="5"/>
  <c r="I3" i="5"/>
  <c r="J3" i="5" s="1"/>
  <c r="G34" i="5"/>
  <c r="F34" i="5"/>
  <c r="E34" i="5"/>
  <c r="D34" i="5"/>
  <c r="G58" i="3"/>
  <c r="F58" i="3"/>
  <c r="E58" i="3"/>
  <c r="D58" i="3"/>
  <c r="G56" i="3"/>
  <c r="F56" i="3"/>
  <c r="E56" i="3"/>
  <c r="D56" i="3"/>
  <c r="G54" i="3"/>
  <c r="F54" i="3"/>
  <c r="E54" i="3"/>
  <c r="D54" i="3"/>
  <c r="G32" i="5"/>
  <c r="F32" i="5"/>
  <c r="E32" i="5"/>
  <c r="D32" i="5"/>
  <c r="G19" i="3"/>
  <c r="F19" i="3"/>
  <c r="E19" i="3"/>
  <c r="D19" i="3"/>
  <c r="C19" i="3"/>
  <c r="I5" i="3"/>
  <c r="J5" i="3" s="1"/>
  <c r="C16" i="3"/>
  <c r="C13" i="3" s="1"/>
  <c r="G16" i="3"/>
  <c r="F16" i="3"/>
  <c r="E16" i="3"/>
  <c r="D16" i="3"/>
  <c r="D13" i="3" s="1"/>
  <c r="G52" i="3"/>
  <c r="F52" i="3"/>
  <c r="E52" i="3"/>
  <c r="H52" i="3" s="1"/>
  <c r="D52" i="3"/>
  <c r="G51" i="3"/>
  <c r="F51" i="3"/>
  <c r="E51" i="3"/>
  <c r="D51" i="3"/>
  <c r="G6" i="3"/>
  <c r="F6" i="3"/>
  <c r="E6" i="3"/>
  <c r="D6" i="3"/>
  <c r="C6" i="3"/>
  <c r="C12" i="3" s="1"/>
  <c r="C20" i="10" s="1"/>
  <c r="C25" i="10" s="1"/>
  <c r="C27" i="10" s="1"/>
  <c r="E50" i="3" l="1"/>
  <c r="G12" i="3"/>
  <c r="C12" i="12"/>
  <c r="H36" i="5"/>
  <c r="H38" i="5"/>
  <c r="H20" i="5" s="1"/>
  <c r="I20" i="5" s="1"/>
  <c r="J20" i="5" s="1"/>
  <c r="H39" i="5"/>
  <c r="H21" i="5" s="1"/>
  <c r="H22" i="5" s="1"/>
  <c r="H41" i="5"/>
  <c r="H23" i="5" s="1"/>
  <c r="I23" i="5" s="1"/>
  <c r="J23" i="5" s="1"/>
  <c r="H10" i="5"/>
  <c r="I10" i="5" s="1"/>
  <c r="H58" i="3"/>
  <c r="H19" i="5"/>
  <c r="I19" i="5" s="1"/>
  <c r="J19" i="5" s="1"/>
  <c r="H11" i="5"/>
  <c r="H46" i="5" s="1"/>
  <c r="H54" i="3"/>
  <c r="D12" i="3"/>
  <c r="E12" i="3"/>
  <c r="F12" i="3"/>
  <c r="G50" i="3"/>
  <c r="H51" i="3"/>
  <c r="F13" i="3"/>
  <c r="D50" i="3"/>
  <c r="G13" i="3"/>
  <c r="C10" i="12" s="1"/>
  <c r="F50" i="3"/>
  <c r="E13" i="3"/>
  <c r="F40" i="5" l="1"/>
  <c r="F20" i="10"/>
  <c r="F25" i="10" s="1"/>
  <c r="F27" i="10" s="1"/>
  <c r="F53" i="3"/>
  <c r="E40" i="5"/>
  <c r="H40" i="5" s="1"/>
  <c r="E20" i="10"/>
  <c r="E25" i="10" s="1"/>
  <c r="E27" i="10" s="1"/>
  <c r="E53" i="3"/>
  <c r="G40" i="5"/>
  <c r="G20" i="10"/>
  <c r="G25" i="10" s="1"/>
  <c r="C7" i="12"/>
  <c r="C27" i="12" s="1"/>
  <c r="G53" i="3"/>
  <c r="D40" i="5"/>
  <c r="D20" i="10"/>
  <c r="D25" i="10" s="1"/>
  <c r="D27" i="10" s="1"/>
  <c r="D53" i="3"/>
  <c r="G55" i="3"/>
  <c r="I11" i="5"/>
  <c r="I46" i="5" s="1"/>
  <c r="H21" i="3"/>
  <c r="I21" i="5"/>
  <c r="J21" i="3"/>
  <c r="I17" i="5"/>
  <c r="I18" i="5"/>
  <c r="H17" i="5"/>
  <c r="H18" i="5"/>
  <c r="D55" i="3"/>
  <c r="F55" i="3"/>
  <c r="E55" i="3"/>
  <c r="I21" i="3"/>
  <c r="H12" i="5"/>
  <c r="H13" i="5" s="1"/>
  <c r="H14" i="5" s="1"/>
  <c r="J21" i="5"/>
  <c r="J22" i="5" s="1"/>
  <c r="I22" i="5"/>
  <c r="H14" i="3"/>
  <c r="I14" i="3"/>
  <c r="J10" i="5"/>
  <c r="I12" i="5"/>
  <c r="H50" i="3"/>
  <c r="G27" i="10" l="1"/>
  <c r="G26" i="10"/>
  <c r="G29" i="10" s="1"/>
  <c r="G30" i="10" s="1"/>
  <c r="G32" i="10" s="1"/>
  <c r="J11" i="5"/>
  <c r="J14" i="3" s="1"/>
  <c r="H24" i="5"/>
  <c r="H29" i="5" s="1"/>
  <c r="J17" i="5"/>
  <c r="J18" i="5"/>
  <c r="I24" i="5"/>
  <c r="H55" i="3"/>
  <c r="I13" i="5"/>
  <c r="I14" i="5" s="1"/>
  <c r="H6" i="3"/>
  <c r="K5" i="13" l="1"/>
  <c r="G33" i="10"/>
  <c r="J12" i="5"/>
  <c r="J13" i="5" s="1"/>
  <c r="J14" i="5" s="1"/>
  <c r="I29" i="5"/>
  <c r="J24" i="5"/>
  <c r="I6" i="3"/>
  <c r="H11" i="3"/>
  <c r="H12" i="3" s="1"/>
  <c r="K7" i="13" l="1"/>
  <c r="K6" i="13"/>
  <c r="J29" i="5"/>
  <c r="H19" i="3"/>
  <c r="H13" i="3" s="1"/>
  <c r="H20" i="3" s="1"/>
  <c r="H23" i="3" s="1"/>
  <c r="J6" i="3"/>
  <c r="I11" i="3"/>
  <c r="I12" i="3" s="1"/>
  <c r="H63" i="3" l="1"/>
  <c r="I19" i="3"/>
  <c r="I13" i="3" s="1"/>
  <c r="I20" i="3" s="1"/>
  <c r="I23" i="3" s="1"/>
  <c r="H24" i="3"/>
  <c r="H25" i="3" s="1"/>
  <c r="H28" i="3" s="1"/>
  <c r="J11" i="3"/>
  <c r="J12" i="3" s="1"/>
  <c r="I63" i="3" l="1"/>
  <c r="I24" i="3"/>
  <c r="I25" i="3" s="1"/>
  <c r="I28" i="3" s="1"/>
  <c r="I31" i="3" s="1"/>
  <c r="H31" i="3"/>
  <c r="J5" i="6"/>
  <c r="J19" i="3"/>
  <c r="J13" i="3" s="1"/>
  <c r="J20" i="3" s="1"/>
  <c r="J23" i="3" s="1"/>
  <c r="I45" i="3" l="1"/>
  <c r="J63" i="3"/>
  <c r="K63" i="3" s="1"/>
  <c r="H45" i="3"/>
  <c r="H8" i="5" s="1"/>
  <c r="I8" i="5" s="1"/>
  <c r="I9" i="5" s="1"/>
  <c r="K5" i="6"/>
  <c r="K9" i="6" s="1"/>
  <c r="J24" i="3"/>
  <c r="J25" i="3" s="1"/>
  <c r="J28" i="3" s="1"/>
  <c r="J9" i="6"/>
  <c r="J6" i="6"/>
  <c r="H9" i="5" l="1"/>
  <c r="K6" i="6"/>
  <c r="K10" i="6" s="1"/>
  <c r="J10" i="6"/>
  <c r="J12" i="6" s="1"/>
  <c r="K11" i="6" s="1"/>
  <c r="J31" i="3"/>
  <c r="L5" i="6"/>
  <c r="K12" i="6" l="1"/>
  <c r="L11" i="6" s="1"/>
  <c r="J45" i="3"/>
  <c r="J8" i="5" s="1"/>
  <c r="J9" i="5" s="1"/>
  <c r="L9" i="6"/>
  <c r="L6" i="6"/>
  <c r="L10" i="6" l="1"/>
  <c r="L12" i="6" s="1"/>
  <c r="H25" i="5"/>
  <c r="I25" i="5"/>
  <c r="J25" i="5"/>
</calcChain>
</file>

<file path=xl/sharedStrings.xml><?xml version="1.0" encoding="utf-8"?>
<sst xmlns="http://schemas.openxmlformats.org/spreadsheetml/2006/main" count="503" uniqueCount="198">
  <si>
    <t>Income Statement</t>
  </si>
  <si>
    <t>Interest Earned</t>
  </si>
  <si>
    <t>Interest Expended</t>
  </si>
  <si>
    <t>Yearly Results of HDFC Bank (in Rs. Cr.)</t>
  </si>
  <si>
    <t>Mar '24</t>
  </si>
  <si>
    <t>Mar '23</t>
  </si>
  <si>
    <t>Mar '22</t>
  </si>
  <si>
    <t>Mar '21</t>
  </si>
  <si>
    <t>Mar '20</t>
  </si>
  <si>
    <t>(a) Int. /Disc. on Adv/Bills</t>
  </si>
  <si>
    <t>(b) Income on Investment</t>
  </si>
  <si>
    <t>(c) Int. on balances With RBI</t>
  </si>
  <si>
    <t>(d) Others</t>
  </si>
  <si>
    <t>Other Income</t>
  </si>
  <si>
    <t>EXPENDITURE</t>
  </si>
  <si>
    <t>Employees Cost</t>
  </si>
  <si>
    <t>Other Expenses</t>
  </si>
  <si>
    <t>Depreciation</t>
  </si>
  <si>
    <t>--</t>
  </si>
  <si>
    <t>Operating Profit before Provisions and contingencies</t>
  </si>
  <si>
    <t>Provisions And Contingencies</t>
  </si>
  <si>
    <t>Exceptional Items</t>
  </si>
  <si>
    <t>P/L Before Tax</t>
  </si>
  <si>
    <t>Tax</t>
  </si>
  <si>
    <t>P/L After Tax from Ordinary Activities</t>
  </si>
  <si>
    <t>Prior Year Adjustments</t>
  </si>
  <si>
    <t>Extra Ordinary Items</t>
  </si>
  <si>
    <t>Net Profit/(Loss) For the Period</t>
  </si>
  <si>
    <t>Minority Interest</t>
  </si>
  <si>
    <t>Share Of P/L Of Associates</t>
  </si>
  <si>
    <t>Net P/L After M.I &amp; Associates</t>
  </si>
  <si>
    <t>Equity Share Capital</t>
  </si>
  <si>
    <t>Reserves Excluding Revaluation Reserves</t>
  </si>
  <si>
    <t>Equity Dividend Rate (%)</t>
  </si>
  <si>
    <t>ANALYTICAL RATIOS</t>
  </si>
  <si>
    <t>a) % of Share by Govt.</t>
  </si>
  <si>
    <t>b) Capital Adequacy Ratio - Basel -I</t>
  </si>
  <si>
    <t>c) Capital Adequacy Ratio - Basel -II</t>
  </si>
  <si>
    <t>EPS Before Extra Ordinary</t>
  </si>
  <si>
    <t>Basic EPS</t>
  </si>
  <si>
    <t>Diluted EPS</t>
  </si>
  <si>
    <t>EPS After Extra Ordinary</t>
  </si>
  <si>
    <t>Basic EPS.</t>
  </si>
  <si>
    <t>Diluted EPS.</t>
  </si>
  <si>
    <t xml:space="preserve">HDFC </t>
  </si>
  <si>
    <t>Interest Income</t>
  </si>
  <si>
    <t>Non-interest Income</t>
  </si>
  <si>
    <t>Provisions</t>
  </si>
  <si>
    <t>-</t>
  </si>
  <si>
    <t>Growth Rates:</t>
  </si>
  <si>
    <t>Total INCOME</t>
  </si>
  <si>
    <t>Total Share Capital</t>
  </si>
  <si>
    <t>Deposits</t>
  </si>
  <si>
    <t>Borrowings</t>
  </si>
  <si>
    <t>Investments</t>
  </si>
  <si>
    <t>Advances</t>
  </si>
  <si>
    <t>Other Assets</t>
  </si>
  <si>
    <t>Total Assets</t>
  </si>
  <si>
    <t>Contingent Liabilities</t>
  </si>
  <si>
    <t>Capital and Liabilities:</t>
  </si>
  <si>
    <t>Share Application Money</t>
  </si>
  <si>
    <t>Reserves</t>
  </si>
  <si>
    <t>Net Worth</t>
  </si>
  <si>
    <t>Total Debt</t>
  </si>
  <si>
    <t>Other Liabilities &amp; Provisions</t>
  </si>
  <si>
    <t>Total Liabilities</t>
  </si>
  <si>
    <t>Assets</t>
  </si>
  <si>
    <t>Cash &amp; Balances with RBI</t>
  </si>
  <si>
    <t>Balance with Banks, Money at Call</t>
  </si>
  <si>
    <t>Gross Block</t>
  </si>
  <si>
    <t>Net Block</t>
  </si>
  <si>
    <t>Book Value (Rs)</t>
  </si>
  <si>
    <t>Years</t>
  </si>
  <si>
    <t>Balance Sheet</t>
  </si>
  <si>
    <t>Operating Expenses</t>
  </si>
  <si>
    <t>Cost Of Funds</t>
  </si>
  <si>
    <t>Cost to income Ratio</t>
  </si>
  <si>
    <t>Tax %</t>
  </si>
  <si>
    <t>Provision Percentage</t>
  </si>
  <si>
    <t>Other Liabilites as % of total Liabilities</t>
  </si>
  <si>
    <t>Cash Reserve Ratio (CRR)</t>
  </si>
  <si>
    <t>Asset Turnover Ratio</t>
  </si>
  <si>
    <t>Shares Outstanding</t>
  </si>
  <si>
    <t>2,534,202,430 </t>
  </si>
  <si>
    <t>Other Assets as % of Total Assets</t>
  </si>
  <si>
    <t>Bal. With banks as % of Deposits</t>
  </si>
  <si>
    <t>Net Profit Before Tax</t>
  </si>
  <si>
    <t>Net Cash From Operating Activities</t>
  </si>
  <si>
    <t>Net Cash (used in)/from</t>
  </si>
  <si>
    <t>Investing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</si>
  <si>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</si>
  <si>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</si>
  <si>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</si>
  <si>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</si>
  <si>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CapEx</t>
  </si>
  <si>
    <t>CFO as % of EBIT</t>
  </si>
  <si>
    <t>CFI as % of EBIT</t>
  </si>
  <si>
    <t>Check Row</t>
  </si>
  <si>
    <t>x</t>
  </si>
  <si>
    <t>Dividend %</t>
  </si>
  <si>
    <t>Dividend Payout</t>
  </si>
  <si>
    <t>Investments as % of Reserves</t>
  </si>
  <si>
    <t>Plug</t>
  </si>
  <si>
    <t>EBITDA Margin</t>
  </si>
  <si>
    <t>Overall income growth</t>
  </si>
  <si>
    <t>Assumption</t>
  </si>
  <si>
    <t>Market Return</t>
  </si>
  <si>
    <t>FCFE</t>
  </si>
  <si>
    <t>Change in WC</t>
  </si>
  <si>
    <t>Borrowings as of Deposit</t>
  </si>
  <si>
    <t>Present Value of FCFE</t>
  </si>
  <si>
    <t>Average Estimates</t>
  </si>
  <si>
    <t>Forecast</t>
  </si>
  <si>
    <t>Historical Data</t>
  </si>
  <si>
    <t>Working Capital</t>
  </si>
  <si>
    <t>Change in borrowing</t>
  </si>
  <si>
    <t>Risk Free Rate</t>
  </si>
  <si>
    <t>CMP</t>
  </si>
  <si>
    <t>Market Risk Premium</t>
  </si>
  <si>
    <t>Shares outstanding</t>
  </si>
  <si>
    <t>Net Profit</t>
  </si>
  <si>
    <t>Income Tax</t>
  </si>
  <si>
    <t>Capital Expenditure</t>
  </si>
  <si>
    <t>Net Cash Flow</t>
  </si>
  <si>
    <t>CWIP</t>
  </si>
  <si>
    <t>Net Borrowing</t>
  </si>
  <si>
    <t>Terminal Value</t>
  </si>
  <si>
    <t>Equity Value</t>
  </si>
  <si>
    <t>Intrinsic Valuation</t>
  </si>
  <si>
    <t xml:space="preserve">Beta </t>
  </si>
  <si>
    <t>Cost of Equity</t>
  </si>
  <si>
    <t>Growth Rate (g)</t>
  </si>
  <si>
    <t>Depriciation Expenses</t>
  </si>
  <si>
    <t>PV of terminal value</t>
  </si>
  <si>
    <t>Intrinsic Value/ Share</t>
  </si>
  <si>
    <t>Profit/Loss</t>
  </si>
  <si>
    <t>Assumed Rates</t>
  </si>
  <si>
    <t>Depreciation Rate (Based on non-financial assets)</t>
  </si>
  <si>
    <t>CapEx as of revenue</t>
  </si>
  <si>
    <t>HDFC</t>
  </si>
  <si>
    <t xml:space="preserve">IDBI </t>
  </si>
  <si>
    <t>AXIS</t>
  </si>
  <si>
    <t>SBI</t>
  </si>
  <si>
    <t>Equity Capital</t>
  </si>
  <si>
    <t xml:space="preserve">Revenue </t>
  </si>
  <si>
    <t>EBITDA</t>
  </si>
  <si>
    <t>Expenditure</t>
  </si>
  <si>
    <t>IDBI</t>
  </si>
  <si>
    <t>Axis Bank</t>
  </si>
  <si>
    <t xml:space="preserve">Comparative Analysis </t>
  </si>
  <si>
    <t>SBI Bank</t>
  </si>
  <si>
    <t>3,08,65,70,375</t>
  </si>
  <si>
    <t>Comparison Table</t>
  </si>
  <si>
    <t xml:space="preserve">AXIS </t>
  </si>
  <si>
    <t>Intrinsic Value</t>
  </si>
  <si>
    <t>% Undervalued</t>
  </si>
  <si>
    <t>Ratio Comparison:</t>
  </si>
  <si>
    <t>Net Profit Margin</t>
  </si>
  <si>
    <t>ROE</t>
  </si>
  <si>
    <t>P/E Ratio</t>
  </si>
  <si>
    <t>Current Ratio</t>
  </si>
  <si>
    <t>Return on Assets</t>
  </si>
  <si>
    <t>EPS</t>
  </si>
  <si>
    <t>Current Assets</t>
  </si>
  <si>
    <t>Current Liabilities</t>
  </si>
  <si>
    <t>Qtr Profit Growth</t>
  </si>
  <si>
    <t>X</t>
  </si>
  <si>
    <t>Segmental Analysis</t>
  </si>
  <si>
    <t>Wholesale Banking</t>
  </si>
  <si>
    <t>Retail Banking</t>
  </si>
  <si>
    <t>Treasury</t>
  </si>
  <si>
    <t>Segment Revenue</t>
  </si>
  <si>
    <t>Segment Results</t>
  </si>
  <si>
    <t>Segment Assets</t>
  </si>
  <si>
    <t>Segment Liabilities</t>
  </si>
  <si>
    <t>Capital Employed</t>
  </si>
  <si>
    <t>Cap Expenditure</t>
  </si>
  <si>
    <t>Provisions for NPA</t>
  </si>
  <si>
    <t>Other banking operations</t>
  </si>
  <si>
    <t>Growth Analysis</t>
  </si>
  <si>
    <t>Liabilities</t>
  </si>
  <si>
    <t xml:space="preserve"> Revenue YoY growth</t>
  </si>
  <si>
    <t>Retail</t>
  </si>
  <si>
    <t>Wholesale</t>
  </si>
  <si>
    <t>Revenue</t>
  </si>
  <si>
    <t>Other operations</t>
  </si>
  <si>
    <t>Data</t>
  </si>
  <si>
    <t>AXIS BANK</t>
  </si>
  <si>
    <t xml:space="preserve">SBI </t>
  </si>
  <si>
    <t>Mar ' 24</t>
  </si>
  <si>
    <t>Debt Analysis</t>
  </si>
  <si>
    <t>Debt Ratio</t>
  </si>
  <si>
    <t>Interest Coverage Ratio</t>
  </si>
  <si>
    <t>Debt-Equity Ratio</t>
  </si>
  <si>
    <t>Operating Cash Flow</t>
  </si>
  <si>
    <t>Interest Expenses</t>
  </si>
  <si>
    <t>Cash Flow - Debt Ratio</t>
  </si>
  <si>
    <t>Total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</si>
</sst>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%"/>
    <numFmt numFmtId="165" formatCode="0.00_);[Red]\(0.00\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rgb="FF333333"/>
      <name val="Aptos Narrow"/>
      <family val="2"/>
    </font>
    <font>
      <sz val="11"/>
      <color rgb="FF333333"/>
      <name val="Aptos Narrow"/>
      <family val="2"/>
    </font>
    <font>
      <b/>
      <sz val="11"/>
      <color theme="1"/>
      <name val="Aptos Narrow"/>
      <family val="2"/>
    </font>
    <font>
      <b/>
      <i/>
      <u/>
      <sz val="11"/>
      <color theme="1"/>
      <name val="Aptos Narrow"/>
      <family val="2"/>
    </font>
    <font>
      <sz val="11"/>
      <color theme="4" tint="-0.249977111117893"/>
      <name val="Aptos Narrow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ptos Narrow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Aptos Narrow"/>
      <family val="2"/>
    </font>
    <font>
      <sz val="11"/>
      <color rgb="FFFF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sz val="11"/>
      <color theme="1"/>
      <name val="Aptos Narrow"/>
      <family val="2"/>
    </font>
    <font>
      <sz val="11"/>
      <color rgb="FF0070C0"/>
      <name val="Aptos Narrow"/>
      <family val="2"/>
    </font>
    <font>
      <b/>
      <sz val="11"/>
      <color rgb="FF0070C0"/>
      <name val="Aptos Narrow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/>
      <name val="Aptos Narrow"/>
      <family val="2"/>
    </font>
    <font>
      <sz val="11"/>
      <color theme="8" tint="-0.249977111117893"/>
      <name val="Calibri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theme="8" tint="-0.249977111117893"/>
      <name val="Arial"/>
      <family val="2"/>
    </font>
    <font>
      <b/>
      <sz val="8"/>
      <color theme="8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1E6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1D1D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EEEEEE"/>
      </left>
      <right/>
      <top/>
      <bottom style="thin">
        <color indexed="64"/>
      </bottom>
      <diagonal/>
    </border>
    <border>
      <left/>
      <right style="medium">
        <color rgb="FFEEEEEE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left" vertical="top" wrapText="1"/>
    </xf>
    <xf numFmtId="4" fontId="3" fillId="2" borderId="2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4" fillId="2" borderId="1" xfId="0" applyFont="1" applyFill="1" applyBorder="1"/>
    <xf numFmtId="0" fontId="2" fillId="2" borderId="2" xfId="0" applyFont="1" applyFill="1" applyBorder="1" applyAlignment="1">
      <alignment horizontal="left" vertical="top" wrapText="1"/>
    </xf>
    <xf numFmtId="4" fontId="2" fillId="2" borderId="2" xfId="0" applyNumberFormat="1" applyFont="1" applyFill="1" applyBorder="1" applyAlignment="1">
      <alignment horizontal="right" vertical="top" wrapText="1"/>
    </xf>
    <xf numFmtId="4" fontId="2" fillId="3" borderId="2" xfId="0" applyNumberFormat="1" applyFont="1" applyFill="1" applyBorder="1" applyAlignment="1">
      <alignment horizontal="right" vertical="top" wrapText="1"/>
    </xf>
    <xf numFmtId="0" fontId="5" fillId="0" borderId="0" xfId="0" applyFont="1"/>
    <xf numFmtId="10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0" fontId="1" fillId="2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vertical="center" wrapText="1"/>
    </xf>
    <xf numFmtId="0" fontId="9" fillId="0" borderId="0" xfId="1" applyFont="1" applyFill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14" fillId="0" borderId="2" xfId="0" applyFont="1" applyBorder="1" applyAlignment="1">
      <alignment horizontal="left" vertical="top" wrapText="1"/>
    </xf>
    <xf numFmtId="4" fontId="14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4" fontId="2" fillId="0" borderId="2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4" fontId="3" fillId="0" borderId="2" xfId="0" applyNumberFormat="1" applyFont="1" applyBorder="1" applyAlignment="1">
      <alignment horizontal="right" vertical="top" wrapText="1"/>
    </xf>
    <xf numFmtId="4" fontId="4" fillId="0" borderId="0" xfId="0" applyNumberFormat="1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/>
    <xf numFmtId="4" fontId="4" fillId="0" borderId="2" xfId="0" applyNumberFormat="1" applyFont="1" applyBorder="1" applyAlignment="1">
      <alignment horizontal="right" vertical="center" wrapText="1"/>
    </xf>
    <xf numFmtId="4" fontId="4" fillId="0" borderId="2" xfId="0" applyNumberFormat="1" applyFont="1" applyBorder="1"/>
    <xf numFmtId="0" fontId="1" fillId="0" borderId="2" xfId="0" applyFont="1" applyBorder="1" applyAlignment="1">
      <alignment horizontal="center"/>
    </xf>
    <xf numFmtId="10" fontId="11" fillId="3" borderId="0" xfId="0" applyNumberFormat="1" applyFont="1" applyFill="1"/>
    <xf numFmtId="0" fontId="11" fillId="0" borderId="0" xfId="0" applyFont="1"/>
    <xf numFmtId="10" fontId="11" fillId="0" borderId="0" xfId="0" applyNumberFormat="1" applyFont="1"/>
    <xf numFmtId="2" fontId="11" fillId="3" borderId="0" xfId="0" applyNumberFormat="1" applyFont="1" applyFill="1"/>
    <xf numFmtId="0" fontId="4" fillId="2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/>
    <xf numFmtId="0" fontId="7" fillId="0" borderId="0" xfId="0" applyFont="1"/>
    <xf numFmtId="4" fontId="0" fillId="0" borderId="0" xfId="0" applyNumberFormat="1"/>
    <xf numFmtId="0" fontId="1" fillId="2" borderId="0" xfId="0" applyFont="1" applyFill="1" applyAlignment="1">
      <alignment horizontal="right" vertical="center" wrapText="1"/>
    </xf>
    <xf numFmtId="3" fontId="1" fillId="0" borderId="0" xfId="0" applyNumberFormat="1" applyFont="1"/>
    <xf numFmtId="0" fontId="12" fillId="0" borderId="2" xfId="0" applyFont="1" applyBorder="1" applyAlignment="1">
      <alignment vertical="center" wrapText="1"/>
    </xf>
    <xf numFmtId="4" fontId="12" fillId="0" borderId="2" xfId="0" applyNumberFormat="1" applyFont="1" applyBorder="1" applyAlignment="1">
      <alignment vertical="center" wrapText="1"/>
    </xf>
    <xf numFmtId="4" fontId="12" fillId="0" borderId="2" xfId="0" applyNumberFormat="1" applyFont="1" applyBorder="1"/>
    <xf numFmtId="4" fontId="4" fillId="0" borderId="0" xfId="0" applyNumberFormat="1" applyFont="1"/>
    <xf numFmtId="0" fontId="0" fillId="0" borderId="2" xfId="0" applyBorder="1"/>
    <xf numFmtId="0" fontId="2" fillId="6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right" vertical="top" wrapText="1"/>
    </xf>
    <xf numFmtId="4" fontId="11" fillId="7" borderId="2" xfId="0" applyNumberFormat="1" applyFont="1" applyFill="1" applyBorder="1" applyAlignment="1">
      <alignment horizontal="right" vertical="top" wrapText="1"/>
    </xf>
    <xf numFmtId="10" fontId="1" fillId="0" borderId="2" xfId="0" applyNumberFormat="1" applyFont="1" applyBorder="1"/>
    <xf numFmtId="10" fontId="6" fillId="3" borderId="2" xfId="0" applyNumberFormat="1" applyFont="1" applyFill="1" applyBorder="1"/>
    <xf numFmtId="2" fontId="1" fillId="0" borderId="2" xfId="0" applyNumberFormat="1" applyFont="1" applyBorder="1"/>
    <xf numFmtId="2" fontId="10" fillId="3" borderId="2" xfId="0" applyNumberFormat="1" applyFont="1" applyFill="1" applyBorder="1"/>
    <xf numFmtId="10" fontId="10" fillId="3" borderId="2" xfId="0" applyNumberFormat="1" applyFont="1" applyFill="1" applyBorder="1"/>
    <xf numFmtId="10" fontId="6" fillId="0" borderId="2" xfId="0" applyNumberFormat="1" applyFont="1" applyBorder="1"/>
    <xf numFmtId="0" fontId="15" fillId="0" borderId="2" xfId="0" applyFont="1" applyBorder="1"/>
    <xf numFmtId="9" fontId="10" fillId="3" borderId="2" xfId="0" applyNumberFormat="1" applyFont="1" applyFill="1" applyBorder="1"/>
    <xf numFmtId="10" fontId="10" fillId="0" borderId="2" xfId="0" applyNumberFormat="1" applyFont="1" applyBorder="1"/>
    <xf numFmtId="10" fontId="16" fillId="3" borderId="2" xfId="0" applyNumberFormat="1" applyFont="1" applyFill="1" applyBorder="1"/>
    <xf numFmtId="0" fontId="4" fillId="6" borderId="2" xfId="0" applyFont="1" applyFill="1" applyBorder="1" applyAlignment="1">
      <alignment vertical="top"/>
    </xf>
    <xf numFmtId="0" fontId="13" fillId="0" borderId="2" xfId="0" applyFont="1" applyBorder="1"/>
    <xf numFmtId="4" fontId="4" fillId="7" borderId="2" xfId="0" applyNumberFormat="1" applyFont="1" applyFill="1" applyBorder="1"/>
    <xf numFmtId="4" fontId="1" fillId="7" borderId="2" xfId="0" applyNumberFormat="1" applyFont="1" applyFill="1" applyBorder="1"/>
    <xf numFmtId="4" fontId="1" fillId="4" borderId="2" xfId="0" applyNumberFormat="1" applyFont="1" applyFill="1" applyBorder="1"/>
    <xf numFmtId="0" fontId="0" fillId="6" borderId="2" xfId="0" applyFill="1" applyBorder="1"/>
    <xf numFmtId="0" fontId="12" fillId="0" borderId="2" xfId="0" applyFont="1" applyBorder="1"/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right" vertical="center" wrapText="1"/>
    </xf>
    <xf numFmtId="0" fontId="4" fillId="5" borderId="5" xfId="0" applyFont="1" applyFill="1" applyBorder="1" applyAlignment="1">
      <alignment horizontal="right" vertical="center" wrapText="1"/>
    </xf>
    <xf numFmtId="4" fontId="4" fillId="5" borderId="2" xfId="0" applyNumberFormat="1" applyFont="1" applyFill="1" applyBorder="1"/>
    <xf numFmtId="0" fontId="4" fillId="2" borderId="2" xfId="0" applyFont="1" applyFill="1" applyBorder="1"/>
    <xf numFmtId="10" fontId="4" fillId="3" borderId="0" xfId="0" applyNumberFormat="1" applyFont="1" applyFill="1"/>
    <xf numFmtId="0" fontId="4" fillId="0" borderId="5" xfId="0" applyFont="1" applyBorder="1" applyAlignment="1">
      <alignment horizontal="right" vertical="center" wrapText="1"/>
    </xf>
    <xf numFmtId="0" fontId="1" fillId="8" borderId="2" xfId="0" applyFont="1" applyFill="1" applyBorder="1" applyAlignment="1">
      <alignment vertical="center" wrapText="1"/>
    </xf>
    <xf numFmtId="4" fontId="1" fillId="8" borderId="2" xfId="0" applyNumberFormat="1" applyFont="1" applyFill="1" applyBorder="1" applyAlignment="1">
      <alignment horizontal="right" vertical="center" wrapText="1"/>
    </xf>
    <xf numFmtId="0" fontId="1" fillId="8" borderId="2" xfId="0" applyFont="1" applyFill="1" applyBorder="1"/>
    <xf numFmtId="0" fontId="4" fillId="8" borderId="2" xfId="0" applyFont="1" applyFill="1" applyBorder="1" applyAlignment="1">
      <alignment vertical="center" wrapText="1"/>
    </xf>
    <xf numFmtId="4" fontId="4" fillId="8" borderId="2" xfId="0" applyNumberFormat="1" applyFont="1" applyFill="1" applyBorder="1" applyAlignment="1">
      <alignment horizontal="right" vertical="center" wrapText="1"/>
    </xf>
    <xf numFmtId="0" fontId="4" fillId="8" borderId="2" xfId="0" applyFont="1" applyFill="1" applyBorder="1"/>
    <xf numFmtId="0" fontId="17" fillId="0" borderId="0" xfId="0" applyFont="1"/>
    <xf numFmtId="10" fontId="0" fillId="0" borderId="0" xfId="0" applyNumberFormat="1"/>
    <xf numFmtId="0" fontId="4" fillId="5" borderId="2" xfId="0" applyFont="1" applyFill="1" applyBorder="1"/>
    <xf numFmtId="0" fontId="19" fillId="0" borderId="0" xfId="0" applyFont="1"/>
    <xf numFmtId="0" fontId="7" fillId="0" borderId="2" xfId="0" applyFont="1" applyBorder="1"/>
    <xf numFmtId="0" fontId="20" fillId="0" borderId="0" xfId="0" applyFont="1"/>
    <xf numFmtId="0" fontId="7" fillId="0" borderId="0" xfId="0" applyFont="1" applyAlignment="1">
      <alignment horizontal="right"/>
    </xf>
    <xf numFmtId="0" fontId="21" fillId="0" borderId="2" xfId="0" applyFont="1" applyBorder="1"/>
    <xf numFmtId="3" fontId="0" fillId="0" borderId="2" xfId="0" applyNumberFormat="1" applyBorder="1"/>
    <xf numFmtId="3" fontId="7" fillId="0" borderId="2" xfId="0" applyNumberFormat="1" applyFont="1" applyBorder="1"/>
    <xf numFmtId="3" fontId="0" fillId="0" borderId="0" xfId="0" applyNumberFormat="1"/>
    <xf numFmtId="1" fontId="0" fillId="0" borderId="0" xfId="0" applyNumberFormat="1"/>
    <xf numFmtId="4" fontId="0" fillId="0" borderId="2" xfId="0" applyNumberFormat="1" applyBorder="1"/>
    <xf numFmtId="0" fontId="22" fillId="0" borderId="0" xfId="0" applyFont="1"/>
    <xf numFmtId="2" fontId="0" fillId="0" borderId="2" xfId="0" applyNumberFormat="1" applyBorder="1"/>
    <xf numFmtId="2" fontId="7" fillId="0" borderId="2" xfId="0" applyNumberFormat="1" applyFont="1" applyBorder="1"/>
    <xf numFmtId="1" fontId="0" fillId="0" borderId="2" xfId="0" applyNumberFormat="1" applyBorder="1"/>
    <xf numFmtId="1" fontId="7" fillId="0" borderId="2" xfId="0" applyNumberFormat="1" applyFont="1" applyBorder="1"/>
    <xf numFmtId="0" fontId="18" fillId="0" borderId="2" xfId="0" applyFont="1" applyBorder="1"/>
    <xf numFmtId="0" fontId="23" fillId="0" borderId="2" xfId="0" applyFont="1" applyBorder="1"/>
    <xf numFmtId="3" fontId="18" fillId="0" borderId="2" xfId="0" applyNumberFormat="1" applyFont="1" applyBorder="1"/>
    <xf numFmtId="0" fontId="7" fillId="0" borderId="0" xfId="0" applyFont="1" applyAlignment="1">
      <alignment horizontal="left" indent="1"/>
    </xf>
    <xf numFmtId="0" fontId="7" fillId="0" borderId="5" xfId="0" applyFont="1" applyBorder="1"/>
    <xf numFmtId="4" fontId="0" fillId="0" borderId="5" xfId="0" applyNumberFormat="1" applyBorder="1"/>
    <xf numFmtId="0" fontId="0" fillId="0" borderId="5" xfId="0" applyBorder="1"/>
    <xf numFmtId="3" fontId="0" fillId="0" borderId="5" xfId="0" applyNumberFormat="1" applyBorder="1"/>
    <xf numFmtId="3" fontId="7" fillId="0" borderId="5" xfId="0" applyNumberFormat="1" applyFont="1" applyBorder="1"/>
    <xf numFmtId="3" fontId="18" fillId="0" borderId="5" xfId="0" applyNumberFormat="1" applyFont="1" applyBorder="1"/>
    <xf numFmtId="2" fontId="7" fillId="0" borderId="5" xfId="0" applyNumberFormat="1" applyFont="1" applyBorder="1"/>
    <xf numFmtId="1" fontId="0" fillId="0" borderId="5" xfId="0" applyNumberFormat="1" applyBorder="1"/>
    <xf numFmtId="1" fontId="7" fillId="0" borderId="5" xfId="0" applyNumberFormat="1" applyFont="1" applyBorder="1"/>
    <xf numFmtId="3" fontId="7" fillId="0" borderId="0" xfId="0" applyNumberFormat="1" applyFont="1"/>
    <xf numFmtId="3" fontId="18" fillId="0" borderId="0" xfId="0" applyNumberFormat="1" applyFont="1"/>
    <xf numFmtId="2" fontId="7" fillId="0" borderId="0" xfId="0" applyNumberFormat="1" applyFont="1"/>
    <xf numFmtId="1" fontId="7" fillId="0" borderId="0" xfId="0" applyNumberFormat="1" applyFont="1"/>
    <xf numFmtId="3" fontId="24" fillId="2" borderId="0" xfId="0" applyNumberFormat="1" applyFont="1" applyFill="1" applyAlignment="1">
      <alignment horizontal="right" vertical="center" wrapText="1"/>
    </xf>
    <xf numFmtId="0" fontId="25" fillId="2" borderId="0" xfId="0" applyFont="1" applyFill="1" applyAlignment="1">
      <alignment horizontal="right" vertical="center" wrapText="1"/>
    </xf>
    <xf numFmtId="3" fontId="25" fillId="2" borderId="0" xfId="0" applyNumberFormat="1" applyFont="1" applyFill="1" applyAlignment="1">
      <alignment horizontal="right" vertical="center" wrapText="1"/>
    </xf>
    <xf numFmtId="2" fontId="0" fillId="0" borderId="5" xfId="0" applyNumberFormat="1" applyBorder="1"/>
    <xf numFmtId="3" fontId="26" fillId="0" borderId="0" xfId="0" applyNumberFormat="1" applyFont="1"/>
    <xf numFmtId="0" fontId="26" fillId="0" borderId="0" xfId="0" applyFont="1"/>
    <xf numFmtId="3" fontId="27" fillId="0" borderId="0" xfId="0" applyNumberFormat="1" applyFont="1"/>
    <xf numFmtId="10" fontId="0" fillId="3" borderId="2" xfId="0" applyNumberFormat="1" applyFill="1" applyBorder="1"/>
    <xf numFmtId="0" fontId="0" fillId="3" borderId="2" xfId="0" applyFill="1" applyBorder="1"/>
    <xf numFmtId="9" fontId="0" fillId="3" borderId="2" xfId="0" applyNumberFormat="1" applyFill="1" applyBorder="1"/>
    <xf numFmtId="164" fontId="0" fillId="3" borderId="2" xfId="0" applyNumberFormat="1" applyFill="1" applyBorder="1"/>
    <xf numFmtId="164" fontId="7" fillId="3" borderId="2" xfId="0" applyNumberFormat="1" applyFont="1" applyFill="1" applyBorder="1"/>
    <xf numFmtId="0" fontId="7" fillId="9" borderId="0" xfId="0" applyFont="1" applyFill="1"/>
    <xf numFmtId="0" fontId="0" fillId="0" borderId="9" xfId="0" applyBorder="1"/>
    <xf numFmtId="10" fontId="0" fillId="9" borderId="2" xfId="0" applyNumberFormat="1" applyFill="1" applyBorder="1"/>
    <xf numFmtId="0" fontId="0" fillId="9" borderId="2" xfId="0" applyFill="1" applyBorder="1"/>
    <xf numFmtId="9" fontId="0" fillId="9" borderId="2" xfId="0" applyNumberFormat="1" applyFill="1" applyBorder="1"/>
    <xf numFmtId="164" fontId="0" fillId="9" borderId="2" xfId="0" applyNumberFormat="1" applyFill="1" applyBorder="1"/>
    <xf numFmtId="164" fontId="7" fillId="9" borderId="2" xfId="0" applyNumberFormat="1" applyFont="1" applyFill="1" applyBorder="1"/>
    <xf numFmtId="0" fontId="7" fillId="10" borderId="0" xfId="0" applyFont="1" applyFill="1"/>
    <xf numFmtId="10" fontId="0" fillId="11" borderId="2" xfId="0" applyNumberFormat="1" applyFill="1" applyBorder="1"/>
    <xf numFmtId="0" fontId="0" fillId="11" borderId="2" xfId="0" applyFill="1" applyBorder="1"/>
    <xf numFmtId="9" fontId="0" fillId="11" borderId="2" xfId="0" applyNumberFormat="1" applyFill="1" applyBorder="1"/>
    <xf numFmtId="164" fontId="0" fillId="11" borderId="2" xfId="0" applyNumberFormat="1" applyFill="1" applyBorder="1"/>
    <xf numFmtId="164" fontId="7" fillId="11" borderId="2" xfId="0" applyNumberFormat="1" applyFont="1" applyFill="1" applyBorder="1"/>
    <xf numFmtId="0" fontId="23" fillId="0" borderId="0" xfId="0" applyFont="1"/>
    <xf numFmtId="10" fontId="28" fillId="0" borderId="0" xfId="0" applyNumberFormat="1" applyFont="1"/>
    <xf numFmtId="0" fontId="0" fillId="4" borderId="0" xfId="0" applyFill="1"/>
    <xf numFmtId="0" fontId="29" fillId="0" borderId="0" xfId="0" applyFont="1" applyAlignment="1">
      <alignment horizontal="left" indent="1"/>
    </xf>
    <xf numFmtId="9" fontId="23" fillId="3" borderId="2" xfId="0" applyNumberFormat="1" applyFont="1" applyFill="1" applyBorder="1"/>
    <xf numFmtId="4" fontId="18" fillId="0" borderId="2" xfId="0" applyNumberFormat="1" applyFont="1" applyBorder="1"/>
    <xf numFmtId="4" fontId="7" fillId="0" borderId="2" xfId="0" applyNumberFormat="1" applyFont="1" applyBorder="1"/>
    <xf numFmtId="0" fontId="7" fillId="3" borderId="2" xfId="0" applyFont="1" applyFill="1" applyBorder="1"/>
    <xf numFmtId="4" fontId="7" fillId="3" borderId="2" xfId="0" applyNumberFormat="1" applyFont="1" applyFill="1" applyBorder="1"/>
    <xf numFmtId="0" fontId="0" fillId="8" borderId="2" xfId="0" applyFill="1" applyBorder="1"/>
    <xf numFmtId="4" fontId="0" fillId="8" borderId="2" xfId="0" applyNumberFormat="1" applyFill="1" applyBorder="1"/>
    <xf numFmtId="10" fontId="0" fillId="6" borderId="2" xfId="0" applyNumberFormat="1" applyFill="1" applyBorder="1"/>
    <xf numFmtId="9" fontId="0" fillId="6" borderId="2" xfId="0" applyNumberFormat="1" applyFill="1" applyBorder="1"/>
    <xf numFmtId="164" fontId="0" fillId="6" borderId="2" xfId="0" applyNumberFormat="1" applyFill="1" applyBorder="1"/>
    <xf numFmtId="164" fontId="7" fillId="6" borderId="2" xfId="0" applyNumberFormat="1" applyFont="1" applyFill="1" applyBorder="1"/>
    <xf numFmtId="0" fontId="19" fillId="0" borderId="2" xfId="0" applyFont="1" applyBorder="1"/>
    <xf numFmtId="0" fontId="29" fillId="3" borderId="0" xfId="0" applyFont="1" applyFill="1"/>
    <xf numFmtId="0" fontId="0" fillId="0" borderId="2" xfId="0" applyBorder="1" applyAlignment="1">
      <alignment horizontal="left" indent="1"/>
    </xf>
    <xf numFmtId="10" fontId="0" fillId="0" borderId="2" xfId="0" applyNumberFormat="1" applyBorder="1"/>
    <xf numFmtId="10" fontId="18" fillId="0" borderId="2" xfId="0" applyNumberFormat="1" applyFont="1" applyBorder="1"/>
    <xf numFmtId="0" fontId="0" fillId="4" borderId="2" xfId="0" applyFill="1" applyBorder="1"/>
    <xf numFmtId="0" fontId="21" fillId="0" borderId="0" xfId="0" applyFont="1"/>
    <xf numFmtId="165" fontId="0" fillId="0" borderId="0" xfId="0" applyNumberFormat="1"/>
    <xf numFmtId="165" fontId="7" fillId="0" borderId="0" xfId="0" applyNumberFormat="1" applyFont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FAC6"/>
      <color rgb="FFC1E6F5"/>
      <color rgb="FFDEE4E6"/>
      <color rgb="FFFFFF99"/>
      <color rgb="FFB6F1F0"/>
      <color rgb="FF6EB7D4"/>
      <color rgb="FFC0F8F0"/>
      <color rgb="FFA9ABAD"/>
      <color rgb="FF007018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CMP vs Intrinsic 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'Peer DCF Comparison'!$J$4</c:f>
              <c:strCache>
                <c:ptCount val="1"/>
                <c:pt idx="0">
                  <c:v>CMP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'Peer DCF Comparison'!$K$3:$N$3</c:f>
              <c:strCache>
                <c:ptCount val="4"/>
                <c:pt idx="0">
                  <c:v>HDFC</c:v>
                </c:pt>
                <c:pt idx="1">
                  <c:v>IDBI </c:v>
                </c:pt>
                <c:pt idx="2">
                  <c:v>AXIS </c:v>
                </c:pt>
                <c:pt idx="3">
                  <c:v>SBI</c:v>
                </c:pt>
              </c:strCache>
            </c:strRef>
          </c:cat>
          <c:val>
            <c:numRef>
              <c:f>'Peer DCF Comparison'!$K$4:$N$4</c:f>
              <c:numCache>
                <c:formatCode>General</c:formatCode>
                <c:ptCount val="4"/>
                <c:pt idx="0">
                  <c:v>1719</c:v>
                </c:pt>
                <c:pt idx="1">
                  <c:v>79</c:v>
                </c:pt>
                <c:pt idx="2">
                  <c:v>1038</c:v>
                </c:pt>
                <c:pt idx="3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E-4698-8008-DAC403BD7AC8}"/>
            </c:ext>
          </c:extLst>
        </c:ser>
        <c:ser>
          <c:idx val="1"/>
          <c:order val="1"/>
          <c:tx>
            <c:strRef>
              <c:f>'Peer DCF Comparison'!$J$5</c:f>
              <c:strCache>
                <c:ptCount val="1"/>
                <c:pt idx="0">
                  <c:v>Intrinsic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'Peer DCF Comparison'!$K$3:$N$3</c:f>
              <c:strCache>
                <c:ptCount val="4"/>
                <c:pt idx="0">
                  <c:v>HDFC</c:v>
                </c:pt>
                <c:pt idx="1">
                  <c:v>IDBI </c:v>
                </c:pt>
                <c:pt idx="2">
                  <c:v>AXIS </c:v>
                </c:pt>
                <c:pt idx="3">
                  <c:v>SBI</c:v>
                </c:pt>
              </c:strCache>
            </c:strRef>
          </c:cat>
          <c:val>
            <c:numRef>
              <c:f>'Peer DCF Comparison'!$K$5:$N$5</c:f>
              <c:numCache>
                <c:formatCode>General</c:formatCode>
                <c:ptCount val="4"/>
                <c:pt idx="0">
                  <c:v>5138.5904526364175</c:v>
                </c:pt>
                <c:pt idx="1">
                  <c:v>852.26760793134304</c:v>
                </c:pt>
                <c:pt idx="2">
                  <c:v>1547.9584155610157</c:v>
                </c:pt>
                <c:pt idx="3">
                  <c:v>2308.9487454877776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E-4698-8008-DAC403BD7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54764416"/>
        <c:axId val="854757216"/>
      </c:barChart>
      <c:catAx>
        <c:axId val="8547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57216"/>
        <c:crosses val="autoZero"/>
        <c:auto val="1"/>
        <c:lblAlgn val="ctr"/>
        <c:lblOffset val="100"/>
        <c:noMultiLvlLbl val="0"/>
      </c:catAx>
      <c:valAx>
        <c:axId val="854757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47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Segment Revenue Over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'Segmental Analysis'!$B$68</c:f>
              <c:strCache>
                <c:ptCount val="1"/>
                <c:pt idx="0">
                  <c:v>Treasury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'Segmental Analysis'!$C$67:$G$67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Analysis'!$C$68:$G$68</c:f>
              <c:numCache>
                <c:formatCode>General</c:formatCode>
                <c:ptCount val="5"/>
                <c:pt idx="0">
                  <c:v>26558.44</c:v>
                </c:pt>
                <c:pt idx="1">
                  <c:v>32337.67</c:v>
                </c:pt>
                <c:pt idx="2">
                  <c:v>34385.120000000003</c:v>
                </c:pt>
                <c:pt idx="3">
                  <c:v>34322.910000000003</c:v>
                </c:pt>
                <c:pt idx="4">
                  <c:v>61653.66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9-452F-8FD5-D17FC37E65D8}"/>
            </c:ext>
          </c:extLst>
        </c:ser>
        <c:ser>
          <c:idx val="1"/>
          <c:order val="1"/>
          <c:tx>
            <c:strRef>
              <c:f>'Segmental Analysis'!$B$69</c:f>
              <c:strCache>
                <c:ptCount val="1"/>
                <c:pt idx="0">
                  <c:v>Wholesale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'Segmental Analysis'!$C$67:$G$67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Analysis'!$C$69:$G$69</c:f>
              <c:numCache>
                <c:formatCode>#,##0.00</c:formatCode>
                <c:ptCount val="5"/>
                <c:pt idx="0">
                  <c:v>61134.45</c:v>
                </c:pt>
                <c:pt idx="1">
                  <c:v>57154.3</c:v>
                </c:pt>
                <c:pt idx="2">
                  <c:v>66482.929999999993</c:v>
                </c:pt>
                <c:pt idx="3">
                  <c:v>91817.32</c:v>
                </c:pt>
                <c:pt idx="4">
                  <c:v>175520.23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9-452F-8FD5-D17FC37E65D8}"/>
            </c:ext>
          </c:extLst>
        </c:ser>
        <c:ser>
          <c:idx val="2"/>
          <c:order val="2"/>
          <c:tx>
            <c:strRef>
              <c:f>'Segmental Analysis'!$B$70</c:f>
              <c:strCache>
                <c:ptCount val="1"/>
                <c:pt idx="0">
                  <c:v>Retail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'Segmental Analysis'!$C$67:$G$67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Analysis'!$C$70:$G$70</c:f>
              <c:numCache>
                <c:formatCode>#,##0.00</c:formatCode>
                <c:ptCount val="5"/>
                <c:pt idx="0">
                  <c:v>107999.94</c:v>
                </c:pt>
                <c:pt idx="1">
                  <c:v>110210.21</c:v>
                </c:pt>
                <c:pt idx="2">
                  <c:v>115189.91</c:v>
                </c:pt>
                <c:pt idx="3">
                  <c:v>142272.51</c:v>
                </c:pt>
                <c:pt idx="4">
                  <c:v>233634.5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9-452F-8FD5-D17FC37E65D8}"/>
            </c:ext>
          </c:extLst>
        </c:ser>
        <c:ser>
          <c:idx val="3"/>
          <c:order val="3"/>
          <c:tx>
            <c:strRef>
              <c:f>'Segmental Analysis'!$B$71</c:f>
              <c:strCache>
                <c:ptCount val="1"/>
                <c:pt idx="0">
                  <c:v>Other operations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'Segmental Analysis'!$C$67:$G$67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Analysis'!$C$71:$G$71</c:f>
              <c:numCache>
                <c:formatCode>#,##0.00</c:formatCode>
                <c:ptCount val="5"/>
                <c:pt idx="0">
                  <c:v>28028.21</c:v>
                </c:pt>
                <c:pt idx="1">
                  <c:v>29759.68</c:v>
                </c:pt>
                <c:pt idx="2">
                  <c:v>21496.22</c:v>
                </c:pt>
                <c:pt idx="3">
                  <c:v>37845.03</c:v>
                </c:pt>
                <c:pt idx="4">
                  <c:v>30050.38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9-452F-8FD5-D17FC37E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64752"/>
        <c:axId val="1018258512"/>
      </c:lineChart>
      <c:catAx>
        <c:axId val="10182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58512"/>
        <c:crosses val="autoZero"/>
        <c:auto val="1"/>
        <c:lblAlgn val="ctr"/>
        <c:lblOffset val="100"/>
        <c:noMultiLvlLbl val="0"/>
      </c:catAx>
      <c:valAx>
        <c:axId val="101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64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Assets Over 5 Years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'Segmental Analysis'!$B$74</c:f>
              <c:strCache>
                <c:ptCount val="1"/>
                <c:pt idx="0">
                  <c:v>Treasury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'Segmental Analysis'!$C$73:$G$73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Analysis'!$C$74:$G$74</c:f>
              <c:numCache>
                <c:formatCode>General</c:formatCode>
                <c:ptCount val="5"/>
                <c:pt idx="0">
                  <c:v>457240.91</c:v>
                </c:pt>
                <c:pt idx="1">
                  <c:v>519641.74</c:v>
                </c:pt>
                <c:pt idx="2">
                  <c:v>551767.34</c:v>
                </c:pt>
                <c:pt idx="3">
                  <c:v>641108.56000000006</c:v>
                </c:pt>
                <c:pt idx="4">
                  <c:v>822926.8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0-41DC-A70A-6CD82711D051}"/>
            </c:ext>
          </c:extLst>
        </c:ser>
        <c:ser>
          <c:idx val="1"/>
          <c:order val="1"/>
          <c:tx>
            <c:strRef>
              <c:f>'Segmental Analysis'!$B$75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'Segmental Analysis'!$C$73:$G$73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Analysis'!$C$75:$G$75</c:f>
              <c:numCache>
                <c:formatCode>#,##0.00</c:formatCode>
                <c:ptCount val="5"/>
                <c:pt idx="0">
                  <c:v>520567.01</c:v>
                </c:pt>
                <c:pt idx="1">
                  <c:v>628731.56999999995</c:v>
                </c:pt>
                <c:pt idx="2">
                  <c:v>808136.61</c:v>
                </c:pt>
                <c:pt idx="3">
                  <c:v>973689.82</c:v>
                </c:pt>
                <c:pt idx="4">
                  <c:v>1274899.43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0-41DC-A70A-6CD82711D051}"/>
            </c:ext>
          </c:extLst>
        </c:ser>
        <c:ser>
          <c:idx val="2"/>
          <c:order val="2"/>
          <c:tx>
            <c:strRef>
              <c:f>'Segmental Analysis'!$B$76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'Segmental Analysis'!$C$73:$G$73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Analysis'!$C$76:$G$76</c:f>
              <c:numCache>
                <c:formatCode>#,##0.00</c:formatCode>
                <c:ptCount val="5"/>
                <c:pt idx="0">
                  <c:v>317628.87</c:v>
                </c:pt>
                <c:pt idx="1">
                  <c:v>338115.31</c:v>
                </c:pt>
                <c:pt idx="2">
                  <c:v>413825.31</c:v>
                </c:pt>
                <c:pt idx="3">
                  <c:v>464552.76</c:v>
                </c:pt>
                <c:pt idx="4">
                  <c:v>973987.85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0-41DC-A70A-6CD82711D051}"/>
            </c:ext>
          </c:extLst>
        </c:ser>
        <c:ser>
          <c:idx val="3"/>
          <c:order val="3"/>
          <c:tx>
            <c:strRef>
              <c:f>'Segmental Analysis'!$B$77</c:f>
              <c:strCache>
                <c:ptCount val="1"/>
                <c:pt idx="0">
                  <c:v>Other operations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'Segmental Analysis'!$C$73:$G$73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Analysis'!$C$77:$G$77</c:f>
              <c:numCache>
                <c:formatCode>#,##0.00</c:formatCode>
                <c:ptCount val="5"/>
                <c:pt idx="0">
                  <c:v>202938.14</c:v>
                </c:pt>
                <c:pt idx="1">
                  <c:v>290616.26</c:v>
                </c:pt>
                <c:pt idx="2">
                  <c:v>394311.3</c:v>
                </c:pt>
                <c:pt idx="3">
                  <c:v>509137.05999999994</c:v>
                </c:pt>
                <c:pt idx="4">
                  <c:v>300911.57999999996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0-41DC-A70A-6CD82711D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8268112"/>
        <c:axId val="1018274352"/>
      </c:barChart>
      <c:catAx>
        <c:axId val="10182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74352"/>
        <c:crosses val="autoZero"/>
        <c:auto val="1"/>
        <c:lblAlgn val="ctr"/>
        <c:lblOffset val="100"/>
        <c:noMultiLvlLbl val="0"/>
      </c:catAx>
      <c:valAx>
        <c:axId val="101827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82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Liabilities over 5 Years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'Segmental Analysis'!$B$80</c:f>
              <c:strCache>
                <c:ptCount val="1"/>
                <c:pt idx="0">
                  <c:v>Treasury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'Segmental Analysis'!$C$79:$G$79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Analysis'!$C$80:$G$80</c:f>
              <c:numCache>
                <c:formatCode>General</c:formatCode>
                <c:ptCount val="5"/>
                <c:pt idx="0">
                  <c:v>102012.1</c:v>
                </c:pt>
                <c:pt idx="1">
                  <c:v>76276.600000000006</c:v>
                </c:pt>
                <c:pt idx="2">
                  <c:v>77273.63</c:v>
                </c:pt>
                <c:pt idx="3">
                  <c:v>73308.77</c:v>
                </c:pt>
                <c:pt idx="4">
                  <c:v>94557.67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D-4DEC-A08D-21AE882AE325}"/>
            </c:ext>
          </c:extLst>
        </c:ser>
        <c:ser>
          <c:idx val="1"/>
          <c:order val="1"/>
          <c:tx>
            <c:strRef>
              <c:f>'Segmental Analysis'!$B$81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'Segmental Analysis'!$C$79:$G$79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Analysis'!$C$81:$G$81</c:f>
              <c:numCache>
                <c:formatCode>#,##0.00</c:formatCode>
                <c:ptCount val="5"/>
                <c:pt idx="0">
                  <c:v>317628.87</c:v>
                </c:pt>
                <c:pt idx="1">
                  <c:v>338115.31</c:v>
                </c:pt>
                <c:pt idx="2">
                  <c:v>413825.31</c:v>
                </c:pt>
                <c:pt idx="3">
                  <c:v>464552.76</c:v>
                </c:pt>
                <c:pt idx="4">
                  <c:v>973987.85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D-4DEC-A08D-21AE882AE325}"/>
            </c:ext>
          </c:extLst>
        </c:ser>
        <c:ser>
          <c:idx val="2"/>
          <c:order val="2"/>
          <c:tx>
            <c:strRef>
              <c:f>'Segmental Analysis'!$B$82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'Segmental Analysis'!$C$79:$G$79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Analysis'!$C$82:$G$82</c:f>
              <c:numCache>
                <c:formatCode>General</c:formatCode>
                <c:ptCount val="5"/>
                <c:pt idx="0">
                  <c:v>102012.1</c:v>
                </c:pt>
                <c:pt idx="1">
                  <c:v>76276.600000000006</c:v>
                </c:pt>
                <c:pt idx="2">
                  <c:v>77273.63</c:v>
                </c:pt>
                <c:pt idx="3">
                  <c:v>73308.77</c:v>
                </c:pt>
                <c:pt idx="4">
                  <c:v>94557.67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D-4DEC-A08D-21AE882AE325}"/>
            </c:ext>
          </c:extLst>
        </c:ser>
        <c:ser>
          <c:idx val="3"/>
          <c:order val="3"/>
          <c:tx>
            <c:strRef>
              <c:f>'Segmental Analysis'!$B$83</c:f>
              <c:strCache>
                <c:ptCount val="1"/>
                <c:pt idx="0">
                  <c:v>Other operations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'Segmental Analysis'!$C$79:$G$79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'Segmental Analysis'!$C$83:$G$83</c:f>
              <c:numCache>
                <c:formatCode>#,##0.00</c:formatCode>
                <c:ptCount val="5"/>
                <c:pt idx="0">
                  <c:v>49402.29</c:v>
                </c:pt>
                <c:pt idx="1">
                  <c:v>51771.65</c:v>
                </c:pt>
                <c:pt idx="2">
                  <c:v>5994.76</c:v>
                </c:pt>
                <c:pt idx="3">
                  <c:v>61270.83</c:v>
                </c:pt>
                <c:pt idx="4">
                  <c:v>8212.98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D-4DEC-A08D-21AE882AE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8259472"/>
        <c:axId val="1018261872"/>
      </c:barChart>
      <c:catAx>
        <c:axId val="10182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61872"/>
        <c:crosses val="autoZero"/>
        <c:auto val="1"/>
        <c:lblAlgn val="ctr"/>
        <c:lblOffset val="100"/>
        <c:noMultiLvlLbl val="0"/>
      </c:catAx>
      <c:valAx>
        <c:axId val="101826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82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37AD68-45C4-032A-92AC-B71C832A9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73BBB-6E76-A912-4DE4-A23D989EA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76200</xdr:colOff>
      <xdr:row>15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E0E58F-0336-B6A8-3DEA-6D07CAC0F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AD00F-EA56-42BC-CE45-A45629D1E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76200</xdr:colOff>
      <xdr:row>24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9C4FD2-2B8E-DFF3-17A0-26C84ED6F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6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D687BF-3F46-A824-F93B-5E8EC16CE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7</xdr:row>
      <xdr:rowOff>167640</xdr:rowOff>
    </xdr:from>
    <xdr:to>
      <xdr:col>15</xdr:col>
      <xdr:colOff>281940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6EBBB-C35D-1C15-D4B3-2D8CD0BF7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385483</xdr:colOff>
      <xdr:row>3</xdr:row>
      <xdr:rowOff>112056</xdr:rowOff>
    </xdr:from>
    <xdr:to>
      <xdr:col>16</xdr:col>
      <xdr:colOff>179295</xdr:colOff>
      <xdr:row>23</xdr:row>
      <xdr:rowOff>170328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AB2FD-ADC6-97EA-42BE-91AB0A531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349623</xdr:colOff>
      <xdr:row>3</xdr:row>
      <xdr:rowOff>107577</xdr:rowOff>
    </xdr:from>
    <xdr:to>
      <xdr:col>27</xdr:col>
      <xdr:colOff>89647</xdr:colOff>
      <xdr:row>23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9715FC-8917-E9FD-FE23-3E69D263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394448</xdr:colOff>
      <xdr:row>25</xdr:row>
      <xdr:rowOff>35858</xdr:rowOff>
    </xdr:from>
    <xdr:to>
      <xdr:col>16</xdr:col>
      <xdr:colOff>188260</xdr:colOff>
      <xdr:row>41</xdr:row>
      <xdr:rowOff>125505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52BC30-974E-763D-C26E-BF3FE452D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wan\Desktop\Tata%20Motors%20Financial%20Model.xlsx" TargetMode="External"/><Relationship Id="rId1" Type="http://schemas.openxmlformats.org/officeDocument/2006/relationships/externalLinkPath" Target="Tata%20Motors%20Financial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"/>
      <sheetName val="BS"/>
      <sheetName val="BS Model"/>
      <sheetName val="CF"/>
      <sheetName val="Sheet1"/>
      <sheetName val="Comparative Analysis"/>
      <sheetName val="Intrinsic Valuation of Share"/>
      <sheetName val="Debt"/>
      <sheetName val="Current Liabilities Comparison"/>
      <sheetName val="Ratio Analysis"/>
    </sheetNames>
    <sheetDataSet>
      <sheetData sheetId="0">
        <row r="12">
          <cell r="A12" t="str">
            <v>Profit before tax</v>
          </cell>
        </row>
        <row r="14">
          <cell r="A14" t="str">
            <v>Net Profit +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C62A-98BA-49AD-9FCB-95B324EE6685}">
  <dimension ref="A1"/>
  <sheetViews>
    <sheetView workbookViewId="0">
      <selection activeCell="C29" sqref="C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86E7-D383-4B11-A573-3861E6700D9B}">
  <dimension ref="B1:L63"/>
  <sheetViews>
    <sheetView showGridLines="0" topLeftCell="A25" zoomScale="79" zoomScaleNormal="79" workbookViewId="0">
      <selection activeCell="G33" sqref="G33"/>
    </sheetView>
  </sheetViews>
  <sheetFormatPr defaultRowHeight="14.4" x14ac:dyDescent="0.3"/>
  <cols>
    <col min="1" max="1" width="3.33203125" style="2" customWidth="1"/>
    <col min="2" max="2" width="26.33203125" style="2" bestFit="1" customWidth="1"/>
    <col min="3" max="3" width="17.77734375" style="2" customWidth="1"/>
    <col min="4" max="4" width="20.6640625" style="2" customWidth="1"/>
    <col min="5" max="5" width="17.109375" style="2" customWidth="1"/>
    <col min="6" max="6" width="16" style="2" customWidth="1"/>
    <col min="7" max="7" width="15.77734375" style="2" customWidth="1"/>
    <col min="8" max="8" width="13.109375" bestFit="1" customWidth="1"/>
    <col min="9" max="10" width="13.33203125" style="2" bestFit="1" customWidth="1"/>
    <col min="11" max="11" width="9.109375" style="2" bestFit="1" customWidth="1"/>
    <col min="12" max="12" width="10.88671875" style="2" bestFit="1" customWidth="1"/>
    <col min="13" max="16384" width="8.88671875" style="2"/>
  </cols>
  <sheetData>
    <row r="1" spans="2:11" x14ac:dyDescent="0.3">
      <c r="B1" s="27" t="s">
        <v>44</v>
      </c>
    </row>
    <row r="2" spans="2:11" x14ac:dyDescent="0.3">
      <c r="B2" s="27"/>
    </row>
    <row r="3" spans="2:11" ht="15" thickBot="1" x14ac:dyDescent="0.35">
      <c r="B3" s="27"/>
    </row>
    <row r="4" spans="2:11" ht="13.8" customHeight="1" x14ac:dyDescent="0.3">
      <c r="B4" s="8" t="s">
        <v>0</v>
      </c>
      <c r="C4" s="1"/>
      <c r="D4" s="1"/>
      <c r="E4" s="1"/>
      <c r="F4" s="1"/>
      <c r="H4" s="2"/>
    </row>
    <row r="5" spans="2:11" ht="28.8" x14ac:dyDescent="0.3">
      <c r="B5" s="63" t="s">
        <v>3</v>
      </c>
      <c r="C5" s="64" t="s">
        <v>8</v>
      </c>
      <c r="D5" s="64" t="s">
        <v>7</v>
      </c>
      <c r="E5" s="64" t="s">
        <v>6</v>
      </c>
      <c r="F5" s="64" t="s">
        <v>5</v>
      </c>
      <c r="G5" s="64" t="s">
        <v>189</v>
      </c>
      <c r="H5" s="76">
        <v>25</v>
      </c>
      <c r="I5" s="76">
        <f>H5+1</f>
        <v>26</v>
      </c>
      <c r="J5" s="76">
        <f t="shared" ref="J5" si="0">I5+1</f>
        <v>27</v>
      </c>
    </row>
    <row r="6" spans="2:11" ht="16.8" customHeight="1" x14ac:dyDescent="0.3">
      <c r="B6" s="3" t="s">
        <v>1</v>
      </c>
      <c r="C6" s="11">
        <f>SUM(C7:C10)</f>
        <v>122189.3</v>
      </c>
      <c r="D6" s="11">
        <f t="shared" ref="D6:G6" si="1">SUM(D7:D10)</f>
        <v>128552.40000000001</v>
      </c>
      <c r="E6" s="11">
        <f t="shared" si="1"/>
        <v>135936.41</v>
      </c>
      <c r="F6" s="11">
        <f t="shared" si="1"/>
        <v>170754.05</v>
      </c>
      <c r="G6" s="11">
        <f t="shared" si="1"/>
        <v>283649.02</v>
      </c>
      <c r="H6" s="37">
        <f>G6*(1+$H50)</f>
        <v>356461.91555943404</v>
      </c>
      <c r="I6" s="37">
        <f>H6*(1+$H50)</f>
        <v>447965.93072770385</v>
      </c>
      <c r="J6" s="37">
        <f>I6*(1+$H50)</f>
        <v>562959.08856854867</v>
      </c>
      <c r="K6" s="14"/>
    </row>
    <row r="7" spans="2:11" ht="16.2" customHeight="1" x14ac:dyDescent="0.3">
      <c r="B7" s="5" t="s">
        <v>9</v>
      </c>
      <c r="C7" s="6">
        <v>99079.63</v>
      </c>
      <c r="D7" s="6">
        <v>102299.13</v>
      </c>
      <c r="E7" s="6">
        <v>106295.34</v>
      </c>
      <c r="F7" s="6">
        <v>135767.32999999999</v>
      </c>
      <c r="G7" s="6">
        <v>217979.34</v>
      </c>
      <c r="H7" s="82" t="s">
        <v>48</v>
      </c>
      <c r="I7" s="82" t="s">
        <v>48</v>
      </c>
      <c r="J7" s="82" t="s">
        <v>48</v>
      </c>
    </row>
    <row r="8" spans="2:11" ht="13.8" customHeight="1" x14ac:dyDescent="0.3">
      <c r="B8" s="5" t="s">
        <v>10</v>
      </c>
      <c r="C8" s="6">
        <v>20572.73</v>
      </c>
      <c r="D8" s="6">
        <v>23211.62</v>
      </c>
      <c r="E8" s="6">
        <v>25907.06</v>
      </c>
      <c r="F8" s="6">
        <v>31173.3</v>
      </c>
      <c r="G8" s="6">
        <v>57524.800000000003</v>
      </c>
      <c r="H8" s="82" t="s">
        <v>48</v>
      </c>
      <c r="I8" s="82" t="s">
        <v>48</v>
      </c>
      <c r="J8" s="82" t="s">
        <v>48</v>
      </c>
    </row>
    <row r="9" spans="2:11" ht="16.2" customHeight="1" x14ac:dyDescent="0.3">
      <c r="B9" s="5" t="s">
        <v>11</v>
      </c>
      <c r="C9" s="6">
        <v>1868.77</v>
      </c>
      <c r="D9" s="6">
        <v>2414.3000000000002</v>
      </c>
      <c r="E9" s="6">
        <v>2630.78</v>
      </c>
      <c r="F9" s="6">
        <v>1149.25</v>
      </c>
      <c r="G9" s="6">
        <v>2634.63</v>
      </c>
      <c r="H9" s="82" t="s">
        <v>48</v>
      </c>
      <c r="I9" s="82" t="s">
        <v>48</v>
      </c>
      <c r="J9" s="82" t="s">
        <v>48</v>
      </c>
    </row>
    <row r="10" spans="2:11" x14ac:dyDescent="0.3">
      <c r="B10" s="5" t="s">
        <v>12</v>
      </c>
      <c r="C10" s="7">
        <v>668.17</v>
      </c>
      <c r="D10" s="7">
        <v>627.35</v>
      </c>
      <c r="E10" s="6">
        <v>1103.23</v>
      </c>
      <c r="F10" s="6">
        <v>2664.17</v>
      </c>
      <c r="G10" s="6">
        <v>5510.25</v>
      </c>
      <c r="H10" s="82" t="s">
        <v>48</v>
      </c>
      <c r="I10" s="82" t="s">
        <v>48</v>
      </c>
      <c r="J10" s="82" t="s">
        <v>48</v>
      </c>
    </row>
    <row r="11" spans="2:11" x14ac:dyDescent="0.3">
      <c r="B11" s="5" t="s">
        <v>13</v>
      </c>
      <c r="C11" s="6">
        <v>24878.98</v>
      </c>
      <c r="D11" s="6">
        <v>27332.880000000001</v>
      </c>
      <c r="E11" s="6">
        <v>31758.99</v>
      </c>
      <c r="F11" s="6">
        <v>33912.050000000003</v>
      </c>
      <c r="G11" s="6">
        <v>124345.75</v>
      </c>
      <c r="H11" s="38">
        <f>H6*$H55</f>
        <v>97129.712522600414</v>
      </c>
      <c r="I11" s="38">
        <f t="shared" ref="I11:J11" si="2">I6*$H55</f>
        <v>122062.97551651434</v>
      </c>
      <c r="J11" s="38">
        <f t="shared" si="2"/>
        <v>153396.62400913989</v>
      </c>
    </row>
    <row r="12" spans="2:11" x14ac:dyDescent="0.3">
      <c r="B12" s="9" t="s">
        <v>50</v>
      </c>
      <c r="C12" s="10">
        <f>C6+C11</f>
        <v>147068.28</v>
      </c>
      <c r="D12" s="10">
        <f t="shared" ref="D12:G12" si="3">D6+D11</f>
        <v>155885.28</v>
      </c>
      <c r="E12" s="10">
        <f t="shared" si="3"/>
        <v>167695.4</v>
      </c>
      <c r="F12" s="10">
        <f t="shared" si="3"/>
        <v>204666.09999999998</v>
      </c>
      <c r="G12" s="10">
        <f t="shared" si="3"/>
        <v>407994.77</v>
      </c>
      <c r="H12" s="65">
        <f t="shared" ref="H12" si="4">H6+H11</f>
        <v>453591.62808203447</v>
      </c>
      <c r="I12" s="65">
        <f t="shared" ref="I12" si="5">I6+I11</f>
        <v>570028.90624421823</v>
      </c>
      <c r="J12" s="65">
        <f t="shared" ref="J12" si="6">J6+J11</f>
        <v>716355.71257768851</v>
      </c>
    </row>
    <row r="13" spans="2:11" x14ac:dyDescent="0.3">
      <c r="B13" s="3" t="s">
        <v>14</v>
      </c>
      <c r="C13" s="11">
        <f>SUM(C16+C17+C21)</f>
        <v>108873.42</v>
      </c>
      <c r="D13" s="11">
        <f t="shared" ref="D13:G13" si="7">SUM(D16+D17+D21)</f>
        <v>113089.13999999998</v>
      </c>
      <c r="E13" s="11">
        <f t="shared" si="7"/>
        <v>116822.01000000001</v>
      </c>
      <c r="F13" s="11">
        <f t="shared" si="7"/>
        <v>143167.71</v>
      </c>
      <c r="G13" s="11">
        <f t="shared" si="7"/>
        <v>331426.17000000004</v>
      </c>
      <c r="H13" s="38">
        <f>H14+H19</f>
        <v>269933.96794961393</v>
      </c>
      <c r="I13" s="38">
        <f t="shared" ref="I13:J13" si="8">I14+I19</f>
        <v>329448.30157109769</v>
      </c>
      <c r="J13" s="38">
        <f t="shared" si="8"/>
        <v>402439.41238209384</v>
      </c>
    </row>
    <row r="14" spans="2:11" x14ac:dyDescent="0.3">
      <c r="B14" s="5" t="s">
        <v>2</v>
      </c>
      <c r="C14" s="6">
        <v>62137.43</v>
      </c>
      <c r="D14" s="6">
        <v>59247.59</v>
      </c>
      <c r="E14" s="6">
        <v>58584.33</v>
      </c>
      <c r="F14" s="6">
        <v>77779.94</v>
      </c>
      <c r="G14" s="6">
        <v>154138.54999999999</v>
      </c>
      <c r="H14" s="77">
        <f>(BS!H10+BS!H11)*IS!H54</f>
        <v>146338.08711302432</v>
      </c>
      <c r="I14" s="77">
        <f>(BS!I10+BS!I11)*H54</f>
        <v>174125.27440792858</v>
      </c>
      <c r="J14" s="77">
        <f>(BS!J10+BS!J11)*H54</f>
        <v>207244.85894040292</v>
      </c>
    </row>
    <row r="15" spans="2:11" ht="13.2" customHeight="1" x14ac:dyDescent="0.3">
      <c r="B15" s="5" t="s">
        <v>15</v>
      </c>
      <c r="C15" s="6">
        <v>12920.13</v>
      </c>
      <c r="D15" s="6">
        <v>13676.67</v>
      </c>
      <c r="E15" s="6">
        <v>15897.03</v>
      </c>
      <c r="F15" s="6">
        <v>20016.849999999999</v>
      </c>
      <c r="G15" s="6">
        <v>31023</v>
      </c>
      <c r="H15" s="82" t="s">
        <v>48</v>
      </c>
      <c r="I15" s="82" t="s">
        <v>48</v>
      </c>
      <c r="J15" s="82" t="s">
        <v>48</v>
      </c>
    </row>
    <row r="16" spans="2:11" ht="8.4" hidden="1" customHeight="1" x14ac:dyDescent="0.3">
      <c r="B16" s="5"/>
      <c r="C16" s="10">
        <f>SUM(C14:C15)</f>
        <v>75057.56</v>
      </c>
      <c r="D16" s="10">
        <f t="shared" ref="D16:G16" si="9">SUM(D14:D15)</f>
        <v>72924.259999999995</v>
      </c>
      <c r="E16" s="10">
        <f t="shared" si="9"/>
        <v>74481.36</v>
      </c>
      <c r="F16" s="10">
        <f t="shared" si="9"/>
        <v>97796.790000000008</v>
      </c>
      <c r="G16" s="10">
        <f t="shared" si="9"/>
        <v>185161.55</v>
      </c>
      <c r="H16" s="82" t="s">
        <v>48</v>
      </c>
      <c r="I16" s="82" t="s">
        <v>48</v>
      </c>
      <c r="J16" s="82" t="s">
        <v>48</v>
      </c>
    </row>
    <row r="17" spans="2:12" ht="37.799999999999997" customHeight="1" x14ac:dyDescent="0.3">
      <c r="B17" s="5" t="s">
        <v>16</v>
      </c>
      <c r="C17" s="6">
        <v>20115.919999999998</v>
      </c>
      <c r="D17" s="6">
        <v>21324.59</v>
      </c>
      <c r="E17" s="6">
        <v>24415.4</v>
      </c>
      <c r="F17" s="6">
        <v>31516.84</v>
      </c>
      <c r="G17" s="6">
        <v>121246.34</v>
      </c>
      <c r="H17" s="82" t="s">
        <v>48</v>
      </c>
      <c r="I17" s="82" t="s">
        <v>48</v>
      </c>
      <c r="J17" s="82" t="s">
        <v>48</v>
      </c>
      <c r="L17" s="14"/>
    </row>
    <row r="18" spans="2:12" ht="15" hidden="1" customHeight="1" x14ac:dyDescent="0.3">
      <c r="B18" s="5" t="s">
        <v>17</v>
      </c>
      <c r="C18" s="7" t="s">
        <v>18</v>
      </c>
      <c r="D18" s="7" t="s">
        <v>18</v>
      </c>
      <c r="E18" s="7" t="s">
        <v>18</v>
      </c>
      <c r="F18" s="7" t="s">
        <v>18</v>
      </c>
      <c r="G18" s="7" t="s">
        <v>18</v>
      </c>
      <c r="H18" s="38"/>
      <c r="I18" s="38"/>
      <c r="J18" s="38"/>
    </row>
    <row r="19" spans="2:12" ht="19.8" customHeight="1" x14ac:dyDescent="0.3">
      <c r="B19" s="5" t="s">
        <v>74</v>
      </c>
      <c r="C19" s="6">
        <f>C17+C15</f>
        <v>33036.049999999996</v>
      </c>
      <c r="D19" s="6">
        <f t="shared" ref="D19:G19" si="10">D17+D15</f>
        <v>35001.26</v>
      </c>
      <c r="E19" s="6">
        <f t="shared" si="10"/>
        <v>40312.43</v>
      </c>
      <c r="F19" s="6">
        <f t="shared" si="10"/>
        <v>51533.69</v>
      </c>
      <c r="G19" s="6">
        <f t="shared" si="10"/>
        <v>152269.34</v>
      </c>
      <c r="H19" s="38">
        <f>H12*$H55</f>
        <v>123595.88083658964</v>
      </c>
      <c r="I19" s="38">
        <f t="shared" ref="I19:J19" si="11">I12*$H55</f>
        <v>155323.02716316908</v>
      </c>
      <c r="J19" s="38">
        <f t="shared" si="11"/>
        <v>195194.55344169089</v>
      </c>
      <c r="L19" s="14"/>
    </row>
    <row r="20" spans="2:12" ht="28.8" x14ac:dyDescent="0.3">
      <c r="B20" s="28" t="s">
        <v>19</v>
      </c>
      <c r="C20" s="29">
        <v>51894.8</v>
      </c>
      <c r="D20" s="29">
        <v>61636.43</v>
      </c>
      <c r="E20" s="29">
        <v>68798.64</v>
      </c>
      <c r="F20" s="29">
        <v>75352.47</v>
      </c>
      <c r="G20" s="29">
        <v>101586.88</v>
      </c>
      <c r="H20" s="42">
        <f>H12-H13</f>
        <v>183657.66013242054</v>
      </c>
      <c r="I20" s="42">
        <f t="shared" ref="I20:J20" si="12">I12-I13</f>
        <v>240580.60467312054</v>
      </c>
      <c r="J20" s="42">
        <f t="shared" si="12"/>
        <v>313916.30019559467</v>
      </c>
    </row>
    <row r="21" spans="2:12" x14ac:dyDescent="0.3">
      <c r="B21" s="5" t="s">
        <v>20</v>
      </c>
      <c r="C21" s="6">
        <v>13699.94</v>
      </c>
      <c r="D21" s="6">
        <v>18840.29</v>
      </c>
      <c r="E21" s="6">
        <v>17925.25</v>
      </c>
      <c r="F21" s="6">
        <v>13854.08</v>
      </c>
      <c r="G21" s="6">
        <v>25018.28</v>
      </c>
      <c r="H21" s="38">
        <f>BS!H19*IS!$H58</f>
        <v>38150.235476182424</v>
      </c>
      <c r="I21" s="38">
        <f>BS!I19*IS!$H58</f>
        <v>48356.523796696434</v>
      </c>
      <c r="J21" s="38">
        <f>BS!J19*IS!$H58</f>
        <v>61293.288613128643</v>
      </c>
    </row>
    <row r="22" spans="2:12" ht="4.8" customHeight="1" x14ac:dyDescent="0.3">
      <c r="B22" s="5" t="s">
        <v>21</v>
      </c>
      <c r="C22" s="7" t="s">
        <v>18</v>
      </c>
      <c r="D22" s="7" t="s">
        <v>18</v>
      </c>
      <c r="E22" s="7" t="s">
        <v>18</v>
      </c>
      <c r="F22" s="7" t="s">
        <v>18</v>
      </c>
      <c r="G22" s="7" t="s">
        <v>18</v>
      </c>
      <c r="H22" s="38"/>
      <c r="I22" s="38"/>
      <c r="J22" s="38"/>
    </row>
    <row r="23" spans="2:12" x14ac:dyDescent="0.3">
      <c r="B23" s="30" t="s">
        <v>22</v>
      </c>
      <c r="C23" s="31">
        <v>38194.86</v>
      </c>
      <c r="D23" s="31">
        <v>42796.14</v>
      </c>
      <c r="E23" s="31">
        <v>50873.39</v>
      </c>
      <c r="F23" s="31">
        <v>61498.39</v>
      </c>
      <c r="G23" s="31">
        <v>76568.600000000006</v>
      </c>
      <c r="H23" s="78">
        <f>H20-H21</f>
        <v>145507.42465623812</v>
      </c>
      <c r="I23" s="78">
        <f t="shared" ref="I23:J23" si="13">I20-I21</f>
        <v>192224.08087642409</v>
      </c>
      <c r="J23" s="78">
        <f t="shared" si="13"/>
        <v>252623.01158246602</v>
      </c>
    </row>
    <row r="24" spans="2:12" x14ac:dyDescent="0.3">
      <c r="B24" s="5" t="s">
        <v>23</v>
      </c>
      <c r="C24" s="6">
        <v>10898.59</v>
      </c>
      <c r="D24" s="6">
        <v>10939.37</v>
      </c>
      <c r="E24" s="6">
        <v>12722.49</v>
      </c>
      <c r="F24" s="6">
        <v>15349.69</v>
      </c>
      <c r="G24" s="6">
        <v>11122.1</v>
      </c>
      <c r="H24" s="38">
        <f>H23*$H56</f>
        <v>36376.856164059529</v>
      </c>
      <c r="I24" s="38">
        <f t="shared" ref="I24:J24" si="14">I23*$H56</f>
        <v>48056.020219106023</v>
      </c>
      <c r="J24" s="38">
        <f t="shared" si="14"/>
        <v>63155.752895616504</v>
      </c>
    </row>
    <row r="25" spans="2:12" ht="28.8" x14ac:dyDescent="0.3">
      <c r="B25" s="32" t="s">
        <v>24</v>
      </c>
      <c r="C25" s="33">
        <v>27296.27</v>
      </c>
      <c r="D25" s="33">
        <v>31856.77</v>
      </c>
      <c r="E25" s="33">
        <v>38150.9</v>
      </c>
      <c r="F25" s="33">
        <v>46148.7</v>
      </c>
      <c r="G25" s="33">
        <v>65446.5</v>
      </c>
      <c r="H25" s="42">
        <f>H23-H24</f>
        <v>109130.56849217859</v>
      </c>
      <c r="I25" s="42">
        <f t="shared" ref="I25:J25" si="15">I23-I24</f>
        <v>144168.06065731807</v>
      </c>
      <c r="J25" s="42">
        <f t="shared" si="15"/>
        <v>189467.2586868495</v>
      </c>
    </row>
    <row r="26" spans="2:12" x14ac:dyDescent="0.3">
      <c r="B26" s="5" t="s">
        <v>25</v>
      </c>
      <c r="C26" s="7" t="s">
        <v>18</v>
      </c>
      <c r="D26" s="7" t="s">
        <v>18</v>
      </c>
      <c r="E26" s="7" t="s">
        <v>18</v>
      </c>
      <c r="F26" s="7" t="s">
        <v>18</v>
      </c>
      <c r="G26" s="7" t="s">
        <v>18</v>
      </c>
      <c r="H26" s="7" t="s">
        <v>18</v>
      </c>
      <c r="I26" s="7" t="s">
        <v>18</v>
      </c>
      <c r="J26" s="7" t="s">
        <v>18</v>
      </c>
    </row>
    <row r="27" spans="2:12" x14ac:dyDescent="0.3">
      <c r="B27" s="5" t="s">
        <v>26</v>
      </c>
      <c r="C27" s="7" t="s">
        <v>18</v>
      </c>
      <c r="D27" s="7" t="s">
        <v>18</v>
      </c>
      <c r="E27" s="7" t="s">
        <v>18</v>
      </c>
      <c r="F27" s="7" t="s">
        <v>18</v>
      </c>
      <c r="G27" s="7" t="s">
        <v>18</v>
      </c>
      <c r="H27" s="7" t="s">
        <v>18</v>
      </c>
      <c r="I27" s="7" t="s">
        <v>18</v>
      </c>
      <c r="J27" s="7" t="s">
        <v>18</v>
      </c>
    </row>
    <row r="28" spans="2:12" ht="28.8" x14ac:dyDescent="0.3">
      <c r="B28" s="30" t="s">
        <v>27</v>
      </c>
      <c r="C28" s="31">
        <v>27296.27</v>
      </c>
      <c r="D28" s="31">
        <v>31856.77</v>
      </c>
      <c r="E28" s="31">
        <v>38150.9</v>
      </c>
      <c r="F28" s="31">
        <v>46148.7</v>
      </c>
      <c r="G28" s="31">
        <v>65446.5</v>
      </c>
      <c r="H28" s="79">
        <f>H25</f>
        <v>109130.56849217859</v>
      </c>
      <c r="I28" s="79">
        <f t="shared" ref="I28:J28" si="16">I25</f>
        <v>144168.06065731807</v>
      </c>
      <c r="J28" s="79">
        <f t="shared" si="16"/>
        <v>189467.2586868495</v>
      </c>
    </row>
    <row r="29" spans="2:12" x14ac:dyDescent="0.3">
      <c r="B29" s="5" t="s">
        <v>28</v>
      </c>
      <c r="C29" s="7" t="s">
        <v>18</v>
      </c>
      <c r="D29" s="7">
        <v>-23.56</v>
      </c>
      <c r="E29" s="7">
        <v>-98.15</v>
      </c>
      <c r="F29" s="7">
        <v>-151.59</v>
      </c>
      <c r="G29" s="6">
        <v>-1384.46</v>
      </c>
      <c r="H29" s="38" t="s">
        <v>48</v>
      </c>
      <c r="I29" s="38" t="s">
        <v>48</v>
      </c>
      <c r="J29" s="38" t="s">
        <v>48</v>
      </c>
    </row>
    <row r="30" spans="2:12" x14ac:dyDescent="0.3">
      <c r="B30" s="5" t="s">
        <v>29</v>
      </c>
      <c r="C30" s="7">
        <v>-42.31</v>
      </c>
      <c r="D30" s="7" t="s">
        <v>18</v>
      </c>
      <c r="E30" s="7" t="s">
        <v>18</v>
      </c>
      <c r="F30" s="7" t="s">
        <v>18</v>
      </c>
      <c r="G30" s="7" t="s">
        <v>18</v>
      </c>
      <c r="H30" s="38" t="s">
        <v>48</v>
      </c>
      <c r="I30" s="38" t="s">
        <v>48</v>
      </c>
      <c r="J30" s="38" t="s">
        <v>48</v>
      </c>
    </row>
    <row r="31" spans="2:12" x14ac:dyDescent="0.3">
      <c r="B31" s="5" t="s">
        <v>30</v>
      </c>
      <c r="C31" s="6">
        <v>27253.96</v>
      </c>
      <c r="D31" s="6">
        <v>31833.21</v>
      </c>
      <c r="E31" s="6">
        <v>38052.75</v>
      </c>
      <c r="F31" s="6">
        <v>45997.11</v>
      </c>
      <c r="G31" s="6">
        <v>64062.04</v>
      </c>
      <c r="H31" s="80">
        <f>H28</f>
        <v>109130.56849217859</v>
      </c>
      <c r="I31" s="80">
        <f t="shared" ref="I31:J31" si="17">I28</f>
        <v>144168.06065731807</v>
      </c>
      <c r="J31" s="80">
        <f t="shared" si="17"/>
        <v>189467.2586868495</v>
      </c>
    </row>
    <row r="32" spans="2:12" x14ac:dyDescent="0.3">
      <c r="B32" s="5" t="s">
        <v>31</v>
      </c>
      <c r="C32" s="7">
        <v>548.33000000000004</v>
      </c>
      <c r="D32" s="7">
        <v>551.28</v>
      </c>
      <c r="E32" s="7">
        <v>554.54999999999995</v>
      </c>
      <c r="F32" s="7">
        <v>557.97</v>
      </c>
      <c r="G32" s="7">
        <v>759.69</v>
      </c>
      <c r="H32" s="7">
        <v>759.69</v>
      </c>
      <c r="I32" s="7">
        <v>759.69</v>
      </c>
      <c r="J32" s="7">
        <v>759.69</v>
      </c>
    </row>
    <row r="33" spans="2:10" ht="28.8" x14ac:dyDescent="0.3">
      <c r="B33" s="5" t="s">
        <v>32</v>
      </c>
      <c r="C33" s="6">
        <v>175810.38</v>
      </c>
      <c r="D33" s="6">
        <v>209258.91</v>
      </c>
      <c r="E33" s="6">
        <v>246771.62</v>
      </c>
      <c r="F33" s="6">
        <v>288879.53000000003</v>
      </c>
      <c r="G33" s="6">
        <v>452982.84</v>
      </c>
      <c r="H33" s="42"/>
      <c r="I33" s="42"/>
      <c r="J33" s="38"/>
    </row>
    <row r="34" spans="2:10" hidden="1" x14ac:dyDescent="0.3">
      <c r="B34" s="5" t="s">
        <v>33</v>
      </c>
      <c r="C34" s="7" t="s">
        <v>18</v>
      </c>
      <c r="D34" s="7" t="s">
        <v>18</v>
      </c>
      <c r="E34" s="7" t="s">
        <v>18</v>
      </c>
      <c r="F34" s="7" t="s">
        <v>18</v>
      </c>
      <c r="G34" s="7" t="s">
        <v>18</v>
      </c>
      <c r="H34" s="38"/>
      <c r="I34" s="38"/>
      <c r="J34" s="38"/>
    </row>
    <row r="35" spans="2:10" hidden="1" x14ac:dyDescent="0.3">
      <c r="B35" s="3" t="s">
        <v>34</v>
      </c>
      <c r="C35" s="4"/>
      <c r="D35" s="4"/>
      <c r="E35" s="4"/>
      <c r="F35" s="4"/>
      <c r="G35" s="4"/>
      <c r="H35" s="38"/>
      <c r="I35" s="38"/>
      <c r="J35" s="38"/>
    </row>
    <row r="36" spans="2:10" hidden="1" x14ac:dyDescent="0.3">
      <c r="B36" s="5" t="s">
        <v>35</v>
      </c>
      <c r="C36" s="7" t="s">
        <v>18</v>
      </c>
      <c r="D36" s="7" t="s">
        <v>18</v>
      </c>
      <c r="E36" s="7" t="s">
        <v>18</v>
      </c>
      <c r="F36" s="7" t="s">
        <v>18</v>
      </c>
      <c r="G36" s="7" t="s">
        <v>18</v>
      </c>
      <c r="H36" s="38"/>
      <c r="I36" s="38"/>
      <c r="J36" s="38"/>
    </row>
    <row r="37" spans="2:10" ht="28.8" hidden="1" x14ac:dyDescent="0.3">
      <c r="B37" s="5" t="s">
        <v>36</v>
      </c>
      <c r="C37" s="7" t="s">
        <v>18</v>
      </c>
      <c r="D37" s="7" t="s">
        <v>18</v>
      </c>
      <c r="E37" s="7" t="s">
        <v>18</v>
      </c>
      <c r="F37" s="7" t="s">
        <v>18</v>
      </c>
      <c r="G37" s="7" t="s">
        <v>18</v>
      </c>
      <c r="H37" s="38"/>
      <c r="I37" s="38"/>
      <c r="J37" s="38"/>
    </row>
    <row r="38" spans="2:10" ht="28.8" hidden="1" x14ac:dyDescent="0.3">
      <c r="B38" s="5" t="s">
        <v>37</v>
      </c>
      <c r="C38" s="7" t="s">
        <v>18</v>
      </c>
      <c r="D38" s="7" t="s">
        <v>18</v>
      </c>
      <c r="E38" s="7" t="s">
        <v>18</v>
      </c>
      <c r="F38" s="7" t="s">
        <v>18</v>
      </c>
      <c r="G38" s="7" t="s">
        <v>18</v>
      </c>
      <c r="H38" s="38"/>
      <c r="I38" s="38"/>
      <c r="J38" s="38"/>
    </row>
    <row r="39" spans="2:10" x14ac:dyDescent="0.3">
      <c r="B39" s="3" t="s">
        <v>38</v>
      </c>
      <c r="C39" s="4"/>
      <c r="D39" s="4"/>
      <c r="E39" s="4"/>
      <c r="F39" s="4"/>
      <c r="G39" s="4"/>
      <c r="H39" s="38"/>
      <c r="I39" s="38"/>
      <c r="J39" s="38"/>
    </row>
    <row r="40" spans="2:10" x14ac:dyDescent="0.3">
      <c r="B40" s="5" t="s">
        <v>39</v>
      </c>
      <c r="C40" s="7">
        <v>49.8</v>
      </c>
      <c r="D40" s="7">
        <v>57.9</v>
      </c>
      <c r="E40" s="7">
        <v>68.8</v>
      </c>
      <c r="F40" s="7">
        <v>82.64</v>
      </c>
      <c r="G40" s="7">
        <v>90.42</v>
      </c>
      <c r="H40" s="38"/>
      <c r="I40" s="38"/>
      <c r="J40" s="38"/>
    </row>
    <row r="41" spans="2:10" x14ac:dyDescent="0.3">
      <c r="B41" s="5" t="s">
        <v>40</v>
      </c>
      <c r="C41" s="7">
        <v>49.5</v>
      </c>
      <c r="D41" s="7">
        <v>57.6</v>
      </c>
      <c r="E41" s="7">
        <v>68.3</v>
      </c>
      <c r="F41" s="7">
        <v>82.27</v>
      </c>
      <c r="G41" s="7">
        <v>90.01</v>
      </c>
      <c r="H41" s="38"/>
      <c r="I41" s="38"/>
      <c r="J41" s="38"/>
    </row>
    <row r="42" spans="2:10" x14ac:dyDescent="0.3">
      <c r="B42" s="3" t="s">
        <v>41</v>
      </c>
      <c r="C42" s="4"/>
      <c r="D42" s="4"/>
      <c r="E42" s="4"/>
      <c r="F42" s="4"/>
      <c r="G42" s="4"/>
      <c r="H42" s="38"/>
      <c r="I42" s="38"/>
      <c r="J42" s="38"/>
    </row>
    <row r="43" spans="2:10" x14ac:dyDescent="0.3">
      <c r="B43" s="5" t="s">
        <v>42</v>
      </c>
      <c r="C43" s="7">
        <v>49.8</v>
      </c>
      <c r="D43" s="7">
        <v>57.9</v>
      </c>
      <c r="E43" s="7">
        <v>68.8</v>
      </c>
      <c r="F43" s="7">
        <v>82.64</v>
      </c>
      <c r="G43" s="7">
        <v>90.42</v>
      </c>
      <c r="H43" s="38"/>
      <c r="I43" s="38"/>
      <c r="J43" s="38"/>
    </row>
    <row r="44" spans="2:10" x14ac:dyDescent="0.3">
      <c r="B44" s="5" t="s">
        <v>43</v>
      </c>
      <c r="C44" s="7">
        <v>49.5</v>
      </c>
      <c r="D44" s="7">
        <v>57.6</v>
      </c>
      <c r="E44" s="7">
        <v>68.3</v>
      </c>
      <c r="F44" s="7">
        <v>82.27</v>
      </c>
      <c r="G44" s="7">
        <v>90.01</v>
      </c>
      <c r="H44" s="38"/>
      <c r="I44" s="38"/>
      <c r="J44" s="38"/>
    </row>
    <row r="45" spans="2:10" x14ac:dyDescent="0.3">
      <c r="B45" s="38" t="s">
        <v>100</v>
      </c>
      <c r="C45" s="38"/>
      <c r="D45" s="38"/>
      <c r="E45" s="38"/>
      <c r="F45" s="38"/>
      <c r="G45" s="38"/>
      <c r="H45" s="81">
        <f>H31*$H60</f>
        <v>25100.030753201077</v>
      </c>
      <c r="I45" s="81">
        <f>I31*$H60</f>
        <v>33158.653951183158</v>
      </c>
      <c r="J45" s="81">
        <f>J31*$H60</f>
        <v>43577.469497975384</v>
      </c>
    </row>
    <row r="46" spans="2:10" x14ac:dyDescent="0.3">
      <c r="B46" s="27" t="s">
        <v>17</v>
      </c>
      <c r="C46" s="2">
        <f>'Segmental Analysis'!C86</f>
        <v>1276.77</v>
      </c>
      <c r="D46" s="2">
        <f>'Segmental Analysis'!D86</f>
        <v>1385.01</v>
      </c>
      <c r="E46" s="2">
        <f>'Segmental Analysis'!E86</f>
        <v>1599.8000000000002</v>
      </c>
      <c r="F46" s="2">
        <f>'Segmental Analysis'!F86</f>
        <v>2345.4700000000003</v>
      </c>
      <c r="G46" s="2">
        <f>'Segmental Analysis'!G86</f>
        <v>2810.1000000000004</v>
      </c>
    </row>
    <row r="47" spans="2:10" x14ac:dyDescent="0.3">
      <c r="D47" s="109"/>
      <c r="E47" s="109"/>
      <c r="F47" s="109"/>
      <c r="G47" s="109"/>
    </row>
    <row r="48" spans="2:10" x14ac:dyDescent="0.3">
      <c r="E48" s="14"/>
    </row>
    <row r="49" spans="2:11" x14ac:dyDescent="0.3">
      <c r="B49" s="12" t="s">
        <v>49</v>
      </c>
    </row>
    <row r="50" spans="2:11" x14ac:dyDescent="0.3">
      <c r="B50" s="38" t="s">
        <v>45</v>
      </c>
      <c r="C50" s="38"/>
      <c r="D50" s="66">
        <f>(D6-C6)/C6</f>
        <v>5.2075754587349345E-2</v>
      </c>
      <c r="E50" s="66">
        <f t="shared" ref="E50:G50" si="18">(E6-D6)/D6</f>
        <v>5.7439689963003367E-2</v>
      </c>
      <c r="F50" s="66">
        <f t="shared" si="18"/>
        <v>0.25613181928226575</v>
      </c>
      <c r="G50" s="66">
        <f t="shared" si="18"/>
        <v>0.66115544550773486</v>
      </c>
      <c r="H50" s="67">
        <f>AVERAGE(D50:G50)</f>
        <v>0.25670067733508833</v>
      </c>
    </row>
    <row r="51" spans="2:11" x14ac:dyDescent="0.3">
      <c r="B51" s="38" t="s">
        <v>46</v>
      </c>
      <c r="C51" s="38"/>
      <c r="D51" s="66">
        <f>(D11-C11)/C11</f>
        <v>9.8633464876775559E-2</v>
      </c>
      <c r="E51" s="66">
        <f t="shared" ref="E51:G51" si="19">(E11-D11)/D11</f>
        <v>0.16193353938553129</v>
      </c>
      <c r="F51" s="66">
        <f t="shared" si="19"/>
        <v>6.7793717621372762E-2</v>
      </c>
      <c r="G51" s="66">
        <f t="shared" si="19"/>
        <v>2.6667128646012257</v>
      </c>
      <c r="H51" s="67">
        <f>AVERAGE(D51:G51)</f>
        <v>0.7487683966212263</v>
      </c>
    </row>
    <row r="52" spans="2:11" x14ac:dyDescent="0.3">
      <c r="B52" s="38" t="s">
        <v>47</v>
      </c>
      <c r="C52" s="38"/>
      <c r="D52" s="66">
        <f>(D21-C21)/C21</f>
        <v>0.37520967245112025</v>
      </c>
      <c r="E52" s="66">
        <f>(E21-D21)/D21</f>
        <v>-4.8568254522621514E-2</v>
      </c>
      <c r="F52" s="66">
        <f>(F21-E21)/E21</f>
        <v>-0.22711928703923237</v>
      </c>
      <c r="G52" s="66">
        <f>(G21-F21)/F21</f>
        <v>0.80584203353813455</v>
      </c>
      <c r="H52" s="67">
        <f>AVERAGE(D52:G52)</f>
        <v>0.22634104110685022</v>
      </c>
    </row>
    <row r="53" spans="2:11" x14ac:dyDescent="0.3">
      <c r="B53" s="38" t="s">
        <v>104</v>
      </c>
      <c r="C53" s="38"/>
      <c r="D53" s="66">
        <f>(D12-C12)/C12</f>
        <v>5.9951744862998327E-2</v>
      </c>
      <c r="E53" s="66">
        <f t="shared" ref="E53:G53" si="20">(E12-D12)/D12</f>
        <v>7.576161135932781E-2</v>
      </c>
      <c r="F53" s="66">
        <f t="shared" si="20"/>
        <v>0.22046341163800548</v>
      </c>
      <c r="G53" s="66">
        <f t="shared" si="20"/>
        <v>0.99346530764010288</v>
      </c>
      <c r="H53" s="67">
        <v>0.2</v>
      </c>
      <c r="I53" s="27" t="s">
        <v>105</v>
      </c>
    </row>
    <row r="54" spans="2:11" x14ac:dyDescent="0.3">
      <c r="B54" s="38" t="s">
        <v>75</v>
      </c>
      <c r="C54" s="38"/>
      <c r="D54" s="68">
        <f>D14/(BS!D10+BS!D11)</f>
        <v>4.028947612261484E-2</v>
      </c>
      <c r="E54" s="68">
        <f>E14/(BS!E10+BS!E11)</f>
        <v>3.3591264944191332E-2</v>
      </c>
      <c r="F54" s="68">
        <f>F14/(BS!F10+BS!F11)</f>
        <v>3.7212429581116035E-2</v>
      </c>
      <c r="G54" s="68">
        <f>G14/(BS!G10+BS!G11)</f>
        <v>5.0671144871211368E-2</v>
      </c>
      <c r="H54" s="69">
        <f>AVERAGE(D54:G54)</f>
        <v>4.044107887978339E-2</v>
      </c>
    </row>
    <row r="55" spans="2:11" x14ac:dyDescent="0.3">
      <c r="B55" s="38" t="s">
        <v>76</v>
      </c>
      <c r="C55" s="38"/>
      <c r="D55" s="66">
        <f>D19/D12</f>
        <v>0.22453216878463444</v>
      </c>
      <c r="E55" s="66">
        <f t="shared" ref="E55:G55" si="21">E19/E12</f>
        <v>0.2403907918762232</v>
      </c>
      <c r="F55" s="66">
        <f t="shared" si="21"/>
        <v>0.25179397076506566</v>
      </c>
      <c r="G55" s="66">
        <f t="shared" si="21"/>
        <v>0.37321395075726088</v>
      </c>
      <c r="H55" s="70">
        <f>AVERAGE(D55:G55)</f>
        <v>0.27248272054579603</v>
      </c>
    </row>
    <row r="56" spans="2:11" x14ac:dyDescent="0.3">
      <c r="B56" s="38" t="s">
        <v>77</v>
      </c>
      <c r="C56" s="38"/>
      <c r="D56" s="66">
        <f>D24/D23</f>
        <v>0.25561581021092089</v>
      </c>
      <c r="E56" s="66">
        <f t="shared" ref="E56:G56" si="22">E24/E23</f>
        <v>0.25008142763829971</v>
      </c>
      <c r="F56" s="66">
        <f t="shared" si="22"/>
        <v>0.24959498939728342</v>
      </c>
      <c r="G56" s="66">
        <f t="shared" si="22"/>
        <v>0.14525667179496554</v>
      </c>
      <c r="H56" s="70">
        <v>0.25</v>
      </c>
    </row>
    <row r="57" spans="2:11" x14ac:dyDescent="0.3">
      <c r="B57" s="38"/>
      <c r="C57" s="38"/>
      <c r="D57" s="66"/>
      <c r="E57" s="66"/>
      <c r="F57" s="66"/>
      <c r="G57" s="66"/>
      <c r="H57" s="71"/>
    </row>
    <row r="58" spans="2:11" x14ac:dyDescent="0.3">
      <c r="B58" s="38" t="s">
        <v>78</v>
      </c>
      <c r="C58" s="38"/>
      <c r="D58" s="66">
        <f>D21/BS!D19</f>
        <v>1.6631074155855997E-2</v>
      </c>
      <c r="E58" s="66">
        <f>E21/BS!E19</f>
        <v>1.3095394442865511E-2</v>
      </c>
      <c r="F58" s="66">
        <f>F21/BS!F19</f>
        <v>8.6556304163369173E-3</v>
      </c>
      <c r="G58" s="66">
        <f>G21/BS!G19</f>
        <v>1.0068279378401738E-2</v>
      </c>
      <c r="H58" s="70">
        <f>AVERAGE(D58:G58)</f>
        <v>1.2112594598365042E-2</v>
      </c>
    </row>
    <row r="59" spans="2:11" x14ac:dyDescent="0.3">
      <c r="B59" s="38" t="s">
        <v>82</v>
      </c>
      <c r="C59" s="72" t="s">
        <v>83</v>
      </c>
      <c r="D59" s="38"/>
      <c r="E59" s="38"/>
      <c r="F59" s="38"/>
      <c r="G59" s="38"/>
      <c r="H59" s="62"/>
    </row>
    <row r="60" spans="2:11" x14ac:dyDescent="0.3">
      <c r="B60" s="38" t="s">
        <v>99</v>
      </c>
      <c r="C60" s="38"/>
      <c r="D60" s="38"/>
      <c r="E60" s="38"/>
      <c r="F60" s="38"/>
      <c r="G60" s="38"/>
      <c r="H60" s="73">
        <v>0.23</v>
      </c>
    </row>
    <row r="63" spans="2:11" x14ac:dyDescent="0.3">
      <c r="B63" s="38" t="s">
        <v>103</v>
      </c>
      <c r="C63" s="38"/>
      <c r="D63" s="38"/>
      <c r="E63" s="38"/>
      <c r="F63" s="38"/>
      <c r="G63" s="38"/>
      <c r="H63" s="74">
        <f>H23/H12</f>
        <v>0.32078948474314062</v>
      </c>
      <c r="I63" s="74">
        <f t="shared" ref="I63:J63" si="23">I23/I12</f>
        <v>0.33721812836289616</v>
      </c>
      <c r="J63" s="74">
        <f t="shared" si="23"/>
        <v>0.35265023667284451</v>
      </c>
      <c r="K63" s="75">
        <f>AVERAGE(H63:J63)</f>
        <v>0.33688594992629378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5E3-3490-46F2-A546-13B110FE8B77}">
  <dimension ref="A1:L49"/>
  <sheetViews>
    <sheetView showGridLines="0" zoomScale="79" zoomScaleNormal="79" workbookViewId="0">
      <selection activeCell="J34" sqref="J34"/>
    </sheetView>
  </sheetViews>
  <sheetFormatPr defaultRowHeight="14.4" x14ac:dyDescent="0.3"/>
  <cols>
    <col min="1" max="1" width="4.77734375" style="2" customWidth="1"/>
    <col min="2" max="2" width="31.33203125" style="2" bestFit="1" customWidth="1"/>
    <col min="3" max="7" width="17.44140625" style="2" bestFit="1" customWidth="1"/>
    <col min="8" max="9" width="20.33203125" style="2" bestFit="1" customWidth="1"/>
    <col min="10" max="10" width="21" style="2" bestFit="1" customWidth="1"/>
    <col min="11" max="11" width="9.109375" style="2" bestFit="1" customWidth="1"/>
    <col min="12" max="16384" width="8.88671875" style="2"/>
  </cols>
  <sheetData>
    <row r="1" spans="1:12" x14ac:dyDescent="0.3">
      <c r="B1" s="17"/>
      <c r="G1" s="22"/>
    </row>
    <row r="2" spans="1:12" x14ac:dyDescent="0.3">
      <c r="A2" s="2" t="s">
        <v>98</v>
      </c>
      <c r="B2" s="24" t="s">
        <v>73</v>
      </c>
      <c r="G2" s="25"/>
    </row>
    <row r="3" spans="1:12" x14ac:dyDescent="0.3">
      <c r="B3" s="83" t="s">
        <v>72</v>
      </c>
      <c r="C3" s="84" t="s">
        <v>8</v>
      </c>
      <c r="D3" s="84" t="s">
        <v>7</v>
      </c>
      <c r="E3" s="84" t="s">
        <v>6</v>
      </c>
      <c r="F3" s="84" t="s">
        <v>5</v>
      </c>
      <c r="G3" s="84" t="s">
        <v>4</v>
      </c>
      <c r="H3" s="98">
        <v>25</v>
      </c>
      <c r="I3" s="98">
        <f>H3+1</f>
        <v>26</v>
      </c>
      <c r="J3" s="98">
        <f t="shared" ref="J3" si="0">I3+1</f>
        <v>27</v>
      </c>
    </row>
    <row r="4" spans="1:12" ht="14.4" customHeight="1" x14ac:dyDescent="0.3">
      <c r="B4" s="35" t="s">
        <v>59</v>
      </c>
      <c r="C4" s="36"/>
      <c r="D4" s="36"/>
      <c r="E4" s="36"/>
      <c r="F4" s="36"/>
      <c r="G4" s="35"/>
      <c r="H4" s="38"/>
      <c r="I4" s="38"/>
      <c r="J4" s="38"/>
    </row>
    <row r="5" spans="1:12" x14ac:dyDescent="0.3">
      <c r="B5" s="39" t="s">
        <v>51</v>
      </c>
      <c r="C5" s="40">
        <v>548.33000000000004</v>
      </c>
      <c r="D5" s="40">
        <v>551.28</v>
      </c>
      <c r="E5" s="40">
        <v>554.54999999999995</v>
      </c>
      <c r="F5" s="40">
        <v>557.97</v>
      </c>
      <c r="G5" s="40">
        <v>759.69</v>
      </c>
      <c r="H5" s="40">
        <v>759.69</v>
      </c>
      <c r="I5" s="40">
        <v>759.69</v>
      </c>
      <c r="J5" s="40">
        <v>759.69</v>
      </c>
    </row>
    <row r="6" spans="1:12" x14ac:dyDescent="0.3">
      <c r="B6" s="39" t="s">
        <v>31</v>
      </c>
      <c r="C6" s="40">
        <v>548.33000000000004</v>
      </c>
      <c r="D6" s="40">
        <v>551.28</v>
      </c>
      <c r="E6" s="40">
        <v>554.54999999999995</v>
      </c>
      <c r="F6" s="40">
        <v>557.97</v>
      </c>
      <c r="G6" s="40">
        <v>759.69</v>
      </c>
      <c r="H6" s="40">
        <v>759.69</v>
      </c>
      <c r="I6" s="40">
        <v>759.69</v>
      </c>
      <c r="J6" s="40">
        <v>759.69</v>
      </c>
    </row>
    <row r="7" spans="1:12" x14ac:dyDescent="0.3">
      <c r="B7" s="39" t="s">
        <v>60</v>
      </c>
      <c r="C7" s="40">
        <v>0</v>
      </c>
      <c r="D7" s="40">
        <v>0</v>
      </c>
      <c r="E7" s="40">
        <v>0</v>
      </c>
      <c r="F7" s="40">
        <v>0</v>
      </c>
      <c r="G7" s="41">
        <v>2652.72</v>
      </c>
      <c r="H7" s="40">
        <v>0</v>
      </c>
      <c r="I7" s="40">
        <v>0</v>
      </c>
      <c r="J7" s="40">
        <v>0</v>
      </c>
    </row>
    <row r="8" spans="1:12" x14ac:dyDescent="0.3">
      <c r="B8" s="39" t="s">
        <v>61</v>
      </c>
      <c r="C8" s="41">
        <v>170437.7</v>
      </c>
      <c r="D8" s="41">
        <v>203169.55</v>
      </c>
      <c r="E8" s="41">
        <v>239538.38</v>
      </c>
      <c r="F8" s="41">
        <v>279641.03000000003</v>
      </c>
      <c r="G8" s="41">
        <v>436833.4</v>
      </c>
      <c r="H8" s="42">
        <f>G8+IS!H31-IS!H45</f>
        <v>520863.93773897749</v>
      </c>
      <c r="I8" s="42">
        <f>H8+IS!I31-IS!I45</f>
        <v>631873.34444511239</v>
      </c>
      <c r="J8" s="42">
        <f>I8+IS!J31-IS!J45</f>
        <v>777763.13363398646</v>
      </c>
    </row>
    <row r="9" spans="1:12" x14ac:dyDescent="0.3">
      <c r="B9" s="35" t="s">
        <v>62</v>
      </c>
      <c r="C9" s="43">
        <v>170986.03</v>
      </c>
      <c r="D9" s="43">
        <v>203720.83</v>
      </c>
      <c r="E9" s="43">
        <v>240092.93</v>
      </c>
      <c r="F9" s="43">
        <v>280199</v>
      </c>
      <c r="G9" s="43">
        <v>440245.81</v>
      </c>
      <c r="H9" s="44">
        <f>H5+H8</f>
        <v>521623.62773897749</v>
      </c>
      <c r="I9" s="44">
        <f t="shared" ref="I9:J9" si="1">I5+I8</f>
        <v>632633.03444511234</v>
      </c>
      <c r="J9" s="44">
        <f t="shared" si="1"/>
        <v>778522.82363398641</v>
      </c>
    </row>
    <row r="10" spans="1:12" x14ac:dyDescent="0.3">
      <c r="B10" s="39" t="s">
        <v>52</v>
      </c>
      <c r="C10" s="41">
        <v>1147502.29</v>
      </c>
      <c r="D10" s="41">
        <v>1335060.22</v>
      </c>
      <c r="E10" s="41">
        <v>1559217.44</v>
      </c>
      <c r="F10" s="41">
        <v>1883394.65</v>
      </c>
      <c r="G10" s="41">
        <v>2379786.2799999998</v>
      </c>
      <c r="H10" s="38">
        <f t="shared" ref="H10:J11" si="2">G10*(1+$H32)</f>
        <v>2855743.5359999998</v>
      </c>
      <c r="I10" s="38">
        <f t="shared" si="2"/>
        <v>3426892.2431999999</v>
      </c>
      <c r="J10" s="38">
        <f t="shared" si="2"/>
        <v>4112270.6918399995</v>
      </c>
    </row>
    <row r="11" spans="1:12" x14ac:dyDescent="0.3">
      <c r="B11" s="39" t="s">
        <v>53</v>
      </c>
      <c r="C11" s="41">
        <v>144628.54</v>
      </c>
      <c r="D11" s="41">
        <v>135487.32</v>
      </c>
      <c r="E11" s="41">
        <v>184817.21</v>
      </c>
      <c r="F11" s="41">
        <v>206765.57</v>
      </c>
      <c r="G11" s="41">
        <v>662153.07999999996</v>
      </c>
      <c r="H11" s="82">
        <f t="shared" si="2"/>
        <v>762806.98655243265</v>
      </c>
      <c r="I11" s="82">
        <f t="shared" si="2"/>
        <v>878761.29600303783</v>
      </c>
      <c r="J11" s="82">
        <f t="shared" si="2"/>
        <v>1012341.8229859893</v>
      </c>
    </row>
    <row r="12" spans="1:12" x14ac:dyDescent="0.3">
      <c r="B12" s="35" t="s">
        <v>63</v>
      </c>
      <c r="C12" s="43">
        <v>1292130.83</v>
      </c>
      <c r="D12" s="43">
        <v>1470547.54</v>
      </c>
      <c r="E12" s="43">
        <v>1744034.65</v>
      </c>
      <c r="F12" s="43">
        <v>2090160.22</v>
      </c>
      <c r="G12" s="43">
        <v>3041939.36</v>
      </c>
      <c r="H12" s="44">
        <f>H10+H11</f>
        <v>3618550.5225524325</v>
      </c>
      <c r="I12" s="44">
        <f t="shared" ref="I12:J12" si="3">I10+I11</f>
        <v>4305653.5392030375</v>
      </c>
      <c r="J12" s="44">
        <f t="shared" si="3"/>
        <v>5124612.5148259886</v>
      </c>
    </row>
    <row r="13" spans="1:12" x14ac:dyDescent="0.3">
      <c r="B13" s="39" t="s">
        <v>64</v>
      </c>
      <c r="C13" s="41">
        <v>67394.399999999994</v>
      </c>
      <c r="D13" s="41">
        <v>72602.149999999994</v>
      </c>
      <c r="E13" s="41">
        <v>84407.46</v>
      </c>
      <c r="F13" s="41">
        <v>95722.25</v>
      </c>
      <c r="G13" s="41">
        <v>135437.93</v>
      </c>
      <c r="H13" s="45">
        <f>H12*$H36</f>
        <v>143494.16023961597</v>
      </c>
      <c r="I13" s="45">
        <f>I12*$H36</f>
        <v>170741.33276294966</v>
      </c>
      <c r="J13" s="45">
        <f>J12*$H36</f>
        <v>203217.27298965096</v>
      </c>
    </row>
    <row r="14" spans="1:12" x14ac:dyDescent="0.3">
      <c r="B14" s="35" t="s">
        <v>65</v>
      </c>
      <c r="C14" s="43">
        <v>1530511.26</v>
      </c>
      <c r="D14" s="43">
        <v>1746870.52</v>
      </c>
      <c r="E14" s="43">
        <v>2068535.04</v>
      </c>
      <c r="F14" s="43">
        <v>2466081.4700000002</v>
      </c>
      <c r="G14" s="43">
        <v>3617623.1</v>
      </c>
      <c r="H14" s="44">
        <f>H12+H13</f>
        <v>3762044.6827920484</v>
      </c>
      <c r="I14" s="44">
        <f t="shared" ref="I14:J14" si="4">I12+I13</f>
        <v>4476394.8719659876</v>
      </c>
      <c r="J14" s="44">
        <f t="shared" si="4"/>
        <v>5327829.7878156397</v>
      </c>
    </row>
    <row r="15" spans="1:12" x14ac:dyDescent="0.3">
      <c r="B15" s="35"/>
      <c r="C15" s="36"/>
      <c r="D15" s="36"/>
      <c r="E15" s="36"/>
      <c r="F15" s="36"/>
      <c r="G15" s="43"/>
      <c r="H15" s="38"/>
      <c r="I15" s="38"/>
      <c r="J15" s="38"/>
    </row>
    <row r="16" spans="1:12" x14ac:dyDescent="0.3">
      <c r="B16" s="35" t="s">
        <v>66</v>
      </c>
      <c r="C16" s="36"/>
      <c r="D16" s="36"/>
      <c r="E16" s="36"/>
      <c r="F16" s="36"/>
      <c r="G16" s="35"/>
      <c r="H16" s="38"/>
      <c r="I16" s="35"/>
      <c r="J16" s="35"/>
      <c r="K16" s="17"/>
      <c r="L16" s="17"/>
    </row>
    <row r="17" spans="2:12" x14ac:dyDescent="0.3">
      <c r="B17" s="90" t="s">
        <v>67</v>
      </c>
      <c r="C17" s="91">
        <v>72205.119999999995</v>
      </c>
      <c r="D17" s="91">
        <v>97340.74</v>
      </c>
      <c r="E17" s="91">
        <v>129995.64</v>
      </c>
      <c r="F17" s="91">
        <v>117160.77</v>
      </c>
      <c r="G17" s="91">
        <v>178683.22</v>
      </c>
      <c r="H17" s="92">
        <f>H10*$H37</f>
        <v>128508.45911999998</v>
      </c>
      <c r="I17" s="92">
        <f>I10*$H37</f>
        <v>154210.15094399999</v>
      </c>
      <c r="J17" s="92">
        <f>J10*$H37</f>
        <v>185052.18113279997</v>
      </c>
    </row>
    <row r="18" spans="2:12" x14ac:dyDescent="0.3">
      <c r="B18" s="90" t="s">
        <v>68</v>
      </c>
      <c r="C18" s="91">
        <v>14413.6</v>
      </c>
      <c r="D18" s="91">
        <v>22129.66</v>
      </c>
      <c r="E18" s="91">
        <v>22331.29</v>
      </c>
      <c r="F18" s="91">
        <v>76604.31</v>
      </c>
      <c r="G18" s="91">
        <v>40464.199999999997</v>
      </c>
      <c r="H18" s="92">
        <f>H10*$H42</f>
        <v>42836.153039999997</v>
      </c>
      <c r="I18" s="92">
        <f>I10*$H42</f>
        <v>51403.383647999995</v>
      </c>
      <c r="J18" s="92">
        <f>J10*$H42</f>
        <v>61684.060377599992</v>
      </c>
      <c r="K18" s="34"/>
      <c r="L18" s="17"/>
    </row>
    <row r="19" spans="2:12" x14ac:dyDescent="0.3">
      <c r="B19" s="93" t="s">
        <v>55</v>
      </c>
      <c r="C19" s="94">
        <v>993702.88</v>
      </c>
      <c r="D19" s="94">
        <v>1132836.6299999999</v>
      </c>
      <c r="E19" s="94">
        <v>1368820.93</v>
      </c>
      <c r="F19" s="94">
        <v>1600585.9</v>
      </c>
      <c r="G19" s="94">
        <v>2484861.52</v>
      </c>
      <c r="H19" s="92">
        <f>G19*(1+$H34)</f>
        <v>3149633.6450765007</v>
      </c>
      <c r="I19" s="92">
        <f>H19*(1+$H34)</f>
        <v>3992251.4869954945</v>
      </c>
      <c r="J19" s="92">
        <f>I19*(1+$H34)</f>
        <v>5060293.9044457087</v>
      </c>
    </row>
    <row r="20" spans="2:12" x14ac:dyDescent="0.3">
      <c r="B20" s="93" t="s">
        <v>54</v>
      </c>
      <c r="C20" s="94">
        <v>391826.66</v>
      </c>
      <c r="D20" s="94">
        <v>443728.29</v>
      </c>
      <c r="E20" s="94">
        <v>455535.69</v>
      </c>
      <c r="F20" s="94">
        <v>517001.43</v>
      </c>
      <c r="G20" s="94">
        <v>702414.96</v>
      </c>
      <c r="H20" s="95">
        <f t="shared" ref="H20:J21" si="5">G20*(1+$H38)</f>
        <v>856602.83202371991</v>
      </c>
      <c r="I20" s="95">
        <f t="shared" si="5"/>
        <v>1044636.6515756688</v>
      </c>
      <c r="J20" s="95">
        <f t="shared" si="5"/>
        <v>1273945.9794186244</v>
      </c>
    </row>
    <row r="21" spans="2:12" x14ac:dyDescent="0.3">
      <c r="B21" s="39" t="s">
        <v>69</v>
      </c>
      <c r="C21" s="41">
        <v>4431.92</v>
      </c>
      <c r="D21" s="41">
        <v>4909.32</v>
      </c>
      <c r="E21" s="41">
        <v>6083.67</v>
      </c>
      <c r="F21" s="41">
        <v>8016.54</v>
      </c>
      <c r="G21" s="41">
        <v>11398.99</v>
      </c>
      <c r="H21" s="38">
        <f t="shared" si="5"/>
        <v>14495.454975772609</v>
      </c>
      <c r="I21" s="38">
        <f t="shared" si="5"/>
        <v>18433.055468480183</v>
      </c>
      <c r="J21" s="38">
        <f t="shared" si="5"/>
        <v>23440.280727439324</v>
      </c>
    </row>
    <row r="22" spans="2:12" x14ac:dyDescent="0.3">
      <c r="B22" s="39" t="s">
        <v>70</v>
      </c>
      <c r="C22" s="41">
        <v>4431.92</v>
      </c>
      <c r="D22" s="41">
        <v>4909.32</v>
      </c>
      <c r="E22" s="41">
        <v>6083.67</v>
      </c>
      <c r="F22" s="41">
        <v>8016.54</v>
      </c>
      <c r="G22" s="41">
        <v>11398.99</v>
      </c>
      <c r="H22" s="38">
        <f>H21</f>
        <v>14495.454975772609</v>
      </c>
      <c r="I22" s="38">
        <f t="shared" ref="I22:J22" si="6">I21</f>
        <v>18433.055468480183</v>
      </c>
      <c r="J22" s="38">
        <f t="shared" si="6"/>
        <v>23440.280727439324</v>
      </c>
    </row>
    <row r="23" spans="2:12" x14ac:dyDescent="0.3">
      <c r="B23" s="39" t="s">
        <v>56</v>
      </c>
      <c r="C23" s="41">
        <v>53931.09</v>
      </c>
      <c r="D23" s="41">
        <v>45925.89</v>
      </c>
      <c r="E23" s="41">
        <v>85767.83</v>
      </c>
      <c r="F23" s="41">
        <v>146712.51999999999</v>
      </c>
      <c r="G23" s="41">
        <v>199800.2</v>
      </c>
      <c r="H23" s="38">
        <f>G23*(1+$H41)</f>
        <v>208914.85086324185</v>
      </c>
      <c r="I23" s="38">
        <f>H23*(1+$H41)</f>
        <v>218445.30141216365</v>
      </c>
      <c r="J23" s="38">
        <f>I23*(1+$H41)</f>
        <v>228410.51994091136</v>
      </c>
    </row>
    <row r="24" spans="2:12" x14ac:dyDescent="0.3">
      <c r="B24" s="35" t="s">
        <v>57</v>
      </c>
      <c r="C24" s="43">
        <v>1530511.27</v>
      </c>
      <c r="D24" s="43">
        <v>1746870.53</v>
      </c>
      <c r="E24" s="43">
        <v>2068535.05</v>
      </c>
      <c r="F24" s="43">
        <v>2466081.4700000002</v>
      </c>
      <c r="G24" s="43">
        <v>3617623.09</v>
      </c>
      <c r="H24" s="37">
        <f>SUM(H17:H23)-H22</f>
        <v>4400991.3950992348</v>
      </c>
      <c r="I24" s="37">
        <f t="shared" ref="I24:J24" si="7">SUM(I17:I23)-I22</f>
        <v>5479380.0300438069</v>
      </c>
      <c r="J24" s="37">
        <f t="shared" si="7"/>
        <v>6832826.9260430839</v>
      </c>
    </row>
    <row r="25" spans="2:12" x14ac:dyDescent="0.3">
      <c r="B25" s="58" t="s">
        <v>102</v>
      </c>
      <c r="C25" s="58"/>
      <c r="D25" s="58"/>
      <c r="E25" s="58"/>
      <c r="F25" s="58"/>
      <c r="G25" s="59"/>
      <c r="H25" s="60">
        <f>H29</f>
        <v>638946.71230718633</v>
      </c>
      <c r="I25" s="60">
        <f t="shared" ref="I25:J25" si="8">I29</f>
        <v>1002985.1580778193</v>
      </c>
      <c r="J25" s="60">
        <f t="shared" si="8"/>
        <v>1504997.1382274441</v>
      </c>
    </row>
    <row r="26" spans="2:12" x14ac:dyDescent="0.3">
      <c r="B26" s="39" t="s">
        <v>58</v>
      </c>
      <c r="C26" s="41">
        <v>1180538.31</v>
      </c>
      <c r="D26" s="41">
        <v>1015845.74</v>
      </c>
      <c r="E26" s="41">
        <v>1452410.35</v>
      </c>
      <c r="F26" s="41">
        <v>1819569.86</v>
      </c>
      <c r="G26" s="41">
        <v>2362091.21</v>
      </c>
      <c r="H26" s="38" t="s">
        <v>48</v>
      </c>
      <c r="I26" s="38" t="s">
        <v>48</v>
      </c>
      <c r="J26" s="38" t="s">
        <v>48</v>
      </c>
    </row>
    <row r="27" spans="2:12" x14ac:dyDescent="0.3">
      <c r="B27" s="39" t="s">
        <v>71</v>
      </c>
      <c r="C27" s="40">
        <v>311.83</v>
      </c>
      <c r="D27" s="40">
        <v>369.54</v>
      </c>
      <c r="E27" s="40">
        <v>432.95</v>
      </c>
      <c r="F27" s="40">
        <v>502.18</v>
      </c>
      <c r="G27" s="40">
        <v>576.01</v>
      </c>
      <c r="H27" s="38" t="s">
        <v>48</v>
      </c>
      <c r="I27" s="38" t="s">
        <v>48</v>
      </c>
      <c r="J27" s="38" t="s">
        <v>48</v>
      </c>
    </row>
    <row r="28" spans="2:12" ht="15" thickBot="1" x14ac:dyDescent="0.35">
      <c r="H28" s="14"/>
      <c r="I28" s="23"/>
      <c r="J28" s="23"/>
      <c r="K28" s="23"/>
      <c r="L28" s="23"/>
    </row>
    <row r="29" spans="2:12" x14ac:dyDescent="0.3">
      <c r="B29" s="2" t="s">
        <v>97</v>
      </c>
      <c r="C29" s="57">
        <f>C24-(C14)</f>
        <v>1.0000000009313226E-2</v>
      </c>
      <c r="D29" s="57">
        <f t="shared" ref="D29:G29" si="9">D24-(D14)</f>
        <v>1.0000000009313226E-2</v>
      </c>
      <c r="E29" s="57">
        <f t="shared" si="9"/>
        <v>1.0000000009313226E-2</v>
      </c>
      <c r="F29" s="57">
        <f t="shared" si="9"/>
        <v>0</v>
      </c>
      <c r="G29" s="57">
        <f t="shared" si="9"/>
        <v>-1.0000000242143869E-2</v>
      </c>
      <c r="H29" s="57">
        <f>H24-(H14)</f>
        <v>638946.71230718633</v>
      </c>
      <c r="I29" s="57">
        <f t="shared" ref="I29:J29" si="10">I24-(I14)</f>
        <v>1002985.1580778193</v>
      </c>
      <c r="J29" s="57">
        <f t="shared" si="10"/>
        <v>1504997.1382274441</v>
      </c>
      <c r="K29" s="26"/>
      <c r="L29" s="26"/>
    </row>
    <row r="30" spans="2:12" x14ac:dyDescent="0.3">
      <c r="H30" s="14"/>
    </row>
    <row r="31" spans="2:12" x14ac:dyDescent="0.3">
      <c r="B31" s="27" t="s">
        <v>49</v>
      </c>
    </row>
    <row r="32" spans="2:12" x14ac:dyDescent="0.3">
      <c r="B32" s="2" t="s">
        <v>52</v>
      </c>
      <c r="D32" s="13">
        <f t="shared" ref="D32:G32" si="11">(D10-C10)/C10</f>
        <v>0.16344885028508302</v>
      </c>
      <c r="E32" s="13">
        <f t="shared" si="11"/>
        <v>0.1679004562056384</v>
      </c>
      <c r="F32" s="13">
        <f t="shared" si="11"/>
        <v>0.20791020013218936</v>
      </c>
      <c r="G32" s="13">
        <f t="shared" si="11"/>
        <v>0.26356219605912118</v>
      </c>
      <c r="H32" s="46">
        <v>0.2</v>
      </c>
    </row>
    <row r="33" spans="2:10" x14ac:dyDescent="0.3">
      <c r="B33" s="2" t="s">
        <v>109</v>
      </c>
      <c r="D33" s="13">
        <f>D11/D10</f>
        <v>0.10148405140855744</v>
      </c>
      <c r="E33" s="13">
        <f t="shared" ref="E33:G33" si="12">E11/E10</f>
        <v>0.11853203104244396</v>
      </c>
      <c r="F33" s="13">
        <f t="shared" si="12"/>
        <v>0.10978345404135029</v>
      </c>
      <c r="G33" s="13">
        <f t="shared" si="12"/>
        <v>0.27824056536707154</v>
      </c>
      <c r="H33" s="46">
        <f t="shared" ref="H33:H41" si="13">AVERAGE(D33:G33)</f>
        <v>0.15201002546485581</v>
      </c>
    </row>
    <row r="34" spans="2:10" x14ac:dyDescent="0.3">
      <c r="B34" s="2" t="s">
        <v>55</v>
      </c>
      <c r="D34" s="13">
        <f>(D19-C19)/C19</f>
        <v>0.14001544405305527</v>
      </c>
      <c r="E34" s="13">
        <f>(E19-D19)/D19</f>
        <v>0.20831273790996682</v>
      </c>
      <c r="F34" s="13">
        <f>(F19-E19)/E19</f>
        <v>0.16931723129043622</v>
      </c>
      <c r="G34" s="13">
        <f>(G19-F19)/F19</f>
        <v>0.55246995490838713</v>
      </c>
      <c r="H34" s="46">
        <f t="shared" si="13"/>
        <v>0.26752884204046135</v>
      </c>
    </row>
    <row r="35" spans="2:10" x14ac:dyDescent="0.3">
      <c r="H35" s="47"/>
    </row>
    <row r="36" spans="2:10" x14ac:dyDescent="0.3">
      <c r="B36" s="2" t="s">
        <v>79</v>
      </c>
      <c r="D36" s="13">
        <f>D13/D14</f>
        <v>4.1561265800054828E-2</v>
      </c>
      <c r="E36" s="13">
        <f>E13/E14</f>
        <v>4.0805429140808758E-2</v>
      </c>
      <c r="F36" s="13">
        <f>F13/F14</f>
        <v>3.8815526236446678E-2</v>
      </c>
      <c r="G36" s="13">
        <f>G13/G14</f>
        <v>3.7438374937400196E-2</v>
      </c>
      <c r="H36" s="46">
        <f t="shared" si="13"/>
        <v>3.9655149028677616E-2</v>
      </c>
    </row>
    <row r="37" spans="2:10" x14ac:dyDescent="0.3">
      <c r="B37" s="2" t="s">
        <v>80</v>
      </c>
      <c r="H37" s="48">
        <v>4.4999999999999998E-2</v>
      </c>
    </row>
    <row r="38" spans="2:10" x14ac:dyDescent="0.3">
      <c r="B38" s="2" t="s">
        <v>101</v>
      </c>
      <c r="D38" s="13">
        <f>D20/D24</f>
        <v>0.2540132667988852</v>
      </c>
      <c r="E38" s="13">
        <f t="shared" ref="E38:G38" si="14">E20/E24</f>
        <v>0.22022140258150327</v>
      </c>
      <c r="F38" s="13">
        <f t="shared" si="14"/>
        <v>0.20964491087960688</v>
      </c>
      <c r="G38" s="13">
        <f t="shared" si="14"/>
        <v>0.1941647713222662</v>
      </c>
      <c r="H38" s="46">
        <f t="shared" si="13"/>
        <v>0.21951108789556539</v>
      </c>
    </row>
    <row r="39" spans="2:10" x14ac:dyDescent="0.3">
      <c r="B39" s="2" t="s">
        <v>69</v>
      </c>
      <c r="D39" s="13">
        <f>(D21-C21)/C21</f>
        <v>0.10771855087636953</v>
      </c>
      <c r="E39" s="13">
        <f>(E21-D21)/D21</f>
        <v>0.23920828139131295</v>
      </c>
      <c r="F39" s="13">
        <f>(F21-E21)/E21</f>
        <v>0.31771447169225153</v>
      </c>
      <c r="G39" s="13">
        <f>(G21-F21)/F21</f>
        <v>0.4219339016583214</v>
      </c>
      <c r="H39" s="46">
        <f t="shared" si="13"/>
        <v>0.27164380140456384</v>
      </c>
    </row>
    <row r="40" spans="2:10" x14ac:dyDescent="0.3">
      <c r="B40" s="2" t="s">
        <v>81</v>
      </c>
      <c r="D40" s="13">
        <f>D24/IS!D12</f>
        <v>11.206128827558317</v>
      </c>
      <c r="E40" s="13">
        <f>E24/IS!E12</f>
        <v>12.335073293602568</v>
      </c>
      <c r="F40" s="13">
        <f>F24/IS!F12</f>
        <v>12.049291357972818</v>
      </c>
      <c r="G40" s="13">
        <f>G24/IS!G12</f>
        <v>8.8668369204830739</v>
      </c>
      <c r="H40" s="49">
        <f>AVERAGE(D40:G40)</f>
        <v>11.114332599904195</v>
      </c>
    </row>
    <row r="41" spans="2:10" x14ac:dyDescent="0.3">
      <c r="B41" s="2" t="s">
        <v>84</v>
      </c>
      <c r="D41" s="13">
        <f>D23/D24</f>
        <v>2.6290379974525071E-2</v>
      </c>
      <c r="E41" s="13">
        <f>E23/E24</f>
        <v>4.1463077940110324E-2</v>
      </c>
      <c r="F41" s="13">
        <f>F23/F24</f>
        <v>5.9492162681876029E-2</v>
      </c>
      <c r="G41" s="13">
        <f>G23/G24</f>
        <v>5.5229689503115159E-2</v>
      </c>
      <c r="H41" s="46">
        <f t="shared" si="13"/>
        <v>4.5618827524906647E-2</v>
      </c>
    </row>
    <row r="42" spans="2:10" x14ac:dyDescent="0.3">
      <c r="B42" s="2" t="s">
        <v>85</v>
      </c>
      <c r="D42" s="13">
        <f>D18/D10</f>
        <v>1.6575776634255496E-2</v>
      </c>
      <c r="E42" s="13">
        <f>E18/E10</f>
        <v>1.4322114047159454E-2</v>
      </c>
      <c r="F42" s="13">
        <f>F18/F10</f>
        <v>4.0673530637883037E-2</v>
      </c>
      <c r="G42" s="13">
        <f>G18/G10</f>
        <v>1.700329157288864E-2</v>
      </c>
      <c r="H42" s="46">
        <v>1.4999999999999999E-2</v>
      </c>
    </row>
    <row r="44" spans="2:10" x14ac:dyDescent="0.3">
      <c r="B44" s="2" t="s">
        <v>94</v>
      </c>
      <c r="C44" s="2" t="s">
        <v>48</v>
      </c>
      <c r="D44" s="14">
        <f>D23-C23</f>
        <v>-8005.1999999999971</v>
      </c>
      <c r="E44" s="14">
        <f t="shared" ref="E44:J44" si="15">E23-D23</f>
        <v>39841.94</v>
      </c>
      <c r="F44" s="14">
        <f t="shared" si="15"/>
        <v>60944.689999999988</v>
      </c>
      <c r="G44" s="14">
        <f t="shared" si="15"/>
        <v>53087.680000000022</v>
      </c>
      <c r="H44" s="14">
        <f t="shared" si="15"/>
        <v>9114.6508632418409</v>
      </c>
      <c r="I44" s="14">
        <f t="shared" si="15"/>
        <v>9530.4505489217991</v>
      </c>
      <c r="J44" s="14">
        <f t="shared" si="15"/>
        <v>9965.2185287477041</v>
      </c>
    </row>
    <row r="45" spans="2:10" x14ac:dyDescent="0.3">
      <c r="B45" s="2" t="s">
        <v>114</v>
      </c>
      <c r="D45" s="14">
        <f>SUM(D17:D20)-(D10+D13)</f>
        <v>288372.94999999995</v>
      </c>
      <c r="E45" s="14">
        <f t="shared" ref="E45:J45" si="16">SUM(E17:E20)-(E10+E13)</f>
        <v>333058.64999999991</v>
      </c>
      <c r="F45" s="14">
        <f t="shared" si="16"/>
        <v>332235.51000000024</v>
      </c>
      <c r="G45" s="14">
        <f t="shared" si="16"/>
        <v>891199.69</v>
      </c>
      <c r="H45" s="14">
        <f t="shared" si="16"/>
        <v>1178343.3930206047</v>
      </c>
      <c r="I45" s="14">
        <f t="shared" si="16"/>
        <v>1644868.0972002139</v>
      </c>
      <c r="J45" s="14">
        <f t="shared" si="16"/>
        <v>2265488.1605450818</v>
      </c>
    </row>
    <row r="46" spans="2:10" x14ac:dyDescent="0.3">
      <c r="B46" s="27" t="s">
        <v>108</v>
      </c>
      <c r="C46" s="27"/>
      <c r="D46" s="27"/>
      <c r="E46" s="61">
        <f>E45-D45</f>
        <v>44685.699999999953</v>
      </c>
      <c r="F46" s="61">
        <f t="shared" ref="F46:J46" si="17">F45-E45</f>
        <v>-823.13999999966472</v>
      </c>
      <c r="G46" s="61">
        <f t="shared" si="17"/>
        <v>558964.1799999997</v>
      </c>
      <c r="H46" s="61">
        <f t="shared" si="17"/>
        <v>287143.70302060479</v>
      </c>
      <c r="I46" s="61">
        <f t="shared" si="17"/>
        <v>466524.70417960919</v>
      </c>
      <c r="J46" s="61">
        <f t="shared" si="17"/>
        <v>620620.0633448679</v>
      </c>
    </row>
    <row r="49" spans="2:10" x14ac:dyDescent="0.3">
      <c r="B49" s="2" t="s">
        <v>115</v>
      </c>
      <c r="D49" s="14">
        <f>D11-C11</f>
        <v>-9141.2200000000012</v>
      </c>
      <c r="E49" s="14">
        <f t="shared" ref="E49:J49" si="18">E11-D11</f>
        <v>49329.889999999985</v>
      </c>
      <c r="F49" s="14">
        <f t="shared" si="18"/>
        <v>21948.360000000015</v>
      </c>
      <c r="G49" s="14">
        <f t="shared" si="18"/>
        <v>455387.50999999995</v>
      </c>
      <c r="H49" s="14">
        <f t="shared" si="18"/>
        <v>100653.90655243269</v>
      </c>
      <c r="I49" s="14">
        <f t="shared" si="18"/>
        <v>115954.30945060519</v>
      </c>
      <c r="J49" s="14">
        <f t="shared" si="18"/>
        <v>133580.52698295144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84EB-94F2-41B5-8AA2-5B712337E5C6}">
  <dimension ref="B3:M17"/>
  <sheetViews>
    <sheetView showGridLines="0" workbookViewId="0">
      <selection activeCell="O12" sqref="O12"/>
    </sheetView>
  </sheetViews>
  <sheetFormatPr defaultRowHeight="14.4" x14ac:dyDescent="0.3"/>
  <cols>
    <col min="1" max="1" width="5.5546875" style="2" customWidth="1"/>
    <col min="2" max="2" width="21.109375" style="2" customWidth="1"/>
    <col min="3" max="3" width="2.5546875" style="2" customWidth="1"/>
    <col min="4" max="4" width="9.21875" style="2" bestFit="1" customWidth="1"/>
    <col min="5" max="5" width="9" style="2" bestFit="1" customWidth="1"/>
    <col min="6" max="8" width="9.5546875" style="2" bestFit="1" customWidth="1"/>
    <col min="9" max="9" width="16.33203125" style="2" bestFit="1" customWidth="1"/>
    <col min="10" max="10" width="12" style="2" bestFit="1" customWidth="1"/>
    <col min="11" max="12" width="10.109375" style="2" bestFit="1" customWidth="1"/>
    <col min="13" max="16384" width="8.88671875" style="2"/>
  </cols>
  <sheetData>
    <row r="3" spans="2:13" x14ac:dyDescent="0.3">
      <c r="B3" s="16"/>
      <c r="C3" s="16"/>
      <c r="D3" s="181" t="s">
        <v>113</v>
      </c>
      <c r="E3" s="182"/>
      <c r="F3" s="182"/>
      <c r="G3" s="182"/>
      <c r="H3" s="183"/>
      <c r="I3" s="56"/>
      <c r="J3" s="180" t="s">
        <v>112</v>
      </c>
      <c r="K3" s="180"/>
      <c r="L3" s="180"/>
      <c r="M3" s="15"/>
    </row>
    <row r="4" spans="2:13" x14ac:dyDescent="0.3">
      <c r="B4" s="35" t="s">
        <v>72</v>
      </c>
      <c r="C4" s="35"/>
      <c r="D4" s="18" t="s">
        <v>8</v>
      </c>
      <c r="E4" s="18" t="s">
        <v>7</v>
      </c>
      <c r="F4" s="18" t="s">
        <v>6</v>
      </c>
      <c r="G4" s="18" t="s">
        <v>5</v>
      </c>
      <c r="H4" s="50" t="s">
        <v>4</v>
      </c>
      <c r="I4" s="50"/>
      <c r="J4" s="35">
        <v>25</v>
      </c>
      <c r="K4" s="35">
        <f>J4+1</f>
        <v>26</v>
      </c>
      <c r="L4" s="35">
        <f t="shared" ref="L4" si="0">K4+1</f>
        <v>27</v>
      </c>
      <c r="M4" s="17"/>
    </row>
    <row r="5" spans="2:13" ht="25.2" customHeight="1" x14ac:dyDescent="0.3">
      <c r="B5" s="83" t="s">
        <v>86</v>
      </c>
      <c r="C5" s="83"/>
      <c r="D5" s="84">
        <v>36607.15</v>
      </c>
      <c r="E5" s="84">
        <v>41658.980000000003</v>
      </c>
      <c r="F5" s="84">
        <v>49015.48</v>
      </c>
      <c r="G5" s="84">
        <v>58485.3</v>
      </c>
      <c r="H5" s="85">
        <v>70895.31</v>
      </c>
      <c r="I5" s="89"/>
      <c r="J5" s="86">
        <f>IS!H28</f>
        <v>109130.56849217859</v>
      </c>
      <c r="K5" s="86">
        <f>IS!I28</f>
        <v>144168.06065731807</v>
      </c>
      <c r="L5" s="86">
        <f>IS!J28</f>
        <v>189467.2586868495</v>
      </c>
      <c r="M5" s="15"/>
    </row>
    <row r="6" spans="2:13" ht="33" customHeight="1" x14ac:dyDescent="0.3">
      <c r="B6" s="19" t="s">
        <v>87</v>
      </c>
      <c r="C6" s="19"/>
      <c r="D6" s="20">
        <v>-16689.78</v>
      </c>
      <c r="E6" s="20">
        <v>41494.79</v>
      </c>
      <c r="F6" s="20">
        <v>-14208.72</v>
      </c>
      <c r="G6" s="20">
        <v>27313.41</v>
      </c>
      <c r="H6" s="51">
        <v>35014.959999999999</v>
      </c>
      <c r="I6" s="51"/>
      <c r="J6" s="53">
        <f>J5*$I16</f>
        <v>26435.145398167377</v>
      </c>
      <c r="K6" s="53">
        <f t="shared" ref="K6:L6" si="1">K5*$I16</f>
        <v>34922.420893657858</v>
      </c>
      <c r="L6" s="53">
        <f t="shared" si="1"/>
        <v>45895.431507241025</v>
      </c>
      <c r="M6" s="15"/>
    </row>
    <row r="7" spans="2:13" ht="21.6" customHeight="1" x14ac:dyDescent="0.3">
      <c r="B7" s="19" t="s">
        <v>88</v>
      </c>
      <c r="C7" s="19"/>
      <c r="D7" s="19">
        <v>-1104.92</v>
      </c>
      <c r="E7" s="19">
        <v>-1120.17</v>
      </c>
      <c r="F7" s="19">
        <v>-1291.5999999999999</v>
      </c>
      <c r="G7" s="19">
        <v>-2428.88</v>
      </c>
      <c r="H7" s="52">
        <v>7094.17</v>
      </c>
      <c r="I7" s="52"/>
      <c r="J7" s="53"/>
      <c r="K7" s="53"/>
      <c r="L7" s="53"/>
      <c r="M7" s="15"/>
    </row>
    <row r="8" spans="2:13" ht="28.8" customHeight="1" x14ac:dyDescent="0.3">
      <c r="B8" s="19" t="s">
        <v>89</v>
      </c>
      <c r="C8" s="19"/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/>
      <c r="J8" s="19">
        <v>0</v>
      </c>
      <c r="K8" s="19">
        <v>0</v>
      </c>
      <c r="L8" s="19">
        <v>0</v>
      </c>
      <c r="M8" s="15"/>
    </row>
    <row r="9" spans="2:13" ht="33.6" customHeight="1" x14ac:dyDescent="0.3">
      <c r="B9" s="19" t="s">
        <v>90</v>
      </c>
      <c r="C9" s="19"/>
      <c r="D9" s="20">
        <v>22851.79</v>
      </c>
      <c r="E9" s="20">
        <v>-7381.11</v>
      </c>
      <c r="F9" s="20">
        <v>48191.75</v>
      </c>
      <c r="G9" s="20">
        <v>16121.92</v>
      </c>
      <c r="H9" s="51">
        <v>-22236.94</v>
      </c>
      <c r="I9" s="51"/>
      <c r="J9" s="53">
        <f>J5*$I17</f>
        <v>30387.578747414096</v>
      </c>
      <c r="K9" s="53">
        <f t="shared" ref="K9:L9" si="2">K5*$I17</f>
        <v>40143.823647360608</v>
      </c>
      <c r="L9" s="53">
        <f t="shared" si="2"/>
        <v>52757.456714027423</v>
      </c>
      <c r="M9" s="15"/>
    </row>
    <row r="10" spans="2:13" ht="46.8" customHeight="1" x14ac:dyDescent="0.3">
      <c r="B10" s="21" t="s">
        <v>91</v>
      </c>
      <c r="C10" s="21"/>
      <c r="D10" s="18">
        <v>5271.08</v>
      </c>
      <c r="E10" s="18">
        <v>32851.68</v>
      </c>
      <c r="F10" s="18">
        <v>32856.53</v>
      </c>
      <c r="G10" s="18">
        <v>41438.160000000003</v>
      </c>
      <c r="H10" s="50">
        <v>25382.34</v>
      </c>
      <c r="I10" s="50"/>
      <c r="J10" s="87">
        <f>J6+J9+J8</f>
        <v>56822.724145581473</v>
      </c>
      <c r="K10" s="87">
        <f t="shared" ref="K10:L10" si="3">K6+K9+K8</f>
        <v>75066.244541018474</v>
      </c>
      <c r="L10" s="87">
        <f t="shared" si="3"/>
        <v>98652.888221268455</v>
      </c>
      <c r="M10" s="15"/>
    </row>
    <row r="11" spans="2:13" ht="33" customHeight="1" x14ac:dyDescent="0.3">
      <c r="B11" s="19" t="s">
        <v>92</v>
      </c>
      <c r="C11" s="19"/>
      <c r="D11" s="20">
        <v>81347.64</v>
      </c>
      <c r="E11" s="20">
        <v>86618.72</v>
      </c>
      <c r="F11" s="20">
        <v>119470.39999999999</v>
      </c>
      <c r="G11" s="20">
        <v>152326.92000000001</v>
      </c>
      <c r="H11" s="51">
        <v>193765.08</v>
      </c>
      <c r="I11" s="51"/>
      <c r="J11" s="53">
        <f>H12</f>
        <v>219147.42</v>
      </c>
      <c r="K11" s="53">
        <f>J12</f>
        <v>275970.14414558146</v>
      </c>
      <c r="L11" s="53">
        <f t="shared" ref="L11" si="4">K12</f>
        <v>351036.38868659991</v>
      </c>
      <c r="M11" s="15"/>
    </row>
    <row r="12" spans="2:13" ht="31.2" customHeight="1" x14ac:dyDescent="0.3">
      <c r="B12" s="19" t="s">
        <v>93</v>
      </c>
      <c r="C12" s="19"/>
      <c r="D12" s="20">
        <v>86618.72</v>
      </c>
      <c r="E12" s="20">
        <v>119470.39999999999</v>
      </c>
      <c r="F12" s="20">
        <v>152326.92000000001</v>
      </c>
      <c r="G12" s="20">
        <v>193765.08</v>
      </c>
      <c r="H12" s="51">
        <v>219147.42</v>
      </c>
      <c r="I12" s="51"/>
      <c r="J12" s="53">
        <f>J10+J11</f>
        <v>275970.14414558146</v>
      </c>
      <c r="K12" s="53">
        <f t="shared" ref="K12:L12" si="5">K10+K11</f>
        <v>351036.38868659991</v>
      </c>
      <c r="L12" s="53">
        <f t="shared" si="5"/>
        <v>449689.27690786833</v>
      </c>
      <c r="M12" s="15"/>
    </row>
    <row r="15" spans="2:13" x14ac:dyDescent="0.3">
      <c r="I15" s="96" t="s">
        <v>111</v>
      </c>
      <c r="K15" s="55"/>
      <c r="L15" s="14"/>
    </row>
    <row r="16" spans="2:13" x14ac:dyDescent="0.3">
      <c r="B16" s="2" t="s">
        <v>95</v>
      </c>
      <c r="D16" s="13">
        <f>D6/D5</f>
        <v>-0.45591585250422384</v>
      </c>
      <c r="E16" s="13">
        <f t="shared" ref="E16:H16" si="6">E6/E5</f>
        <v>0.99605871291135784</v>
      </c>
      <c r="F16" s="13">
        <f t="shared" si="6"/>
        <v>-0.28988229840858437</v>
      </c>
      <c r="G16" s="13">
        <f t="shared" si="6"/>
        <v>0.46701324948320344</v>
      </c>
      <c r="H16" s="13">
        <f t="shared" si="6"/>
        <v>0.49389670487370746</v>
      </c>
      <c r="I16" s="88">
        <f>AVERAGE(D16:H16)</f>
        <v>0.2422341032710921</v>
      </c>
    </row>
    <row r="17" spans="2:9" x14ac:dyDescent="0.3">
      <c r="B17" s="2" t="s">
        <v>96</v>
      </c>
      <c r="D17" s="2">
        <f>D9/D5</f>
        <v>0.62424389770850774</v>
      </c>
      <c r="E17" s="2">
        <f t="shared" ref="E17:H17" si="7">E9/E5</f>
        <v>-0.17717932604206821</v>
      </c>
      <c r="F17" s="2">
        <f t="shared" si="7"/>
        <v>0.98319449284185312</v>
      </c>
      <c r="G17" s="2">
        <f t="shared" si="7"/>
        <v>0.27565764388658348</v>
      </c>
      <c r="H17" s="2">
        <f t="shared" si="7"/>
        <v>-0.31365883018213758</v>
      </c>
      <c r="I17" s="88">
        <f>AVERAGE(D17:H17)</f>
        <v>0.27845157564254769</v>
      </c>
    </row>
  </sheetData>
  <mergeCells count="2">
    <mergeCell ref="J3:L3"/>
    <mergeCell ref="D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C99E-5714-4B33-AADC-6B4E9793C9DB}">
  <dimension ref="A1:J39"/>
  <sheetViews>
    <sheetView showGridLines="0" tabSelected="1" zoomScale="95" zoomScaleNormal="95" workbookViewId="0">
      <selection activeCell="J11" sqref="J11"/>
    </sheetView>
  </sheetViews>
  <sheetFormatPr defaultRowHeight="14.4" x14ac:dyDescent="0.3"/>
  <cols>
    <col min="1" max="1" width="1.88671875" bestFit="1" customWidth="1"/>
    <col min="2" max="2" width="19.21875" bestFit="1" customWidth="1"/>
    <col min="3" max="3" width="20.44140625" bestFit="1" customWidth="1"/>
    <col min="4" max="5" width="13.6640625" bestFit="1" customWidth="1"/>
    <col min="6" max="6" width="9.44140625" bestFit="1" customWidth="1"/>
    <col min="7" max="7" width="16.33203125" bestFit="1" customWidth="1"/>
    <col min="8" max="9" width="10" bestFit="1" customWidth="1"/>
    <col min="10" max="10" width="11.5546875" bestFit="1" customWidth="1"/>
  </cols>
  <sheetData>
    <row r="1" spans="1:10" x14ac:dyDescent="0.3">
      <c r="B1" s="99" t="s">
        <v>128</v>
      </c>
    </row>
    <row r="3" spans="1:10" x14ac:dyDescent="0.3">
      <c r="A3" t="s">
        <v>98</v>
      </c>
      <c r="B3" s="62" t="s">
        <v>116</v>
      </c>
      <c r="C3" s="167">
        <v>7.3649999999999993E-2</v>
      </c>
    </row>
    <row r="4" spans="1:10" x14ac:dyDescent="0.3">
      <c r="B4" s="62" t="s">
        <v>129</v>
      </c>
      <c r="C4" s="81">
        <v>0.998</v>
      </c>
    </row>
    <row r="5" spans="1:10" x14ac:dyDescent="0.3">
      <c r="B5" s="62" t="s">
        <v>106</v>
      </c>
      <c r="C5" s="168">
        <f>15%</f>
        <v>0.15</v>
      </c>
    </row>
    <row r="6" spans="1:10" x14ac:dyDescent="0.3">
      <c r="B6" s="100" t="s">
        <v>117</v>
      </c>
      <c r="C6" s="100">
        <v>1719</v>
      </c>
    </row>
    <row r="7" spans="1:10" x14ac:dyDescent="0.3">
      <c r="B7" s="62" t="s">
        <v>118</v>
      </c>
      <c r="C7" s="169">
        <f>C5-C3</f>
        <v>7.6350000000000001E-2</v>
      </c>
    </row>
    <row r="8" spans="1:10" x14ac:dyDescent="0.3">
      <c r="B8" s="62"/>
      <c r="C8" s="62"/>
    </row>
    <row r="9" spans="1:10" x14ac:dyDescent="0.3">
      <c r="B9" s="100" t="s">
        <v>130</v>
      </c>
      <c r="C9" s="170">
        <f>C3+C4*C7</f>
        <v>0.14984729999999999</v>
      </c>
    </row>
    <row r="11" spans="1:10" x14ac:dyDescent="0.3">
      <c r="B11" s="101" t="s">
        <v>131</v>
      </c>
      <c r="C11" s="97">
        <v>2.5000000000000001E-2</v>
      </c>
    </row>
    <row r="12" spans="1:10" x14ac:dyDescent="0.3">
      <c r="B12" s="101" t="s">
        <v>119</v>
      </c>
      <c r="C12" s="102">
        <v>2354</v>
      </c>
    </row>
    <row r="14" spans="1:10" x14ac:dyDescent="0.3">
      <c r="B14" s="54" t="s">
        <v>107</v>
      </c>
      <c r="C14">
        <v>1</v>
      </c>
      <c r="D14">
        <f>C14+1</f>
        <v>2</v>
      </c>
      <c r="E14">
        <f t="shared" ref="E14:G14" si="0">D14+1</f>
        <v>3</v>
      </c>
      <c r="F14">
        <f t="shared" si="0"/>
        <v>4</v>
      </c>
      <c r="G14">
        <f t="shared" si="0"/>
        <v>5</v>
      </c>
    </row>
    <row r="15" spans="1:10" x14ac:dyDescent="0.3">
      <c r="A15" t="s">
        <v>98</v>
      </c>
      <c r="B15" s="103" t="s">
        <v>72</v>
      </c>
      <c r="C15" s="100">
        <v>2020</v>
      </c>
      <c r="D15" s="100">
        <f>C15+1</f>
        <v>2021</v>
      </c>
      <c r="E15" s="100">
        <f t="shared" ref="E15:G15" si="1">D15+1</f>
        <v>2022</v>
      </c>
      <c r="F15" s="118">
        <f t="shared" si="1"/>
        <v>2023</v>
      </c>
      <c r="G15" s="100">
        <f t="shared" si="1"/>
        <v>2024</v>
      </c>
      <c r="H15" s="54"/>
      <c r="I15" s="54"/>
      <c r="J15" s="54"/>
    </row>
    <row r="16" spans="1:10" x14ac:dyDescent="0.3">
      <c r="B16" s="62" t="str">
        <f>[1]IS!A14</f>
        <v>Net Profit +</v>
      </c>
      <c r="C16" s="108">
        <f>IS!C28</f>
        <v>27296.27</v>
      </c>
      <c r="D16" s="108">
        <f>IS!D28</f>
        <v>31856.77</v>
      </c>
      <c r="E16" s="108">
        <f>IS!E28</f>
        <v>38150.9</v>
      </c>
      <c r="F16" s="119">
        <f>IS!F28</f>
        <v>46148.7</v>
      </c>
      <c r="G16" s="108">
        <f>IS!G28</f>
        <v>65446.5</v>
      </c>
      <c r="H16" s="106"/>
      <c r="I16" s="106"/>
      <c r="J16" s="106"/>
    </row>
    <row r="17" spans="2:10" x14ac:dyDescent="0.3">
      <c r="B17" s="62" t="str">
        <f>[1]IS!A12</f>
        <v>Profit before tax</v>
      </c>
      <c r="C17" s="108">
        <f>IS!C23</f>
        <v>38194.86</v>
      </c>
      <c r="D17" s="108">
        <f>IS!D23</f>
        <v>42796.14</v>
      </c>
      <c r="E17" s="108">
        <f>IS!E23</f>
        <v>50873.39</v>
      </c>
      <c r="F17" s="119">
        <f>IS!F23</f>
        <v>61498.39</v>
      </c>
      <c r="G17" s="108">
        <f>IS!G23</f>
        <v>76568.600000000006</v>
      </c>
      <c r="H17" s="55"/>
      <c r="I17" s="55"/>
      <c r="J17" s="55"/>
    </row>
    <row r="18" spans="2:10" x14ac:dyDescent="0.3">
      <c r="B18" s="62" t="s">
        <v>121</v>
      </c>
      <c r="C18" s="108">
        <f>IS!C24</f>
        <v>10898.59</v>
      </c>
      <c r="D18" s="108">
        <f>IS!D24</f>
        <v>10939.37</v>
      </c>
      <c r="E18" s="108">
        <f>IS!E24</f>
        <v>12722.49</v>
      </c>
      <c r="F18" s="119">
        <f>IS!F24</f>
        <v>15349.69</v>
      </c>
      <c r="G18" s="108">
        <f>IS!G24</f>
        <v>11122.1</v>
      </c>
      <c r="H18" s="55"/>
      <c r="I18" s="55"/>
      <c r="J18" s="55"/>
    </row>
    <row r="19" spans="2:10" x14ac:dyDescent="0.3">
      <c r="B19" s="115" t="s">
        <v>132</v>
      </c>
      <c r="C19" s="62">
        <f>BS!C23*'DCF Model'!$C37</f>
        <v>269.65544999999997</v>
      </c>
      <c r="D19" s="62">
        <f>BS!D23*'DCF Model'!$C37</f>
        <v>229.62944999999999</v>
      </c>
      <c r="E19" s="62">
        <f>BS!E23*'DCF Model'!$C37</f>
        <v>428.83915000000002</v>
      </c>
      <c r="F19" s="120">
        <f>BS!F23*'DCF Model'!$C37</f>
        <v>733.56259999999997</v>
      </c>
      <c r="G19" s="62">
        <f>BS!G23*'DCF Model'!$C37</f>
        <v>999.00100000000009</v>
      </c>
    </row>
    <row r="20" spans="2:10" x14ac:dyDescent="0.3">
      <c r="B20" s="115" t="s">
        <v>122</v>
      </c>
      <c r="C20" s="104">
        <f>IS!C12*'DCF Model'!$C38</f>
        <v>2500.1607600000002</v>
      </c>
      <c r="D20" s="104">
        <f>IS!D12*'DCF Model'!$C38</f>
        <v>2650.0497600000003</v>
      </c>
      <c r="E20" s="104">
        <f>IS!E12*'DCF Model'!$C38</f>
        <v>2850.8218000000002</v>
      </c>
      <c r="F20" s="121">
        <f>IS!F12*'DCF Model'!$C38</f>
        <v>3479.3236999999999</v>
      </c>
      <c r="G20" s="104">
        <f>IS!G12*'DCF Model'!$C38</f>
        <v>6935.9110900000005</v>
      </c>
      <c r="H20" s="106"/>
      <c r="I20" s="106"/>
      <c r="J20" s="106"/>
    </row>
    <row r="21" spans="2:10" x14ac:dyDescent="0.3">
      <c r="B21" s="100" t="s">
        <v>123</v>
      </c>
      <c r="C21" s="105">
        <f>CF!D10</f>
        <v>5271.08</v>
      </c>
      <c r="D21" s="105">
        <f>CF!E10</f>
        <v>32851.68</v>
      </c>
      <c r="E21" s="105">
        <f>CF!F10</f>
        <v>32856.53</v>
      </c>
      <c r="F21" s="122">
        <f>CF!G10</f>
        <v>41438.160000000003</v>
      </c>
      <c r="G21" s="105">
        <f>CF!H10</f>
        <v>25382.34</v>
      </c>
      <c r="H21" s="127"/>
      <c r="I21" s="127"/>
      <c r="J21" s="127"/>
    </row>
    <row r="22" spans="2:10" x14ac:dyDescent="0.3">
      <c r="B22" s="114" t="s">
        <v>124</v>
      </c>
      <c r="C22" s="116">
        <f>C16*$C39</f>
        <v>136.48134999999999</v>
      </c>
      <c r="D22" s="116">
        <f t="shared" ref="D22:G22" si="2">D16*$C39</f>
        <v>159.28385</v>
      </c>
      <c r="E22" s="116">
        <f t="shared" si="2"/>
        <v>190.75450000000001</v>
      </c>
      <c r="F22" s="116">
        <f t="shared" si="2"/>
        <v>230.74349999999998</v>
      </c>
      <c r="G22" s="116">
        <f t="shared" si="2"/>
        <v>327.23250000000002</v>
      </c>
      <c r="H22" s="128"/>
      <c r="I22" s="128"/>
      <c r="J22" s="128"/>
    </row>
    <row r="23" spans="2:10" x14ac:dyDescent="0.3">
      <c r="B23" s="62" t="s">
        <v>125</v>
      </c>
      <c r="C23" s="104">
        <f>BS!C12</f>
        <v>1292130.83</v>
      </c>
      <c r="D23" s="104">
        <f>BS!D12</f>
        <v>1470547.54</v>
      </c>
      <c r="E23" s="104">
        <f>BS!E12</f>
        <v>1744034.65</v>
      </c>
      <c r="F23" s="121">
        <f>BS!F12</f>
        <v>2090160.22</v>
      </c>
      <c r="G23" s="104">
        <f>BS!G12</f>
        <v>3041939.36</v>
      </c>
      <c r="H23" s="106"/>
      <c r="I23" s="106"/>
      <c r="J23" s="106"/>
    </row>
    <row r="24" spans="2:10" x14ac:dyDescent="0.3">
      <c r="G24" s="62"/>
    </row>
    <row r="25" spans="2:10" x14ac:dyDescent="0.3">
      <c r="B25" s="100" t="s">
        <v>107</v>
      </c>
      <c r="C25" s="104">
        <f>C16+C19-C22-C20+C23</f>
        <v>1317060.1133400002</v>
      </c>
      <c r="D25" s="104">
        <f t="shared" ref="D25:G25" si="3">D16+D19-D22-D20+D23</f>
        <v>1499824.6058400001</v>
      </c>
      <c r="E25" s="104">
        <f t="shared" si="3"/>
        <v>1779572.8128499999</v>
      </c>
      <c r="F25" s="121">
        <f t="shared" si="3"/>
        <v>2133332.4153999998</v>
      </c>
      <c r="G25" s="104">
        <f t="shared" si="3"/>
        <v>3101121.71741</v>
      </c>
      <c r="H25" s="106"/>
      <c r="I25" s="106"/>
      <c r="J25" s="106"/>
    </row>
    <row r="26" spans="2:10" x14ac:dyDescent="0.3">
      <c r="B26" s="100" t="s">
        <v>126</v>
      </c>
      <c r="C26" s="110" t="s">
        <v>48</v>
      </c>
      <c r="D26" s="110" t="s">
        <v>48</v>
      </c>
      <c r="E26" s="110" t="s">
        <v>48</v>
      </c>
      <c r="F26" s="134" t="s">
        <v>48</v>
      </c>
      <c r="G26" s="111">
        <f>G25*(C11+1)/C9-C11</f>
        <v>21212592.796794254</v>
      </c>
      <c r="J26" s="129"/>
    </row>
    <row r="27" spans="2:10" x14ac:dyDescent="0.3">
      <c r="B27" s="62" t="s">
        <v>110</v>
      </c>
      <c r="C27" s="112">
        <f>C25/(1+C9)^1</f>
        <v>1145421.7558627133</v>
      </c>
      <c r="D27" s="112">
        <f>D25/(1+C9)^2</f>
        <v>1134384.1107242072</v>
      </c>
      <c r="E27" s="112">
        <f>E25/(1+C9)^3</f>
        <v>1170564.2410515547</v>
      </c>
      <c r="F27" s="125">
        <f>F25/(1+C9)^4</f>
        <v>1220387.7884403183</v>
      </c>
      <c r="G27" s="112">
        <f>G25/(1+C9)^5</f>
        <v>1542829.6039388659</v>
      </c>
      <c r="J27" s="107"/>
    </row>
    <row r="28" spans="2:10" x14ac:dyDescent="0.3">
      <c r="G28" s="62"/>
    </row>
    <row r="29" spans="2:10" x14ac:dyDescent="0.3">
      <c r="B29" s="100" t="s">
        <v>133</v>
      </c>
      <c r="C29" s="62" t="s">
        <v>48</v>
      </c>
      <c r="D29" s="62" t="s">
        <v>48</v>
      </c>
      <c r="E29" s="62" t="s">
        <v>48</v>
      </c>
      <c r="F29" s="120" t="s">
        <v>48</v>
      </c>
      <c r="G29" s="112">
        <f>G26/(1+C9)^5</f>
        <v>10553412.32156726</v>
      </c>
      <c r="J29" s="107"/>
    </row>
    <row r="30" spans="2:10" x14ac:dyDescent="0.3">
      <c r="B30" s="100" t="s">
        <v>127</v>
      </c>
      <c r="C30" s="62"/>
      <c r="D30" s="62"/>
      <c r="E30" s="62"/>
      <c r="F30" s="120"/>
      <c r="G30" s="113">
        <f>G27+G29</f>
        <v>12096241.925506126</v>
      </c>
      <c r="J30" s="130"/>
    </row>
    <row r="31" spans="2:10" x14ac:dyDescent="0.3">
      <c r="G31" s="104"/>
    </row>
    <row r="32" spans="2:10" x14ac:dyDescent="0.3">
      <c r="B32" s="100" t="s">
        <v>134</v>
      </c>
      <c r="C32" s="62"/>
      <c r="D32" s="62"/>
      <c r="E32" s="62"/>
      <c r="F32" s="120"/>
      <c r="G32" s="100">
        <f>G30/C12</f>
        <v>5138.5904526364175</v>
      </c>
      <c r="J32" s="54"/>
    </row>
    <row r="33" spans="2:7" x14ac:dyDescent="0.3">
      <c r="B33" s="100" t="s">
        <v>135</v>
      </c>
      <c r="C33" s="62"/>
      <c r="D33" s="62"/>
      <c r="E33" s="62"/>
      <c r="F33" s="120"/>
      <c r="G33" s="62">
        <f>G32-C6</f>
        <v>3419.5904526364175</v>
      </c>
    </row>
    <row r="36" spans="2:7" x14ac:dyDescent="0.3">
      <c r="B36" s="100" t="s">
        <v>136</v>
      </c>
      <c r="C36" s="62"/>
    </row>
    <row r="37" spans="2:7" x14ac:dyDescent="0.3">
      <c r="B37" s="62" t="s">
        <v>137</v>
      </c>
      <c r="C37" s="160">
        <v>5.0000000000000001E-3</v>
      </c>
    </row>
    <row r="38" spans="2:7" x14ac:dyDescent="0.3">
      <c r="B38" s="62" t="s">
        <v>138</v>
      </c>
      <c r="C38" s="160">
        <v>1.7000000000000001E-2</v>
      </c>
    </row>
    <row r="39" spans="2:7" x14ac:dyDescent="0.3">
      <c r="B39" s="62" t="s">
        <v>124</v>
      </c>
      <c r="C39" s="70">
        <v>5.0000000000000001E-3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0D25-C966-4A58-8EF4-B7A6317FCE25}">
  <dimension ref="A3:F33"/>
  <sheetViews>
    <sheetView showGridLines="0" zoomScale="95" workbookViewId="0">
      <selection activeCell="F30" sqref="F30"/>
    </sheetView>
  </sheetViews>
  <sheetFormatPr defaultRowHeight="14.4" x14ac:dyDescent="0.3"/>
  <cols>
    <col min="1" max="1" width="6.88671875" customWidth="1"/>
    <col min="2" max="2" width="25.77734375" bestFit="1" customWidth="1"/>
    <col min="3" max="3" width="11.6640625" bestFit="1" customWidth="1"/>
    <col min="4" max="6" width="9" bestFit="1" customWidth="1"/>
  </cols>
  <sheetData>
    <row r="3" spans="1:6" x14ac:dyDescent="0.3">
      <c r="A3" t="s">
        <v>166</v>
      </c>
      <c r="B3" s="54" t="s">
        <v>149</v>
      </c>
    </row>
    <row r="4" spans="1:6" x14ac:dyDescent="0.3">
      <c r="B4" s="62"/>
      <c r="C4" s="100" t="s">
        <v>139</v>
      </c>
      <c r="D4" s="100" t="s">
        <v>140</v>
      </c>
      <c r="E4" s="100" t="s">
        <v>141</v>
      </c>
      <c r="F4" s="100" t="s">
        <v>142</v>
      </c>
    </row>
    <row r="5" spans="1:6" x14ac:dyDescent="0.3">
      <c r="B5" s="100" t="s">
        <v>117</v>
      </c>
      <c r="C5" s="62">
        <v>1719</v>
      </c>
      <c r="D5" s="62">
        <v>79.599999999999994</v>
      </c>
      <c r="E5" s="62">
        <v>1042</v>
      </c>
      <c r="F5" s="62">
        <v>764</v>
      </c>
    </row>
    <row r="6" spans="1:6" x14ac:dyDescent="0.3">
      <c r="B6" s="62"/>
      <c r="C6" s="62"/>
      <c r="D6" s="62"/>
      <c r="E6" s="62"/>
      <c r="F6" s="62"/>
    </row>
    <row r="7" spans="1:6" x14ac:dyDescent="0.3">
      <c r="B7" s="163" t="s">
        <v>144</v>
      </c>
      <c r="C7" s="164">
        <f>IS!G12</f>
        <v>407994.77</v>
      </c>
      <c r="D7" s="163">
        <v>26446</v>
      </c>
      <c r="E7" s="163">
        <v>112759</v>
      </c>
      <c r="F7" s="163">
        <v>439189</v>
      </c>
    </row>
    <row r="8" spans="1:6" x14ac:dyDescent="0.3">
      <c r="B8" s="62" t="s">
        <v>145</v>
      </c>
      <c r="C8" s="108">
        <f>IS!G23</f>
        <v>76568.600000000006</v>
      </c>
      <c r="D8" s="62">
        <v>8418</v>
      </c>
      <c r="E8" s="62">
        <v>35178</v>
      </c>
      <c r="F8" s="62">
        <v>91240</v>
      </c>
    </row>
    <row r="9" spans="1:6" x14ac:dyDescent="0.3">
      <c r="B9" s="62" t="s">
        <v>77</v>
      </c>
      <c r="C9" s="62"/>
      <c r="D9" s="62"/>
      <c r="E9" s="62"/>
      <c r="F9" s="62"/>
    </row>
    <row r="10" spans="1:6" x14ac:dyDescent="0.3">
      <c r="B10" s="114" t="s">
        <v>146</v>
      </c>
      <c r="C10" s="161">
        <f>IS!G13</f>
        <v>331426.17000000004</v>
      </c>
      <c r="D10" s="114">
        <v>9233</v>
      </c>
      <c r="E10" s="114">
        <v>40032</v>
      </c>
      <c r="F10" s="114">
        <v>239750</v>
      </c>
    </row>
    <row r="11" spans="1:6" x14ac:dyDescent="0.3">
      <c r="B11" s="165" t="s">
        <v>120</v>
      </c>
      <c r="C11" s="166">
        <f>IS!G28</f>
        <v>65446.5</v>
      </c>
      <c r="D11" s="165">
        <v>5814</v>
      </c>
      <c r="E11" s="165">
        <v>26492</v>
      </c>
      <c r="F11" s="165">
        <v>69543</v>
      </c>
    </row>
    <row r="12" spans="1:6" x14ac:dyDescent="0.3">
      <c r="B12" s="62" t="s">
        <v>45</v>
      </c>
      <c r="C12" s="108">
        <f>IS!G6</f>
        <v>283649.02</v>
      </c>
      <c r="D12" s="62">
        <v>12226</v>
      </c>
      <c r="E12" s="62">
        <v>61391</v>
      </c>
      <c r="F12" s="62" t="s">
        <v>48</v>
      </c>
    </row>
    <row r="13" spans="1:6" x14ac:dyDescent="0.3">
      <c r="B13" s="62"/>
      <c r="C13" s="62"/>
      <c r="D13" s="62"/>
      <c r="E13" s="62"/>
      <c r="F13" s="62"/>
    </row>
    <row r="14" spans="1:6" x14ac:dyDescent="0.3">
      <c r="B14" s="62" t="s">
        <v>163</v>
      </c>
      <c r="C14" s="62">
        <v>3011909</v>
      </c>
      <c r="D14" s="62">
        <v>239011</v>
      </c>
      <c r="E14" s="62">
        <v>1179758</v>
      </c>
      <c r="F14" s="62">
        <v>4577093</v>
      </c>
    </row>
    <row r="15" spans="1:6" x14ac:dyDescent="0.3">
      <c r="B15" s="62" t="s">
        <v>164</v>
      </c>
      <c r="C15" s="62">
        <v>466296</v>
      </c>
      <c r="D15" s="62">
        <v>18750</v>
      </c>
      <c r="E15" s="62">
        <v>65913</v>
      </c>
      <c r="F15" s="62">
        <v>712669</v>
      </c>
    </row>
    <row r="16" spans="1:6" x14ac:dyDescent="0.3">
      <c r="B16" s="62" t="s">
        <v>57</v>
      </c>
      <c r="C16" s="108">
        <f>BS!G24</f>
        <v>3617623.09</v>
      </c>
      <c r="D16" s="62">
        <v>364272</v>
      </c>
      <c r="E16" s="62">
        <v>1518239</v>
      </c>
      <c r="F16" s="62">
        <v>6733756</v>
      </c>
    </row>
    <row r="17" spans="2:6" x14ac:dyDescent="0.3">
      <c r="B17" s="100" t="s">
        <v>55</v>
      </c>
      <c r="C17" s="162">
        <f>BS!G19</f>
        <v>2484861.52</v>
      </c>
      <c r="D17" s="100">
        <v>2847</v>
      </c>
      <c r="E17" s="100">
        <v>196</v>
      </c>
      <c r="F17" s="100">
        <v>23990</v>
      </c>
    </row>
    <row r="18" spans="2:6" x14ac:dyDescent="0.3">
      <c r="B18" s="114" t="s">
        <v>63</v>
      </c>
      <c r="C18" s="161">
        <f>BS!G12</f>
        <v>3041939.36</v>
      </c>
      <c r="D18" s="114">
        <v>294448</v>
      </c>
      <c r="E18" s="114">
        <v>1295302</v>
      </c>
      <c r="F18" s="114">
        <v>5606147</v>
      </c>
    </row>
    <row r="19" spans="2:6" x14ac:dyDescent="0.3">
      <c r="B19" s="62" t="s">
        <v>65</v>
      </c>
      <c r="C19" s="108">
        <f>BS!G14</f>
        <v>3617623.1</v>
      </c>
      <c r="D19" s="62">
        <v>364272</v>
      </c>
      <c r="E19" s="62">
        <v>1518239</v>
      </c>
      <c r="F19" s="62">
        <f>F16</f>
        <v>6733756</v>
      </c>
    </row>
    <row r="20" spans="2:6" x14ac:dyDescent="0.3">
      <c r="B20" s="100" t="s">
        <v>162</v>
      </c>
      <c r="C20" s="100">
        <v>90.94</v>
      </c>
      <c r="D20" s="100">
        <v>6.29</v>
      </c>
      <c r="E20" s="100">
        <v>91.78</v>
      </c>
      <c r="F20" s="100">
        <v>80.180000000000007</v>
      </c>
    </row>
    <row r="21" spans="2:6" x14ac:dyDescent="0.3">
      <c r="B21" s="165" t="s">
        <v>61</v>
      </c>
      <c r="C21" s="166">
        <f>BS!G8</f>
        <v>436833.4</v>
      </c>
      <c r="D21" s="165">
        <f>40321</f>
        <v>40321</v>
      </c>
      <c r="E21" s="165">
        <v>156406</v>
      </c>
      <c r="F21" s="165">
        <v>414047</v>
      </c>
    </row>
    <row r="22" spans="2:6" x14ac:dyDescent="0.3">
      <c r="B22" s="100" t="s">
        <v>143</v>
      </c>
      <c r="C22" s="100">
        <f>BS!G5</f>
        <v>759.69</v>
      </c>
      <c r="D22" s="100">
        <v>10752</v>
      </c>
      <c r="E22" s="100">
        <v>617</v>
      </c>
      <c r="F22" s="100">
        <v>892</v>
      </c>
    </row>
    <row r="25" spans="2:6" x14ac:dyDescent="0.3">
      <c r="B25" s="54" t="s">
        <v>156</v>
      </c>
    </row>
    <row r="26" spans="2:6" x14ac:dyDescent="0.3">
      <c r="C26" s="100" t="s">
        <v>139</v>
      </c>
      <c r="D26" s="100" t="s">
        <v>140</v>
      </c>
      <c r="E26" s="100" t="s">
        <v>141</v>
      </c>
      <c r="F26" s="100" t="s">
        <v>142</v>
      </c>
    </row>
    <row r="27" spans="2:6" x14ac:dyDescent="0.3">
      <c r="B27" s="54" t="s">
        <v>157</v>
      </c>
      <c r="C27" s="97">
        <f>C11/C7</f>
        <v>0.16041014447317548</v>
      </c>
      <c r="D27" s="97">
        <f t="shared" ref="D27:F27" si="0">D11/D7</f>
        <v>0.21984421084474023</v>
      </c>
      <c r="E27" s="97">
        <f t="shared" si="0"/>
        <v>0.23494355217765323</v>
      </c>
      <c r="F27" s="97">
        <f t="shared" si="0"/>
        <v>0.1583441297482405</v>
      </c>
    </row>
    <row r="28" spans="2:6" x14ac:dyDescent="0.3">
      <c r="B28" s="54" t="s">
        <v>158</v>
      </c>
      <c r="C28">
        <f>C11/C22</f>
        <v>86.148955495004529</v>
      </c>
      <c r="D28">
        <f t="shared" ref="D28:F28" si="1">D11/D22</f>
        <v>0.5407366071428571</v>
      </c>
      <c r="E28">
        <f t="shared" si="1"/>
        <v>42.936790923824958</v>
      </c>
      <c r="F28">
        <f t="shared" si="1"/>
        <v>77.963004484304932</v>
      </c>
    </row>
    <row r="29" spans="2:6" x14ac:dyDescent="0.3">
      <c r="B29" s="54" t="s">
        <v>159</v>
      </c>
      <c r="C29">
        <f>C5/C20</f>
        <v>18.902573125137454</v>
      </c>
      <c r="D29">
        <f>D5/D20</f>
        <v>12.655007949125595</v>
      </c>
      <c r="E29">
        <f>E5/E20</f>
        <v>11.35323599912835</v>
      </c>
      <c r="F29">
        <f>F5/F20</f>
        <v>9.5285607383387365</v>
      </c>
    </row>
    <row r="30" spans="2:6" x14ac:dyDescent="0.3">
      <c r="B30" s="54" t="s">
        <v>165</v>
      </c>
      <c r="C30" s="97">
        <v>6.0299999999999999E-2</v>
      </c>
      <c r="D30" s="97">
        <v>0.34310000000000002</v>
      </c>
      <c r="E30" s="97">
        <v>3.8600000000000002E-2</v>
      </c>
      <c r="F30" s="97">
        <v>0.2288</v>
      </c>
    </row>
    <row r="31" spans="2:6" x14ac:dyDescent="0.3">
      <c r="B31" s="54" t="s">
        <v>160</v>
      </c>
      <c r="C31">
        <f>C14/C15</f>
        <v>6.4592211813955087</v>
      </c>
      <c r="D31">
        <f t="shared" ref="D31:F31" si="2">D14/D15</f>
        <v>12.747253333333333</v>
      </c>
      <c r="E31">
        <f t="shared" si="2"/>
        <v>17.898714972767131</v>
      </c>
      <c r="F31">
        <f t="shared" si="2"/>
        <v>6.4224668113808798</v>
      </c>
    </row>
    <row r="32" spans="2:6" x14ac:dyDescent="0.3">
      <c r="B32" s="54"/>
    </row>
    <row r="33" spans="2:6" x14ac:dyDescent="0.3">
      <c r="B33" s="54" t="s">
        <v>161</v>
      </c>
      <c r="C33" s="97">
        <f>C11/C16</f>
        <v>1.8091022301607435E-2</v>
      </c>
      <c r="D33" s="97">
        <f t="shared" ref="D33:F33" si="3">D11/D16</f>
        <v>1.5960600869679799E-2</v>
      </c>
      <c r="E33" s="97">
        <f t="shared" si="3"/>
        <v>1.7449163142298413E-2</v>
      </c>
      <c r="F33" s="97">
        <f t="shared" si="3"/>
        <v>1.0327520034880978E-2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A50E-4D6E-41E2-886B-E970FF6CF376}">
  <dimension ref="A1:N111"/>
  <sheetViews>
    <sheetView showGridLines="0" topLeftCell="A2" workbookViewId="0">
      <selection activeCell="D30" sqref="D30"/>
    </sheetView>
  </sheetViews>
  <sheetFormatPr defaultRowHeight="14.4" x14ac:dyDescent="0.3"/>
  <cols>
    <col min="1" max="1" width="3.33203125" customWidth="1"/>
    <col min="2" max="2" width="19.21875" bestFit="1" customWidth="1"/>
    <col min="3" max="3" width="20.44140625" bestFit="1" customWidth="1"/>
    <col min="4" max="5" width="13.6640625" bestFit="1" customWidth="1"/>
    <col min="6" max="6" width="9.88671875" bestFit="1" customWidth="1"/>
    <col min="7" max="7" width="12" bestFit="1" customWidth="1"/>
    <col min="8" max="8" width="4.33203125" customWidth="1"/>
    <col min="9" max="9" width="10" bestFit="1" customWidth="1"/>
    <col min="10" max="10" width="16.21875" bestFit="1" customWidth="1"/>
    <col min="11" max="11" width="11" bestFit="1" customWidth="1"/>
  </cols>
  <sheetData>
    <row r="1" spans="1:14" x14ac:dyDescent="0.3">
      <c r="B1" s="99" t="s">
        <v>128</v>
      </c>
    </row>
    <row r="2" spans="1:14" x14ac:dyDescent="0.3">
      <c r="B2" s="143" t="s">
        <v>147</v>
      </c>
      <c r="J2" s="54" t="s">
        <v>152</v>
      </c>
    </row>
    <row r="3" spans="1:14" x14ac:dyDescent="0.3">
      <c r="A3" t="s">
        <v>98</v>
      </c>
      <c r="B3" s="62" t="s">
        <v>116</v>
      </c>
      <c r="C3" s="138">
        <v>7.3649999999999993E-2</v>
      </c>
      <c r="K3" s="54" t="s">
        <v>139</v>
      </c>
      <c r="L3" s="54" t="s">
        <v>140</v>
      </c>
      <c r="M3" s="54" t="s">
        <v>153</v>
      </c>
      <c r="N3" s="54" t="s">
        <v>142</v>
      </c>
    </row>
    <row r="4" spans="1:14" x14ac:dyDescent="0.3">
      <c r="B4" s="62" t="s">
        <v>129</v>
      </c>
      <c r="C4" s="139">
        <v>1.36</v>
      </c>
      <c r="J4" s="117" t="s">
        <v>117</v>
      </c>
      <c r="K4" s="156">
        <f>'DCF Model'!C6</f>
        <v>1719</v>
      </c>
      <c r="L4" s="156">
        <f>C6</f>
        <v>79</v>
      </c>
      <c r="M4" s="156">
        <f>C42</f>
        <v>1038</v>
      </c>
      <c r="N4" s="156">
        <f>C77</f>
        <v>765</v>
      </c>
    </row>
    <row r="5" spans="1:14" x14ac:dyDescent="0.3">
      <c r="B5" s="62" t="s">
        <v>106</v>
      </c>
      <c r="C5" s="140">
        <f>15%</f>
        <v>0.15</v>
      </c>
      <c r="J5" s="159" t="s">
        <v>154</v>
      </c>
      <c r="K5">
        <f>'DCF Model'!G32</f>
        <v>5138.5904526364175</v>
      </c>
      <c r="L5">
        <f>G32</f>
        <v>852.26760793134304</v>
      </c>
      <c r="M5">
        <f>G68</f>
        <v>1547.9584155610157</v>
      </c>
      <c r="N5">
        <f>G103</f>
        <v>2308.9487454877776</v>
      </c>
    </row>
    <row r="6" spans="1:14" x14ac:dyDescent="0.3">
      <c r="B6" s="62" t="s">
        <v>117</v>
      </c>
      <c r="C6" s="62">
        <v>79</v>
      </c>
      <c r="J6" s="117" t="s">
        <v>135</v>
      </c>
      <c r="K6" s="158">
        <f>K5-K4</f>
        <v>3419.5904526364175</v>
      </c>
      <c r="L6" s="158">
        <f t="shared" ref="L6:N6" si="0">L5-L4</f>
        <v>773.26760793134304</v>
      </c>
      <c r="M6" s="158">
        <f t="shared" si="0"/>
        <v>509.95841556101573</v>
      </c>
      <c r="N6" s="158">
        <f t="shared" si="0"/>
        <v>1543.9487454877776</v>
      </c>
    </row>
    <row r="7" spans="1:14" x14ac:dyDescent="0.3">
      <c r="B7" s="62" t="s">
        <v>118</v>
      </c>
      <c r="C7" s="141">
        <f>C5-C3</f>
        <v>7.6350000000000001E-2</v>
      </c>
      <c r="J7" s="117" t="s">
        <v>155</v>
      </c>
      <c r="K7" s="157">
        <f>(K5-K4)/K4</f>
        <v>1.9892905483632446</v>
      </c>
      <c r="L7" s="157">
        <f t="shared" ref="L7:N7" si="1">(L5-L4)/L4</f>
        <v>9.788197568751178</v>
      </c>
      <c r="M7" s="157">
        <f t="shared" si="1"/>
        <v>0.49128941768883982</v>
      </c>
      <c r="N7" s="157">
        <f t="shared" si="1"/>
        <v>2.0182336542323891</v>
      </c>
    </row>
    <row r="8" spans="1:14" x14ac:dyDescent="0.3">
      <c r="B8" s="62"/>
      <c r="C8" s="62"/>
    </row>
    <row r="9" spans="1:14" x14ac:dyDescent="0.3">
      <c r="B9" s="100" t="s">
        <v>130</v>
      </c>
      <c r="C9" s="142">
        <f>C3+C4*C7</f>
        <v>0.177486</v>
      </c>
    </row>
    <row r="11" spans="1:14" x14ac:dyDescent="0.3">
      <c r="B11" s="101" t="s">
        <v>131</v>
      </c>
      <c r="C11" s="97">
        <v>0.05</v>
      </c>
    </row>
    <row r="12" spans="1:14" x14ac:dyDescent="0.3">
      <c r="B12" s="101" t="s">
        <v>119</v>
      </c>
      <c r="C12" s="135">
        <v>10756069364</v>
      </c>
      <c r="D12">
        <f>1075.6</f>
        <v>1075.5999999999999</v>
      </c>
    </row>
    <row r="14" spans="1:14" x14ac:dyDescent="0.3">
      <c r="B14" s="54" t="s">
        <v>107</v>
      </c>
      <c r="C14">
        <v>1</v>
      </c>
      <c r="D14">
        <f>C14+1</f>
        <v>2</v>
      </c>
      <c r="E14">
        <f t="shared" ref="E14:G14" si="2">D14+1</f>
        <v>3</v>
      </c>
      <c r="F14">
        <f t="shared" si="2"/>
        <v>4</v>
      </c>
      <c r="G14">
        <f t="shared" si="2"/>
        <v>5</v>
      </c>
    </row>
    <row r="15" spans="1:14" x14ac:dyDescent="0.3">
      <c r="A15" t="s">
        <v>98</v>
      </c>
      <c r="B15" s="103" t="s">
        <v>72</v>
      </c>
      <c r="C15" s="100">
        <v>2020</v>
      </c>
      <c r="D15" s="100">
        <f>C15+1</f>
        <v>2021</v>
      </c>
      <c r="E15" s="100">
        <f t="shared" ref="E15:G15" si="3">D15+1</f>
        <v>2022</v>
      </c>
      <c r="F15" s="100">
        <f t="shared" si="3"/>
        <v>2023</v>
      </c>
      <c r="G15" s="118">
        <f t="shared" si="3"/>
        <v>2024</v>
      </c>
      <c r="H15" s="54"/>
      <c r="I15" s="54"/>
      <c r="J15" s="54"/>
    </row>
    <row r="16" spans="1:14" x14ac:dyDescent="0.3">
      <c r="B16" s="62" t="str">
        <f>[1]IS!A14</f>
        <v>Net Profit +</v>
      </c>
      <c r="C16" s="108">
        <v>-12819</v>
      </c>
      <c r="D16" s="108">
        <v>1532</v>
      </c>
      <c r="E16" s="108">
        <v>2557</v>
      </c>
      <c r="F16" s="108">
        <v>3728</v>
      </c>
      <c r="G16" s="119">
        <v>5814</v>
      </c>
      <c r="H16" s="106"/>
      <c r="I16" s="106"/>
      <c r="J16" s="106"/>
    </row>
    <row r="17" spans="2:10" x14ac:dyDescent="0.3">
      <c r="B17" s="62" t="str">
        <f>[1]IS!A12</f>
        <v>Profit before tax</v>
      </c>
      <c r="C17" s="108">
        <v>-8896</v>
      </c>
      <c r="D17" s="108">
        <v>2484</v>
      </c>
      <c r="E17" s="108">
        <v>3760</v>
      </c>
      <c r="F17" s="108">
        <v>5346</v>
      </c>
      <c r="G17" s="119">
        <v>8418</v>
      </c>
      <c r="H17" s="55"/>
      <c r="I17" s="55"/>
      <c r="J17" s="55"/>
    </row>
    <row r="18" spans="2:10" x14ac:dyDescent="0.3">
      <c r="B18" s="62" t="s">
        <v>121</v>
      </c>
      <c r="C18" s="108">
        <f>-(C16-C17)</f>
        <v>3923</v>
      </c>
      <c r="D18" s="108">
        <f t="shared" ref="D18:G18" si="4">-(D16-D17)</f>
        <v>952</v>
      </c>
      <c r="E18" s="108">
        <f t="shared" si="4"/>
        <v>1203</v>
      </c>
      <c r="F18" s="108">
        <f t="shared" si="4"/>
        <v>1618</v>
      </c>
      <c r="G18" s="108">
        <f t="shared" si="4"/>
        <v>2604</v>
      </c>
      <c r="H18" s="55"/>
      <c r="I18" s="55"/>
      <c r="J18" s="55"/>
    </row>
    <row r="19" spans="2:10" x14ac:dyDescent="0.3">
      <c r="B19" s="115" t="s">
        <v>132</v>
      </c>
      <c r="C19" s="62">
        <v>394</v>
      </c>
      <c r="D19" s="62">
        <v>397</v>
      </c>
      <c r="E19" s="62">
        <v>417</v>
      </c>
      <c r="F19" s="62">
        <v>499</v>
      </c>
      <c r="G19" s="120">
        <v>543</v>
      </c>
    </row>
    <row r="20" spans="2:10" x14ac:dyDescent="0.3">
      <c r="B20" s="115" t="s">
        <v>122</v>
      </c>
      <c r="C20" s="104">
        <f>7719-7842+C19</f>
        <v>271</v>
      </c>
      <c r="D20" s="104">
        <f>7402-7719+D19</f>
        <v>80</v>
      </c>
      <c r="E20" s="104">
        <f>9587-7402+E19</f>
        <v>2602</v>
      </c>
      <c r="F20" s="104">
        <f>9303-9587+F19</f>
        <v>215</v>
      </c>
      <c r="G20" s="121">
        <f>9435-9303+G19</f>
        <v>675</v>
      </c>
      <c r="H20" s="106"/>
      <c r="I20" s="106"/>
      <c r="J20" s="106"/>
    </row>
    <row r="21" spans="2:10" x14ac:dyDescent="0.3">
      <c r="B21" s="100" t="s">
        <v>123</v>
      </c>
      <c r="C21" s="105">
        <v>9191</v>
      </c>
      <c r="D21" s="105">
        <v>4813</v>
      </c>
      <c r="E21" s="105">
        <v>492</v>
      </c>
      <c r="F21" s="105">
        <v>-6554</v>
      </c>
      <c r="G21" s="122">
        <v>-3237</v>
      </c>
      <c r="H21" s="127"/>
      <c r="I21" s="127"/>
      <c r="J21" s="127"/>
    </row>
    <row r="22" spans="2:10" x14ac:dyDescent="0.3">
      <c r="B22" s="114" t="s">
        <v>124</v>
      </c>
      <c r="C22" s="116">
        <v>488</v>
      </c>
      <c r="D22" s="116">
        <v>471</v>
      </c>
      <c r="E22" s="116">
        <v>400</v>
      </c>
      <c r="F22" s="116">
        <v>477</v>
      </c>
      <c r="G22" s="123">
        <v>108</v>
      </c>
      <c r="H22" s="128"/>
      <c r="I22" s="128"/>
      <c r="J22" s="128"/>
    </row>
    <row r="23" spans="2:10" x14ac:dyDescent="0.3">
      <c r="B23" s="62" t="s">
        <v>125</v>
      </c>
      <c r="C23" s="104">
        <v>258963</v>
      </c>
      <c r="D23" s="104">
        <v>246615</v>
      </c>
      <c r="E23" s="104">
        <v>247195</v>
      </c>
      <c r="F23" s="104">
        <v>267951</v>
      </c>
      <c r="G23" s="121">
        <v>294448</v>
      </c>
      <c r="H23" s="106"/>
      <c r="I23" s="106"/>
      <c r="J23" s="106"/>
    </row>
    <row r="25" spans="2:10" x14ac:dyDescent="0.3">
      <c r="B25" s="100" t="s">
        <v>107</v>
      </c>
      <c r="C25" s="104">
        <f>C16+C19-C22-C20+C23</f>
        <v>245779</v>
      </c>
      <c r="D25" s="104">
        <f t="shared" ref="D25:G25" si="5">D16+D19-D22-D20+D23</f>
        <v>247993</v>
      </c>
      <c r="E25" s="104">
        <f t="shared" si="5"/>
        <v>247167</v>
      </c>
      <c r="F25" s="104">
        <f t="shared" si="5"/>
        <v>271486</v>
      </c>
      <c r="G25" s="121">
        <f t="shared" si="5"/>
        <v>300022</v>
      </c>
      <c r="H25" s="106"/>
      <c r="I25" s="106"/>
      <c r="J25" s="106"/>
    </row>
    <row r="26" spans="2:10" x14ac:dyDescent="0.3">
      <c r="B26" s="100" t="s">
        <v>126</v>
      </c>
      <c r="C26" s="110" t="s">
        <v>48</v>
      </c>
      <c r="D26" s="110" t="s">
        <v>48</v>
      </c>
      <c r="E26" s="110" t="s">
        <v>48</v>
      </c>
      <c r="F26" s="110" t="s">
        <v>48</v>
      </c>
      <c r="G26" s="124">
        <f>G25*(C11+1)/C9-C11</f>
        <v>1774917.9717031203</v>
      </c>
      <c r="J26" s="129"/>
    </row>
    <row r="27" spans="2:10" x14ac:dyDescent="0.3">
      <c r="B27" s="62" t="s">
        <v>110</v>
      </c>
      <c r="C27" s="112">
        <f>C25/(1+C9)^1</f>
        <v>208731.99341648223</v>
      </c>
      <c r="D27" s="112">
        <f>D25/(1+C9)^2</f>
        <v>178866.05067855492</v>
      </c>
      <c r="E27" s="112">
        <f>E25/(1+C9)^3</f>
        <v>151399.07779510343</v>
      </c>
      <c r="F27" s="112">
        <f>F25/(1+C9)^4</f>
        <v>141229.17756662675</v>
      </c>
      <c r="G27" s="125">
        <f>G25/(1+C9)^5</f>
        <v>132548.35458222916</v>
      </c>
      <c r="J27" s="107"/>
    </row>
    <row r="29" spans="2:10" x14ac:dyDescent="0.3">
      <c r="B29" s="100" t="s">
        <v>133</v>
      </c>
      <c r="C29" s="62" t="s">
        <v>48</v>
      </c>
      <c r="D29" s="62" t="s">
        <v>48</v>
      </c>
      <c r="E29" s="62" t="s">
        <v>48</v>
      </c>
      <c r="F29" s="62" t="s">
        <v>48</v>
      </c>
      <c r="G29" s="125">
        <f>G26/(1+C9)^5</f>
        <v>784150.68450872332</v>
      </c>
      <c r="J29" s="107"/>
    </row>
    <row r="30" spans="2:10" x14ac:dyDescent="0.3">
      <c r="B30" s="100" t="s">
        <v>127</v>
      </c>
      <c r="C30" s="62"/>
      <c r="D30" s="62"/>
      <c r="E30" s="62"/>
      <c r="F30" s="62"/>
      <c r="G30" s="126">
        <f>G27+G29</f>
        <v>916699.03909095249</v>
      </c>
      <c r="J30" s="130"/>
    </row>
    <row r="31" spans="2:10" x14ac:dyDescent="0.3">
      <c r="G31" s="106"/>
    </row>
    <row r="32" spans="2:10" x14ac:dyDescent="0.3">
      <c r="B32" s="100" t="s">
        <v>134</v>
      </c>
      <c r="C32" s="62"/>
      <c r="D32" s="62"/>
      <c r="E32" s="62"/>
      <c r="F32" s="62"/>
      <c r="G32" s="118">
        <f>G30/D12</f>
        <v>852.26760793134304</v>
      </c>
      <c r="J32" s="54"/>
    </row>
    <row r="33" spans="1:7" x14ac:dyDescent="0.3">
      <c r="B33" s="100" t="s">
        <v>135</v>
      </c>
      <c r="C33" s="62"/>
      <c r="D33" s="62"/>
      <c r="E33" s="62"/>
      <c r="F33" s="62"/>
      <c r="G33" s="120">
        <f>G32-C6</f>
        <v>773.26760793134304</v>
      </c>
    </row>
    <row r="35" spans="1:7" s="144" customFormat="1" x14ac:dyDescent="0.3"/>
    <row r="37" spans="1:7" x14ac:dyDescent="0.3">
      <c r="B37" s="99" t="s">
        <v>128</v>
      </c>
    </row>
    <row r="38" spans="1:7" x14ac:dyDescent="0.3">
      <c r="B38" s="150" t="s">
        <v>148</v>
      </c>
    </row>
    <row r="39" spans="1:7" x14ac:dyDescent="0.3">
      <c r="A39" t="s">
        <v>98</v>
      </c>
      <c r="B39" s="62" t="s">
        <v>116</v>
      </c>
      <c r="C39" s="145">
        <v>7.3649999999999993E-2</v>
      </c>
    </row>
    <row r="40" spans="1:7" x14ac:dyDescent="0.3">
      <c r="B40" s="62" t="s">
        <v>129</v>
      </c>
      <c r="C40" s="146">
        <v>1.1200000000000001</v>
      </c>
    </row>
    <row r="41" spans="1:7" x14ac:dyDescent="0.3">
      <c r="B41" s="62" t="s">
        <v>106</v>
      </c>
      <c r="C41" s="147">
        <f>15%</f>
        <v>0.15</v>
      </c>
    </row>
    <row r="42" spans="1:7" x14ac:dyDescent="0.3">
      <c r="B42" s="62" t="s">
        <v>117</v>
      </c>
      <c r="C42" s="62">
        <v>1038</v>
      </c>
    </row>
    <row r="43" spans="1:7" x14ac:dyDescent="0.3">
      <c r="B43" s="62" t="s">
        <v>118</v>
      </c>
      <c r="C43" s="148">
        <f>C41-C39</f>
        <v>7.6350000000000001E-2</v>
      </c>
    </row>
    <row r="44" spans="1:7" x14ac:dyDescent="0.3">
      <c r="B44" s="62"/>
      <c r="C44" s="62"/>
    </row>
    <row r="45" spans="1:7" x14ac:dyDescent="0.3">
      <c r="B45" s="100" t="s">
        <v>130</v>
      </c>
      <c r="C45" s="149">
        <f>C39+C40*C43</f>
        <v>0.159162</v>
      </c>
    </row>
    <row r="47" spans="1:7" x14ac:dyDescent="0.3">
      <c r="B47" s="101" t="s">
        <v>131</v>
      </c>
      <c r="C47" s="97">
        <v>0.05</v>
      </c>
    </row>
    <row r="48" spans="1:7" x14ac:dyDescent="0.3">
      <c r="B48" s="101" t="s">
        <v>119</v>
      </c>
      <c r="C48" s="136" t="s">
        <v>151</v>
      </c>
      <c r="D48">
        <f>3086.57</f>
        <v>3086.57</v>
      </c>
    </row>
    <row r="50" spans="1:7" x14ac:dyDescent="0.3">
      <c r="B50" s="54" t="s">
        <v>107</v>
      </c>
      <c r="C50">
        <v>1</v>
      </c>
      <c r="D50">
        <f>C50+1</f>
        <v>2</v>
      </c>
      <c r="E50">
        <f t="shared" ref="E50:G51" si="6">D50+1</f>
        <v>3</v>
      </c>
      <c r="F50">
        <f t="shared" si="6"/>
        <v>4</v>
      </c>
      <c r="G50">
        <f t="shared" si="6"/>
        <v>5</v>
      </c>
    </row>
    <row r="51" spans="1:7" x14ac:dyDescent="0.3">
      <c r="A51" t="s">
        <v>98</v>
      </c>
      <c r="B51" s="103" t="s">
        <v>72</v>
      </c>
      <c r="C51" s="100">
        <v>2020</v>
      </c>
      <c r="D51" s="100">
        <f>C51+1</f>
        <v>2021</v>
      </c>
      <c r="E51" s="100">
        <f t="shared" si="6"/>
        <v>2022</v>
      </c>
      <c r="F51" s="100">
        <f t="shared" si="6"/>
        <v>2023</v>
      </c>
      <c r="G51" s="118">
        <f t="shared" si="6"/>
        <v>2024</v>
      </c>
    </row>
    <row r="52" spans="1:7" x14ac:dyDescent="0.3">
      <c r="B52" s="62" t="s">
        <v>120</v>
      </c>
      <c r="C52" s="108">
        <v>1879</v>
      </c>
      <c r="D52" s="131">
        <v>7252</v>
      </c>
      <c r="E52" s="131">
        <v>14207</v>
      </c>
      <c r="F52" s="131">
        <v>10919</v>
      </c>
      <c r="G52" s="131">
        <v>26492</v>
      </c>
    </row>
    <row r="53" spans="1:7" x14ac:dyDescent="0.3">
      <c r="B53" s="62" t="s">
        <v>145</v>
      </c>
      <c r="C53" s="131">
        <v>5280</v>
      </c>
      <c r="D53" s="131">
        <v>9750</v>
      </c>
      <c r="E53" s="131">
        <v>18929</v>
      </c>
      <c r="F53" s="131">
        <v>18621</v>
      </c>
      <c r="G53" s="131">
        <v>35178</v>
      </c>
    </row>
    <row r="54" spans="1:7" x14ac:dyDescent="0.3">
      <c r="B54" s="62" t="s">
        <v>121</v>
      </c>
      <c r="C54" s="108">
        <f>-(C52-C53)</f>
        <v>3401</v>
      </c>
      <c r="D54" s="108">
        <f t="shared" ref="D54" si="7">-(D52-D53)</f>
        <v>2498</v>
      </c>
      <c r="E54" s="108">
        <f t="shared" ref="E54" si="8">-(E52-E53)</f>
        <v>4722</v>
      </c>
      <c r="F54" s="108">
        <f t="shared" ref="F54" si="9">-(F52-F53)</f>
        <v>7702</v>
      </c>
      <c r="G54" s="108">
        <f t="shared" ref="G54" si="10">-(G52-G53)</f>
        <v>8686</v>
      </c>
    </row>
    <row r="55" spans="1:7" x14ac:dyDescent="0.3">
      <c r="B55" s="115" t="s">
        <v>132</v>
      </c>
      <c r="C55" s="132">
        <v>806</v>
      </c>
      <c r="D55" s="132">
        <v>976</v>
      </c>
      <c r="E55" s="133">
        <v>1046</v>
      </c>
      <c r="F55" s="133">
        <v>13146</v>
      </c>
      <c r="G55" s="133">
        <v>1388</v>
      </c>
    </row>
    <row r="56" spans="1:7" x14ac:dyDescent="0.3">
      <c r="B56" s="115" t="s">
        <v>122</v>
      </c>
      <c r="C56" s="104">
        <f>3912-3842+C55</f>
        <v>876</v>
      </c>
      <c r="D56" s="104">
        <f>4501-3912+D55</f>
        <v>1565</v>
      </c>
      <c r="E56" s="104">
        <f>4753-4501+E55</f>
        <v>1298</v>
      </c>
      <c r="F56" s="104">
        <f>5000-4753+F55</f>
        <v>13393</v>
      </c>
      <c r="G56" s="121">
        <f>5860-500+G55</f>
        <v>6748</v>
      </c>
    </row>
    <row r="57" spans="1:7" x14ac:dyDescent="0.3">
      <c r="B57" s="100" t="s">
        <v>123</v>
      </c>
      <c r="C57" s="105">
        <v>9191</v>
      </c>
      <c r="D57" s="105">
        <v>4813</v>
      </c>
      <c r="E57" s="105">
        <v>492</v>
      </c>
      <c r="F57" s="105">
        <v>-6554</v>
      </c>
      <c r="G57" s="122">
        <v>-3237</v>
      </c>
    </row>
    <row r="58" spans="1:7" x14ac:dyDescent="0.3">
      <c r="B58" s="114" t="s">
        <v>124</v>
      </c>
      <c r="C58" s="132">
        <v>483</v>
      </c>
      <c r="D58" s="132">
        <v>118</v>
      </c>
      <c r="E58" s="132">
        <v>215</v>
      </c>
      <c r="F58" s="132">
        <v>142</v>
      </c>
      <c r="G58" s="132">
        <v>267</v>
      </c>
    </row>
    <row r="59" spans="1:7" x14ac:dyDescent="0.3">
      <c r="B59" s="62" t="s">
        <v>125</v>
      </c>
      <c r="C59" s="133">
        <v>97337</v>
      </c>
      <c r="D59" s="133">
        <v>850551</v>
      </c>
      <c r="E59" s="133">
        <v>1020943</v>
      </c>
      <c r="F59" s="133">
        <v>1152038</v>
      </c>
      <c r="G59" s="133">
        <v>1295302</v>
      </c>
    </row>
    <row r="61" spans="1:7" x14ac:dyDescent="0.3">
      <c r="B61" s="100" t="s">
        <v>107</v>
      </c>
      <c r="C61" s="104">
        <f>C52+C55-C58-C56+C59</f>
        <v>98663</v>
      </c>
      <c r="D61" s="104">
        <f t="shared" ref="D61:G61" si="11">D52+D55-D58-D56+D59</f>
        <v>857096</v>
      </c>
      <c r="E61" s="104">
        <f t="shared" si="11"/>
        <v>1034683</v>
      </c>
      <c r="F61" s="104">
        <f t="shared" si="11"/>
        <v>1162568</v>
      </c>
      <c r="G61" s="121">
        <f t="shared" si="11"/>
        <v>1316167</v>
      </c>
    </row>
    <row r="62" spans="1:7" x14ac:dyDescent="0.3">
      <c r="B62" s="100" t="s">
        <v>126</v>
      </c>
      <c r="C62" s="110" t="s">
        <v>48</v>
      </c>
      <c r="D62" s="110" t="s">
        <v>48</v>
      </c>
      <c r="E62" s="110" t="s">
        <v>48</v>
      </c>
      <c r="F62" s="110" t="s">
        <v>48</v>
      </c>
      <c r="G62" s="124">
        <f>G61*(C47+1)/C45-C47</f>
        <v>8682822.1688713394</v>
      </c>
    </row>
    <row r="63" spans="1:7" x14ac:dyDescent="0.3">
      <c r="B63" s="62" t="s">
        <v>110</v>
      </c>
      <c r="C63" s="112">
        <f>C61/(1+C45)^1</f>
        <v>85115.799172160579</v>
      </c>
      <c r="D63" s="112">
        <f>D61/(1+C45)^2</f>
        <v>637883.24847404077</v>
      </c>
      <c r="E63" s="112">
        <f>E61/(1+C45)^3</f>
        <v>664316.2975687501</v>
      </c>
      <c r="F63" s="112">
        <f>F61/(1+C45)^4</f>
        <v>643934.69091558142</v>
      </c>
      <c r="G63" s="125">
        <f>G61/(1+C45)^5</f>
        <v>628912.63516050542</v>
      </c>
    </row>
    <row r="65" spans="1:7" x14ac:dyDescent="0.3">
      <c r="B65" s="100" t="s">
        <v>133</v>
      </c>
      <c r="C65" s="62" t="s">
        <v>48</v>
      </c>
      <c r="D65" s="62" t="s">
        <v>48</v>
      </c>
      <c r="E65" s="62" t="s">
        <v>48</v>
      </c>
      <c r="F65" s="62" t="s">
        <v>48</v>
      </c>
      <c r="G65" s="125">
        <f>G62/(1+C45)^5</f>
        <v>4148969.371557659</v>
      </c>
    </row>
    <row r="66" spans="1:7" x14ac:dyDescent="0.3">
      <c r="B66" s="100" t="s">
        <v>127</v>
      </c>
      <c r="C66" s="62"/>
      <c r="D66" s="62"/>
      <c r="E66" s="62"/>
      <c r="F66" s="62"/>
      <c r="G66" s="126">
        <f>G63+G65</f>
        <v>4777882.0067181643</v>
      </c>
    </row>
    <row r="67" spans="1:7" x14ac:dyDescent="0.3">
      <c r="G67" s="106"/>
    </row>
    <row r="68" spans="1:7" x14ac:dyDescent="0.3">
      <c r="B68" s="100" t="s">
        <v>134</v>
      </c>
      <c r="C68" s="62"/>
      <c r="D68" s="62"/>
      <c r="E68" s="62"/>
      <c r="F68" s="62"/>
      <c r="G68" s="118">
        <f>G66/D48</f>
        <v>1547.9584155610157</v>
      </c>
    </row>
    <row r="69" spans="1:7" x14ac:dyDescent="0.3">
      <c r="B69" s="100" t="s">
        <v>135</v>
      </c>
      <c r="C69" s="62"/>
      <c r="D69" s="62"/>
      <c r="E69" s="62"/>
      <c r="F69" s="62"/>
      <c r="G69" s="120">
        <f>G68-C42</f>
        <v>509.95841556101573</v>
      </c>
    </row>
    <row r="72" spans="1:7" x14ac:dyDescent="0.3">
      <c r="B72" s="99" t="s">
        <v>128</v>
      </c>
    </row>
    <row r="73" spans="1:7" x14ac:dyDescent="0.3">
      <c r="B73" s="54" t="s">
        <v>150</v>
      </c>
    </row>
    <row r="74" spans="1:7" x14ac:dyDescent="0.3">
      <c r="A74" t="s">
        <v>98</v>
      </c>
      <c r="B74" s="62" t="s">
        <v>116</v>
      </c>
      <c r="C74" s="151">
        <v>7.3649999999999993E-2</v>
      </c>
    </row>
    <row r="75" spans="1:7" x14ac:dyDescent="0.3">
      <c r="B75" s="62" t="s">
        <v>129</v>
      </c>
      <c r="C75" s="152">
        <v>1.1200000000000001</v>
      </c>
    </row>
    <row r="76" spans="1:7" x14ac:dyDescent="0.3">
      <c r="B76" s="62" t="s">
        <v>106</v>
      </c>
      <c r="C76" s="153">
        <f>15%</f>
        <v>0.15</v>
      </c>
    </row>
    <row r="77" spans="1:7" x14ac:dyDescent="0.3">
      <c r="B77" s="62" t="s">
        <v>117</v>
      </c>
      <c r="C77" s="62">
        <v>765</v>
      </c>
    </row>
    <row r="78" spans="1:7" x14ac:dyDescent="0.3">
      <c r="B78" s="62" t="s">
        <v>118</v>
      </c>
      <c r="C78" s="154">
        <f>C76-C74</f>
        <v>7.6350000000000001E-2</v>
      </c>
    </row>
    <row r="79" spans="1:7" x14ac:dyDescent="0.3">
      <c r="B79" s="62"/>
      <c r="C79" s="62"/>
    </row>
    <row r="80" spans="1:7" x14ac:dyDescent="0.3">
      <c r="B80" s="100" t="s">
        <v>130</v>
      </c>
      <c r="C80" s="155">
        <f>C74+C75*C78</f>
        <v>0.159162</v>
      </c>
    </row>
    <row r="82" spans="1:7" x14ac:dyDescent="0.3">
      <c r="B82" s="101" t="s">
        <v>131</v>
      </c>
      <c r="C82" s="97">
        <v>0.05</v>
      </c>
    </row>
    <row r="83" spans="1:7" x14ac:dyDescent="0.3">
      <c r="B83" s="101" t="s">
        <v>119</v>
      </c>
      <c r="C83" s="137">
        <v>8923211547</v>
      </c>
      <c r="D83">
        <v>8923</v>
      </c>
    </row>
    <row r="85" spans="1:7" x14ac:dyDescent="0.3">
      <c r="B85" s="54" t="s">
        <v>107</v>
      </c>
      <c r="C85">
        <v>1</v>
      </c>
      <c r="D85">
        <f>C85+1</f>
        <v>2</v>
      </c>
      <c r="E85">
        <f t="shared" ref="E85:G85" si="12">D85+1</f>
        <v>3</v>
      </c>
      <c r="F85">
        <f t="shared" si="12"/>
        <v>4</v>
      </c>
      <c r="G85">
        <f t="shared" si="12"/>
        <v>5</v>
      </c>
    </row>
    <row r="86" spans="1:7" x14ac:dyDescent="0.3">
      <c r="A86" t="s">
        <v>98</v>
      </c>
      <c r="B86" s="103" t="s">
        <v>72</v>
      </c>
      <c r="C86" s="100">
        <v>2020</v>
      </c>
      <c r="D86" s="100">
        <f>C86+1</f>
        <v>2021</v>
      </c>
      <c r="E86" s="100">
        <f t="shared" ref="E86:G86" si="13">D86+1</f>
        <v>2022</v>
      </c>
      <c r="F86" s="100">
        <f t="shared" si="13"/>
        <v>2023</v>
      </c>
      <c r="G86" s="118">
        <f t="shared" si="13"/>
        <v>2024</v>
      </c>
    </row>
    <row r="87" spans="1:7" x14ac:dyDescent="0.3">
      <c r="B87" s="62" t="s">
        <v>120</v>
      </c>
      <c r="C87" s="131">
        <v>21140</v>
      </c>
      <c r="D87" s="131">
        <v>23888</v>
      </c>
      <c r="E87" s="131">
        <v>37183</v>
      </c>
      <c r="F87" s="131">
        <v>57750</v>
      </c>
      <c r="G87" s="131">
        <v>69543</v>
      </c>
    </row>
    <row r="88" spans="1:7" x14ac:dyDescent="0.3">
      <c r="B88" s="62" t="s">
        <v>145</v>
      </c>
      <c r="C88" s="131">
        <v>30317</v>
      </c>
      <c r="D88" s="131">
        <v>32796</v>
      </c>
      <c r="E88" s="131">
        <v>49739</v>
      </c>
      <c r="F88" s="131">
        <v>75399</v>
      </c>
      <c r="G88" s="131">
        <v>91240</v>
      </c>
    </row>
    <row r="89" spans="1:7" x14ac:dyDescent="0.3">
      <c r="B89" s="62" t="s">
        <v>121</v>
      </c>
      <c r="C89" s="108">
        <f>-(C87-C88)</f>
        <v>9177</v>
      </c>
      <c r="D89" s="108">
        <f t="shared" ref="D89" si="14">-(D87-D88)</f>
        <v>8908</v>
      </c>
      <c r="E89" s="108">
        <f t="shared" ref="E89" si="15">-(E87-E88)</f>
        <v>12556</v>
      </c>
      <c r="F89" s="108">
        <f t="shared" ref="F89" si="16">-(F87-F88)</f>
        <v>17649</v>
      </c>
      <c r="G89" s="108">
        <f t="shared" ref="G89" si="17">-(G87-G88)</f>
        <v>21697</v>
      </c>
    </row>
    <row r="90" spans="1:7" x14ac:dyDescent="0.3">
      <c r="B90" s="115" t="s">
        <v>132</v>
      </c>
      <c r="C90" s="133">
        <v>3662</v>
      </c>
      <c r="D90" s="133">
        <v>3711</v>
      </c>
      <c r="E90" s="133">
        <v>3691</v>
      </c>
      <c r="F90" s="133">
        <v>3696</v>
      </c>
      <c r="G90" s="133">
        <v>3849</v>
      </c>
    </row>
    <row r="91" spans="1:7" x14ac:dyDescent="0.3">
      <c r="B91" s="115" t="s">
        <v>122</v>
      </c>
      <c r="C91" s="104">
        <f>39608-39941+C90</f>
        <v>3329</v>
      </c>
      <c r="D91" s="104">
        <f>41600-39608+D90</f>
        <v>5703</v>
      </c>
      <c r="E91" s="104">
        <f>41032-41600+E90</f>
        <v>3123</v>
      </c>
      <c r="F91" s="104">
        <f>45880-41032+F90</f>
        <v>8544</v>
      </c>
      <c r="G91" s="121">
        <f>46072-45880+G90</f>
        <v>4041</v>
      </c>
    </row>
    <row r="92" spans="1:7" x14ac:dyDescent="0.3">
      <c r="B92" s="100" t="s">
        <v>123</v>
      </c>
      <c r="C92" s="131">
        <v>28803</v>
      </c>
      <c r="D92" s="131">
        <v>93392</v>
      </c>
      <c r="E92" s="131">
        <v>51198</v>
      </c>
      <c r="F92" s="131">
        <v>-80593</v>
      </c>
      <c r="G92" s="131">
        <v>8260</v>
      </c>
    </row>
    <row r="93" spans="1:7" x14ac:dyDescent="0.3">
      <c r="B93" s="114" t="s">
        <v>124</v>
      </c>
      <c r="C93" s="132">
        <v>470</v>
      </c>
      <c r="D93" s="132">
        <v>116</v>
      </c>
      <c r="E93" s="132">
        <v>28</v>
      </c>
      <c r="F93" s="132">
        <v>66</v>
      </c>
      <c r="G93" s="132">
        <v>42</v>
      </c>
    </row>
    <row r="94" spans="1:7" x14ac:dyDescent="0.3">
      <c r="B94" s="62" t="s">
        <v>125</v>
      </c>
      <c r="C94" s="133">
        <v>3607061</v>
      </c>
      <c r="D94" s="133">
        <v>4149127</v>
      </c>
      <c r="E94" s="133">
        <v>4536570</v>
      </c>
      <c r="F94" s="133">
        <v>4989687</v>
      </c>
      <c r="G94" s="133">
        <v>5606147</v>
      </c>
    </row>
    <row r="96" spans="1:7" x14ac:dyDescent="0.3">
      <c r="B96" s="100" t="s">
        <v>107</v>
      </c>
      <c r="C96" s="104">
        <f>C87+C90-C93-C91+C94</f>
        <v>3628064</v>
      </c>
      <c r="D96" s="104">
        <f t="shared" ref="D96:G96" si="18">D87+D90-D93-D91+D94</f>
        <v>4170907</v>
      </c>
      <c r="E96" s="104">
        <f t="shared" si="18"/>
        <v>4574293</v>
      </c>
      <c r="F96" s="104">
        <f t="shared" si="18"/>
        <v>5042523</v>
      </c>
      <c r="G96" s="121">
        <f t="shared" si="18"/>
        <v>5675456</v>
      </c>
    </row>
    <row r="97" spans="2:7" x14ac:dyDescent="0.3">
      <c r="B97" s="100" t="s">
        <v>126</v>
      </c>
      <c r="C97" s="110" t="s">
        <v>48</v>
      </c>
      <c r="D97" s="110" t="s">
        <v>48</v>
      </c>
      <c r="E97" s="110" t="s">
        <v>48</v>
      </c>
      <c r="F97" s="110" t="s">
        <v>48</v>
      </c>
      <c r="G97" s="124">
        <f>G96*(C82+1)/C80-C82</f>
        <v>37441278.647176467</v>
      </c>
    </row>
    <row r="98" spans="2:7" x14ac:dyDescent="0.3">
      <c r="B98" s="62" t="s">
        <v>110</v>
      </c>
      <c r="C98" s="112">
        <f>C96/(1+C80)^1</f>
        <v>3129902.4640214224</v>
      </c>
      <c r="D98" s="112">
        <f>D96/(1+C80)^2</f>
        <v>3104146.6839690255</v>
      </c>
      <c r="E98" s="112">
        <f>E96/(1+C80)^3</f>
        <v>2936916.3209936288</v>
      </c>
      <c r="F98" s="112">
        <f>F96/(1+C80)^4</f>
        <v>2793002.6367831477</v>
      </c>
      <c r="G98" s="125">
        <f>G96/(1+C80)^5</f>
        <v>2711940.0415733731</v>
      </c>
    </row>
    <row r="100" spans="2:7" x14ac:dyDescent="0.3">
      <c r="B100" s="100" t="s">
        <v>133</v>
      </c>
      <c r="C100" s="62" t="s">
        <v>48</v>
      </c>
      <c r="D100" s="62" t="s">
        <v>48</v>
      </c>
      <c r="E100" s="62" t="s">
        <v>48</v>
      </c>
      <c r="F100" s="62" t="s">
        <v>48</v>
      </c>
      <c r="G100" s="125">
        <f>G97/(1+C80)^5</f>
        <v>17890809.614414066</v>
      </c>
    </row>
    <row r="101" spans="2:7" x14ac:dyDescent="0.3">
      <c r="B101" s="100" t="s">
        <v>127</v>
      </c>
      <c r="C101" s="62"/>
      <c r="D101" s="62"/>
      <c r="E101" s="62"/>
      <c r="F101" s="62"/>
      <c r="G101" s="126">
        <f>G98+G100</f>
        <v>20602749.655987438</v>
      </c>
    </row>
    <row r="102" spans="2:7" x14ac:dyDescent="0.3">
      <c r="G102" s="106"/>
    </row>
    <row r="103" spans="2:7" x14ac:dyDescent="0.3">
      <c r="B103" s="100" t="s">
        <v>134</v>
      </c>
      <c r="C103" s="62"/>
      <c r="D103" s="62"/>
      <c r="E103" s="62"/>
      <c r="F103" s="62"/>
      <c r="G103" s="118">
        <f>G101/D83</f>
        <v>2308.9487454877776</v>
      </c>
    </row>
    <row r="104" spans="2:7" x14ac:dyDescent="0.3">
      <c r="B104" s="100" t="s">
        <v>135</v>
      </c>
      <c r="C104" s="62"/>
      <c r="D104" s="62"/>
      <c r="E104" s="62"/>
      <c r="F104" s="62"/>
      <c r="G104" s="120">
        <f>G103-C77</f>
        <v>1543.9487454877776</v>
      </c>
    </row>
    <row r="107" spans="2:7" x14ac:dyDescent="0.3">
      <c r="B107" s="54" t="s">
        <v>186</v>
      </c>
    </row>
    <row r="108" spans="2:7" x14ac:dyDescent="0.3">
      <c r="C108" s="54" t="s">
        <v>117</v>
      </c>
      <c r="D108" s="54" t="s">
        <v>154</v>
      </c>
    </row>
    <row r="109" spans="2:7" x14ac:dyDescent="0.3">
      <c r="B109" t="s">
        <v>147</v>
      </c>
      <c r="C109">
        <f>C6</f>
        <v>79</v>
      </c>
      <c r="D109">
        <f>G32</f>
        <v>852.26760793134304</v>
      </c>
    </row>
    <row r="110" spans="2:7" x14ac:dyDescent="0.3">
      <c r="B110" t="s">
        <v>187</v>
      </c>
      <c r="C110">
        <f>C42</f>
        <v>1038</v>
      </c>
      <c r="D110">
        <f>G68</f>
        <v>1547.9584155610157</v>
      </c>
    </row>
    <row r="111" spans="2:7" x14ac:dyDescent="0.3">
      <c r="B111" t="s">
        <v>188</v>
      </c>
      <c r="C111">
        <f>C77</f>
        <v>765</v>
      </c>
      <c r="D111">
        <f>G103</f>
        <v>2308.9487454877776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94B4-141F-4719-9BF4-CA6037FAF098}">
  <dimension ref="A1:G16"/>
  <sheetViews>
    <sheetView workbookViewId="0">
      <selection activeCell="G29" sqref="G29"/>
    </sheetView>
  </sheetViews>
  <sheetFormatPr defaultRowHeight="14.4" x14ac:dyDescent="0.3"/>
  <cols>
    <col min="1" max="1" width="2.77734375" style="178" customWidth="1"/>
    <col min="2" max="2" width="20.77734375" style="178" bestFit="1" customWidth="1"/>
    <col min="3" max="3" width="11.44140625" style="178" bestFit="1" customWidth="1"/>
    <col min="4" max="7" width="12" style="178" bestFit="1" customWidth="1"/>
    <col min="8" max="16384" width="8.88671875" style="178"/>
  </cols>
  <sheetData>
    <row r="1" spans="1:7" x14ac:dyDescent="0.3">
      <c r="A1" s="178" t="s">
        <v>98</v>
      </c>
      <c r="B1" s="179" t="s">
        <v>190</v>
      </c>
    </row>
    <row r="2" spans="1:7" x14ac:dyDescent="0.3">
      <c r="C2" s="179">
        <v>2020</v>
      </c>
      <c r="D2" s="179">
        <f>C2+1</f>
        <v>2021</v>
      </c>
      <c r="E2" s="179">
        <f t="shared" ref="E2:G2" si="0">D2+1</f>
        <v>2022</v>
      </c>
      <c r="F2" s="179">
        <f t="shared" si="0"/>
        <v>2023</v>
      </c>
      <c r="G2" s="179">
        <f t="shared" si="0"/>
        <v>2024</v>
      </c>
    </row>
    <row r="3" spans="1:7" x14ac:dyDescent="0.3">
      <c r="B3" s="179" t="s">
        <v>63</v>
      </c>
      <c r="C3" s="178">
        <f>BS!C12</f>
        <v>1292130.83</v>
      </c>
      <c r="D3" s="178">
        <f>BS!D12</f>
        <v>1470547.54</v>
      </c>
      <c r="E3" s="178">
        <f>BS!E12</f>
        <v>1744034.65</v>
      </c>
      <c r="F3" s="178">
        <f>BS!F12</f>
        <v>2090160.22</v>
      </c>
      <c r="G3" s="178">
        <f>BS!G12</f>
        <v>3041939.36</v>
      </c>
    </row>
    <row r="4" spans="1:7" x14ac:dyDescent="0.3">
      <c r="B4" s="179" t="s">
        <v>195</v>
      </c>
      <c r="C4" s="178">
        <f>IS!C14</f>
        <v>62137.43</v>
      </c>
      <c r="D4" s="178">
        <f>IS!D14</f>
        <v>59247.59</v>
      </c>
      <c r="E4" s="178">
        <f>IS!E14</f>
        <v>58584.33</v>
      </c>
      <c r="F4" s="178">
        <f>IS!F14</f>
        <v>77779.94</v>
      </c>
      <c r="G4" s="178">
        <f>IS!G14</f>
        <v>154138.54999999999</v>
      </c>
    </row>
    <row r="5" spans="1:7" x14ac:dyDescent="0.3">
      <c r="B5" s="179" t="s">
        <v>191</v>
      </c>
      <c r="C5" s="178">
        <f>BS!C12/BS!C24</f>
        <v>0.84424783752164079</v>
      </c>
      <c r="D5" s="178">
        <f>BS!D12/BS!D24</f>
        <v>0.84181827716791358</v>
      </c>
      <c r="E5" s="178">
        <f>BS!E12/BS!E24</f>
        <v>0.84312550082242976</v>
      </c>
      <c r="F5" s="178">
        <f>BS!F12/BS!F24</f>
        <v>0.84756332887899266</v>
      </c>
      <c r="G5" s="178">
        <f>BS!G12/BS!G24</f>
        <v>0.84086685769135783</v>
      </c>
    </row>
    <row r="6" spans="1:7" x14ac:dyDescent="0.3">
      <c r="B6" s="179" t="s">
        <v>192</v>
      </c>
      <c r="C6" s="178">
        <f>IS!C23/IS!C14</f>
        <v>0.61468361340338662</v>
      </c>
      <c r="D6" s="178">
        <f>IS!D23/IS!D14</f>
        <v>0.72232710225006624</v>
      </c>
      <c r="E6" s="178">
        <f>IS!E23/IS!E14</f>
        <v>0.86837879685574615</v>
      </c>
      <c r="F6" s="178">
        <f>IS!F23/IS!F14</f>
        <v>0.79067160504366552</v>
      </c>
      <c r="G6" s="178">
        <f>IS!G23/IS!G14</f>
        <v>0.49675178597437181</v>
      </c>
    </row>
    <row r="7" spans="1:7" x14ac:dyDescent="0.3">
      <c r="B7" s="179" t="s">
        <v>193</v>
      </c>
      <c r="C7" s="178">
        <f>BS!C12/BS!C6</f>
        <v>2356.4839239144312</v>
      </c>
      <c r="D7" s="178">
        <f>BS!D12/BS!D6</f>
        <v>2667.5147656363374</v>
      </c>
      <c r="E7" s="178">
        <f>BS!E12/BS!E6</f>
        <v>3144.9547380759177</v>
      </c>
      <c r="F7" s="178">
        <f>BS!F12/BS!F6</f>
        <v>3746.0082441708332</v>
      </c>
      <c r="G7" s="178">
        <f>BS!G12/BS!G6</f>
        <v>4004.1850754913185</v>
      </c>
    </row>
    <row r="8" spans="1:7" x14ac:dyDescent="0.3">
      <c r="B8" s="179" t="s">
        <v>53</v>
      </c>
      <c r="C8" s="178">
        <f>BS!C11</f>
        <v>144628.54</v>
      </c>
      <c r="D8" s="178">
        <f>BS!D11</f>
        <v>135487.32</v>
      </c>
      <c r="E8" s="178">
        <f>BS!E11</f>
        <v>184817.21</v>
      </c>
      <c r="F8" s="178">
        <f>BS!F11</f>
        <v>206765.57</v>
      </c>
      <c r="G8" s="178">
        <f>BS!G11</f>
        <v>662153.07999999996</v>
      </c>
    </row>
    <row r="9" spans="1:7" x14ac:dyDescent="0.3">
      <c r="B9" s="179" t="s">
        <v>194</v>
      </c>
      <c r="C9" s="178">
        <f>CF!D6</f>
        <v>-16689.78</v>
      </c>
      <c r="D9" s="178">
        <f>CF!E6</f>
        <v>41494.79</v>
      </c>
      <c r="E9" s="178">
        <f>CF!F6</f>
        <v>-14208.72</v>
      </c>
      <c r="F9" s="178">
        <f>CF!G6</f>
        <v>27313.41</v>
      </c>
      <c r="G9" s="178">
        <f>CF!H6</f>
        <v>35014.959999999999</v>
      </c>
    </row>
    <row r="11" spans="1:7" x14ac:dyDescent="0.3">
      <c r="B11" s="179"/>
    </row>
    <row r="12" spans="1:7" x14ac:dyDescent="0.3">
      <c r="B12" s="179" t="s">
        <v>196</v>
      </c>
      <c r="C12" s="178">
        <f>C9/C3</f>
        <v>-1.2916478434308388E-2</v>
      </c>
      <c r="D12" s="178">
        <f t="shared" ref="D12:G12" si="1">D9/D3</f>
        <v>2.8217238049985108E-2</v>
      </c>
      <c r="E12" s="178">
        <f t="shared" si="1"/>
        <v>-8.1470399685006252E-3</v>
      </c>
      <c r="F12" s="178">
        <f t="shared" si="1"/>
        <v>1.3067615457727924E-2</v>
      </c>
      <c r="G12" s="178">
        <f t="shared" si="1"/>
        <v>1.151073570381758E-2</v>
      </c>
    </row>
    <row r="14" spans="1:7" x14ac:dyDescent="0.3">
      <c r="C14" s="97"/>
      <c r="D14" s="97"/>
      <c r="E14" s="97"/>
      <c r="F14" s="97"/>
      <c r="G14" s="97"/>
    </row>
    <row r="15" spans="1:7" x14ac:dyDescent="0.3">
      <c r="D15" s="97"/>
      <c r="E15" s="97"/>
      <c r="F15" s="97"/>
      <c r="G15" s="97"/>
    </row>
    <row r="16" spans="1:7" x14ac:dyDescent="0.3">
      <c r="D16" s="97"/>
      <c r="E16" s="97"/>
      <c r="F16" s="97"/>
      <c r="G16" s="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6E6F-8255-48B3-B182-DF003440FBC9}">
  <dimension ref="A1:H86"/>
  <sheetViews>
    <sheetView showGridLines="0" topLeftCell="A48" zoomScale="85" zoomScaleNormal="85" workbookViewId="0">
      <selection activeCell="C86" sqref="C86"/>
    </sheetView>
  </sheetViews>
  <sheetFormatPr defaultRowHeight="14.4" x14ac:dyDescent="0.3"/>
  <cols>
    <col min="1" max="1" width="4.5546875" customWidth="1"/>
    <col min="2" max="2" width="31.44140625" bestFit="1" customWidth="1"/>
    <col min="3" max="3" width="11.5546875" bestFit="1" customWidth="1"/>
    <col min="4" max="4" width="13.109375" bestFit="1" customWidth="1"/>
    <col min="5" max="7" width="12.5546875" bestFit="1" customWidth="1"/>
  </cols>
  <sheetData>
    <row r="1" spans="1:7" x14ac:dyDescent="0.3">
      <c r="B1" s="54" t="s">
        <v>167</v>
      </c>
    </row>
    <row r="3" spans="1:7" x14ac:dyDescent="0.3">
      <c r="B3" s="172" t="s">
        <v>72</v>
      </c>
      <c r="C3" s="172">
        <v>2020</v>
      </c>
      <c r="D3" s="172">
        <f>C3+1</f>
        <v>2021</v>
      </c>
      <c r="E3" s="172">
        <f t="shared" ref="E3:G3" si="0">D3+1</f>
        <v>2022</v>
      </c>
      <c r="F3" s="172">
        <f t="shared" si="0"/>
        <v>2023</v>
      </c>
      <c r="G3" s="172">
        <f t="shared" si="0"/>
        <v>2024</v>
      </c>
    </row>
    <row r="5" spans="1:7" x14ac:dyDescent="0.3">
      <c r="A5" t="s">
        <v>98</v>
      </c>
      <c r="B5" s="100" t="s">
        <v>170</v>
      </c>
      <c r="C5" s="62"/>
      <c r="D5" s="62"/>
      <c r="E5" s="62"/>
      <c r="F5" s="62"/>
      <c r="G5" s="62"/>
    </row>
    <row r="6" spans="1:7" x14ac:dyDescent="0.3">
      <c r="B6" s="173" t="s">
        <v>171</v>
      </c>
      <c r="C6" s="62">
        <v>26558.44</v>
      </c>
      <c r="D6" s="108">
        <v>32337.67</v>
      </c>
      <c r="E6" s="108">
        <v>34385.120000000003</v>
      </c>
      <c r="F6" s="108">
        <v>34322.910000000003</v>
      </c>
      <c r="G6" s="108">
        <v>61653.66</v>
      </c>
    </row>
    <row r="7" spans="1:7" x14ac:dyDescent="0.3">
      <c r="B7" s="173" t="s">
        <v>172</v>
      </c>
      <c r="C7" s="62">
        <v>3462.77</v>
      </c>
      <c r="D7" s="108">
        <v>9030.5</v>
      </c>
      <c r="E7" s="108">
        <v>8939.51</v>
      </c>
      <c r="F7" s="108">
        <v>2096.4899999999998</v>
      </c>
      <c r="G7" s="108">
        <v>14190.1</v>
      </c>
    </row>
    <row r="8" spans="1:7" x14ac:dyDescent="0.3">
      <c r="B8" s="173" t="s">
        <v>173</v>
      </c>
      <c r="C8" s="62">
        <v>457240.91</v>
      </c>
      <c r="D8" s="108">
        <v>519641.74</v>
      </c>
      <c r="E8" s="108">
        <v>551767.34</v>
      </c>
      <c r="F8" s="108">
        <v>641108.56000000006</v>
      </c>
      <c r="G8" s="108">
        <v>822926.8</v>
      </c>
    </row>
    <row r="9" spans="1:7" x14ac:dyDescent="0.3">
      <c r="B9" s="173" t="s">
        <v>174</v>
      </c>
      <c r="C9" s="62">
        <v>102012.1</v>
      </c>
      <c r="D9" s="108">
        <v>76276.600000000006</v>
      </c>
      <c r="E9" s="108">
        <v>77273.63</v>
      </c>
      <c r="F9" s="108">
        <v>73308.77</v>
      </c>
      <c r="G9" s="108">
        <v>94557.67</v>
      </c>
    </row>
    <row r="10" spans="1:7" x14ac:dyDescent="0.3">
      <c r="B10" s="173" t="s">
        <v>175</v>
      </c>
      <c r="C10" s="62">
        <v>355228.82</v>
      </c>
      <c r="D10" s="108">
        <v>443365.14</v>
      </c>
      <c r="E10" s="108">
        <v>474493.71</v>
      </c>
      <c r="F10" s="108">
        <f>F8-F9</f>
        <v>567799.79</v>
      </c>
      <c r="G10" s="108">
        <f>G8-G9</f>
        <v>728369.13</v>
      </c>
    </row>
    <row r="11" spans="1:7" x14ac:dyDescent="0.3">
      <c r="B11" s="173" t="s">
        <v>176</v>
      </c>
      <c r="C11" s="62">
        <v>43.29</v>
      </c>
      <c r="D11" s="62">
        <v>24.93</v>
      </c>
      <c r="E11" s="62">
        <v>24.69</v>
      </c>
      <c r="F11" s="62">
        <v>28.52</v>
      </c>
      <c r="G11" s="62">
        <v>31.45</v>
      </c>
    </row>
    <row r="12" spans="1:7" x14ac:dyDescent="0.3">
      <c r="B12" s="173" t="s">
        <v>17</v>
      </c>
      <c r="C12" s="62">
        <v>32.79</v>
      </c>
      <c r="D12" s="62">
        <v>36.74</v>
      </c>
      <c r="E12" s="62">
        <v>40.479999999999997</v>
      </c>
      <c r="F12" s="62">
        <v>40.090000000000003</v>
      </c>
      <c r="G12" s="62">
        <v>26.01</v>
      </c>
    </row>
    <row r="13" spans="1:7" x14ac:dyDescent="0.3">
      <c r="B13" s="173" t="s">
        <v>177</v>
      </c>
      <c r="C13" s="62">
        <v>7.5</v>
      </c>
      <c r="D13" s="62">
        <v>-16.82</v>
      </c>
      <c r="E13" s="62">
        <v>-14.52</v>
      </c>
      <c r="F13" s="62">
        <v>-5</v>
      </c>
      <c r="G13" s="62">
        <v>0</v>
      </c>
    </row>
    <row r="15" spans="1:7" x14ac:dyDescent="0.3">
      <c r="A15" t="s">
        <v>98</v>
      </c>
      <c r="B15" s="171" t="s">
        <v>169</v>
      </c>
      <c r="C15" s="62"/>
      <c r="D15" s="62"/>
      <c r="E15" s="62"/>
      <c r="F15" s="62"/>
      <c r="G15" s="62"/>
    </row>
    <row r="16" spans="1:7" x14ac:dyDescent="0.3">
      <c r="B16" s="173" t="s">
        <v>171</v>
      </c>
      <c r="C16" s="108">
        <v>107999.94</v>
      </c>
      <c r="D16" s="108">
        <v>110210.21</v>
      </c>
      <c r="E16" s="108">
        <v>115189.91</v>
      </c>
      <c r="F16" s="108">
        <v>142272.51</v>
      </c>
      <c r="G16" s="108">
        <v>233634.5</v>
      </c>
    </row>
    <row r="17" spans="1:7" x14ac:dyDescent="0.3">
      <c r="B17" s="173" t="s">
        <v>172</v>
      </c>
      <c r="C17" s="108">
        <v>12942.46</v>
      </c>
      <c r="D17" s="108">
        <v>10574.8</v>
      </c>
      <c r="E17" s="108">
        <v>9223.24</v>
      </c>
      <c r="F17" s="108">
        <v>14164.39</v>
      </c>
      <c r="G17" s="108">
        <v>15661.14</v>
      </c>
    </row>
    <row r="18" spans="1:7" x14ac:dyDescent="0.3">
      <c r="B18" s="173" t="s">
        <v>173</v>
      </c>
      <c r="C18" s="108">
        <v>484270.74</v>
      </c>
      <c r="D18" s="108">
        <v>521997.22</v>
      </c>
      <c r="E18" s="108">
        <v>619468.19999999995</v>
      </c>
      <c r="F18" s="108">
        <v>756028.55</v>
      </c>
      <c r="G18" s="108">
        <v>1395037.69</v>
      </c>
    </row>
    <row r="19" spans="1:7" x14ac:dyDescent="0.3">
      <c r="B19" s="173" t="s">
        <v>174</v>
      </c>
      <c r="C19" s="108">
        <v>907258.1</v>
      </c>
      <c r="D19" s="108">
        <v>1096217.82</v>
      </c>
      <c r="E19" s="108">
        <v>1292339.74</v>
      </c>
      <c r="F19" s="108">
        <v>1590690.86</v>
      </c>
      <c r="G19" s="108">
        <v>2046617.47</v>
      </c>
    </row>
    <row r="20" spans="1:7" x14ac:dyDescent="0.3">
      <c r="B20" s="173" t="s">
        <v>175</v>
      </c>
      <c r="C20" s="108">
        <v>-422987.36</v>
      </c>
      <c r="D20" s="108">
        <v>-574220.6</v>
      </c>
      <c r="E20" s="108">
        <v>-672871.54</v>
      </c>
      <c r="F20" s="108">
        <f>F18-F19</f>
        <v>-834662.31</v>
      </c>
      <c r="G20" s="108">
        <f>G18-G19</f>
        <v>-651579.78</v>
      </c>
    </row>
    <row r="21" spans="1:7" x14ac:dyDescent="0.3">
      <c r="B21" s="173" t="s">
        <v>176</v>
      </c>
      <c r="C21" s="108">
        <v>1381.75</v>
      </c>
      <c r="D21" s="108">
        <v>1527.55</v>
      </c>
      <c r="E21" s="108">
        <v>2393.81</v>
      </c>
      <c r="F21" s="108">
        <v>3071.71</v>
      </c>
      <c r="G21" s="108">
        <v>4168.78</v>
      </c>
    </row>
    <row r="22" spans="1:7" x14ac:dyDescent="0.3">
      <c r="B22" s="173" t="s">
        <v>17</v>
      </c>
      <c r="C22" s="62">
        <v>938.71</v>
      </c>
      <c r="D22" s="108">
        <v>1047.4000000000001</v>
      </c>
      <c r="E22" s="108">
        <v>1295.47</v>
      </c>
      <c r="F22" s="108">
        <v>1855.64</v>
      </c>
      <c r="G22" s="108">
        <v>2343.71</v>
      </c>
    </row>
    <row r="23" spans="1:7" x14ac:dyDescent="0.3">
      <c r="B23" s="173" t="s">
        <v>177</v>
      </c>
      <c r="C23" s="108">
        <v>6632.33</v>
      </c>
      <c r="D23" s="108">
        <v>10157.540000000001</v>
      </c>
      <c r="E23" s="108">
        <v>9932.56</v>
      </c>
      <c r="F23" s="108">
        <v>6738</v>
      </c>
      <c r="G23" s="108">
        <v>13644</v>
      </c>
    </row>
    <row r="25" spans="1:7" x14ac:dyDescent="0.3">
      <c r="A25" t="s">
        <v>98</v>
      </c>
      <c r="B25" s="100" t="s">
        <v>168</v>
      </c>
      <c r="C25" s="62"/>
      <c r="D25" s="62"/>
      <c r="E25" s="62"/>
      <c r="F25" s="62"/>
      <c r="G25" s="62"/>
    </row>
    <row r="26" spans="1:7" x14ac:dyDescent="0.3">
      <c r="B26" s="173" t="s">
        <v>171</v>
      </c>
      <c r="C26" s="108">
        <v>61134.45</v>
      </c>
      <c r="D26" s="108">
        <v>57154.3</v>
      </c>
      <c r="E26" s="108">
        <v>66482.929999999993</v>
      </c>
      <c r="F26" s="108">
        <v>91817.32</v>
      </c>
      <c r="G26" s="108">
        <v>175520.23</v>
      </c>
    </row>
    <row r="27" spans="1:7" x14ac:dyDescent="0.3">
      <c r="B27" s="173" t="s">
        <v>172</v>
      </c>
      <c r="C27" s="108">
        <v>14121.09</v>
      </c>
      <c r="D27" s="108">
        <v>17437.54</v>
      </c>
      <c r="E27" s="108">
        <v>25053.01</v>
      </c>
      <c r="F27" s="108">
        <v>33641.99</v>
      </c>
      <c r="G27" s="108">
        <v>32280.98</v>
      </c>
    </row>
    <row r="28" spans="1:7" x14ac:dyDescent="0.3">
      <c r="B28" s="173" t="s">
        <v>173</v>
      </c>
      <c r="C28" s="108">
        <v>520567.01</v>
      </c>
      <c r="D28" s="108">
        <v>628731.56999999995</v>
      </c>
      <c r="E28" s="108">
        <v>808136.61</v>
      </c>
      <c r="F28" s="108">
        <v>973689.82</v>
      </c>
      <c r="G28" s="108">
        <v>1274899.43</v>
      </c>
    </row>
    <row r="29" spans="1:7" x14ac:dyDescent="0.3">
      <c r="B29" s="173" t="s">
        <v>174</v>
      </c>
      <c r="C29" s="108">
        <v>317628.87</v>
      </c>
      <c r="D29" s="108">
        <v>338115.31</v>
      </c>
      <c r="E29" s="108">
        <v>413825.31</v>
      </c>
      <c r="F29" s="108">
        <v>464552.76</v>
      </c>
      <c r="G29" s="108">
        <v>973987.85</v>
      </c>
    </row>
    <row r="30" spans="1:7" x14ac:dyDescent="0.3">
      <c r="B30" s="173" t="s">
        <v>175</v>
      </c>
      <c r="C30" s="108">
        <v>202938.14</v>
      </c>
      <c r="D30" s="108">
        <v>290616.26</v>
      </c>
      <c r="E30" s="108">
        <v>394311.3</v>
      </c>
      <c r="F30" s="108">
        <f>F28-F29</f>
        <v>509137.05999999994</v>
      </c>
      <c r="G30" s="108">
        <f>G28-G29</f>
        <v>300911.57999999996</v>
      </c>
    </row>
    <row r="31" spans="1:7" x14ac:dyDescent="0.3">
      <c r="B31" s="173" t="s">
        <v>176</v>
      </c>
      <c r="C31" s="62">
        <v>119.49</v>
      </c>
      <c r="D31" s="62">
        <v>139.94</v>
      </c>
      <c r="E31" s="62">
        <v>229</v>
      </c>
      <c r="F31" s="62">
        <v>832.78</v>
      </c>
      <c r="G31" s="62">
        <v>49.06</v>
      </c>
    </row>
    <row r="32" spans="1:7" x14ac:dyDescent="0.3">
      <c r="B32" s="173" t="s">
        <v>17</v>
      </c>
      <c r="C32" s="62">
        <v>126.71</v>
      </c>
      <c r="D32" s="62">
        <v>118.18</v>
      </c>
      <c r="E32" s="62">
        <v>149.27000000000001</v>
      </c>
      <c r="F32" s="62">
        <v>198.2</v>
      </c>
      <c r="G32" s="62">
        <v>204.67</v>
      </c>
    </row>
    <row r="33" spans="1:8" x14ac:dyDescent="0.3">
      <c r="B33" s="173" t="s">
        <v>177</v>
      </c>
      <c r="C33" s="108">
        <v>3756.44</v>
      </c>
      <c r="D33" s="108">
        <v>2279.02</v>
      </c>
      <c r="E33" s="108">
        <v>1954.52</v>
      </c>
      <c r="F33" s="62">
        <v>685.66</v>
      </c>
      <c r="G33" s="108">
        <v>5935.15</v>
      </c>
    </row>
    <row r="35" spans="1:8" x14ac:dyDescent="0.3">
      <c r="A35" t="s">
        <v>98</v>
      </c>
      <c r="B35" s="100" t="s">
        <v>178</v>
      </c>
      <c r="C35" s="62"/>
      <c r="D35" s="62"/>
      <c r="E35" s="62"/>
      <c r="F35" s="62"/>
      <c r="G35" s="62"/>
    </row>
    <row r="36" spans="1:8" x14ac:dyDescent="0.3">
      <c r="B36" s="173" t="s">
        <v>171</v>
      </c>
      <c r="C36" s="108">
        <v>28028.21</v>
      </c>
      <c r="D36" s="108">
        <v>29759.68</v>
      </c>
      <c r="E36" s="108">
        <v>21496.22</v>
      </c>
      <c r="F36" s="108">
        <v>37845.03</v>
      </c>
      <c r="G36" s="108">
        <v>30050.38</v>
      </c>
    </row>
    <row r="37" spans="1:8" x14ac:dyDescent="0.3">
      <c r="B37" s="173" t="s">
        <v>172</v>
      </c>
      <c r="C37" s="108">
        <v>9372.33</v>
      </c>
      <c r="D37" s="108">
        <v>7344.29</v>
      </c>
      <c r="E37" s="108">
        <v>7386.51</v>
      </c>
      <c r="F37" s="108">
        <v>12697.61</v>
      </c>
      <c r="G37" s="108">
        <v>11104</v>
      </c>
    </row>
    <row r="38" spans="1:8" x14ac:dyDescent="0.3">
      <c r="B38" s="173" t="s">
        <v>173</v>
      </c>
      <c r="C38" s="108">
        <v>110819.75</v>
      </c>
      <c r="D38" s="108">
        <v>119752.2</v>
      </c>
      <c r="E38" s="108">
        <v>76591.09</v>
      </c>
      <c r="F38" s="108">
        <v>145099.65</v>
      </c>
      <c r="G38" s="108">
        <v>97097.23</v>
      </c>
    </row>
    <row r="39" spans="1:8" x14ac:dyDescent="0.3">
      <c r="B39" s="173" t="s">
        <v>174</v>
      </c>
      <c r="C39" s="108">
        <v>49402.29</v>
      </c>
      <c r="D39" s="108">
        <v>51771.65</v>
      </c>
      <c r="E39" s="108">
        <v>5994.76</v>
      </c>
      <c r="F39" s="108">
        <v>61270.83</v>
      </c>
      <c r="G39" s="108">
        <v>8212.98</v>
      </c>
    </row>
    <row r="40" spans="1:8" x14ac:dyDescent="0.3">
      <c r="B40" s="173" t="s">
        <v>175</v>
      </c>
      <c r="C40" s="108">
        <v>61417.46</v>
      </c>
      <c r="D40" s="108">
        <v>67980.539999999994</v>
      </c>
      <c r="E40" s="108">
        <v>70596.33</v>
      </c>
      <c r="F40" s="108">
        <f>F38-F39</f>
        <v>83828.819999999992</v>
      </c>
      <c r="G40" s="108">
        <f>G38-G39</f>
        <v>88884.25</v>
      </c>
    </row>
    <row r="41" spans="1:8" x14ac:dyDescent="0.3">
      <c r="B41" s="173" t="s">
        <v>176</v>
      </c>
      <c r="C41" s="62">
        <v>167.09</v>
      </c>
      <c r="D41" s="62">
        <v>180.6</v>
      </c>
      <c r="E41" s="62">
        <v>148.63</v>
      </c>
      <c r="F41" s="62">
        <v>442.96</v>
      </c>
      <c r="G41" s="62">
        <v>532.54999999999995</v>
      </c>
    </row>
    <row r="42" spans="1:8" x14ac:dyDescent="0.3">
      <c r="B42" s="173" t="s">
        <v>17</v>
      </c>
      <c r="C42" s="62">
        <v>178.56</v>
      </c>
      <c r="D42" s="62">
        <v>182.69</v>
      </c>
      <c r="E42" s="62">
        <v>114.58</v>
      </c>
      <c r="F42" s="62">
        <v>251.54</v>
      </c>
      <c r="G42" s="62">
        <v>235.71</v>
      </c>
    </row>
    <row r="43" spans="1:8" x14ac:dyDescent="0.3">
      <c r="B43" s="173" t="s">
        <v>177</v>
      </c>
      <c r="C43" s="108">
        <v>3283.47</v>
      </c>
      <c r="D43" s="108">
        <v>6389.39</v>
      </c>
      <c r="E43" s="108">
        <v>3180.87</v>
      </c>
      <c r="F43" s="108">
        <v>6435.42</v>
      </c>
      <c r="G43" s="108">
        <v>3913</v>
      </c>
    </row>
    <row r="46" spans="1:8" x14ac:dyDescent="0.3">
      <c r="B46" s="103" t="s">
        <v>179</v>
      </c>
      <c r="C46" s="100">
        <f>C3</f>
        <v>2020</v>
      </c>
      <c r="D46" s="100">
        <f t="shared" ref="D46:G46" si="1">D3</f>
        <v>2021</v>
      </c>
      <c r="E46" s="100">
        <f t="shared" si="1"/>
        <v>2022</v>
      </c>
      <c r="F46" s="100">
        <f t="shared" si="1"/>
        <v>2023</v>
      </c>
      <c r="G46" s="100">
        <f t="shared" si="1"/>
        <v>2024</v>
      </c>
    </row>
    <row r="47" spans="1:8" x14ac:dyDescent="0.3">
      <c r="B47" s="103" t="s">
        <v>170</v>
      </c>
      <c r="C47" s="108"/>
      <c r="D47" s="108"/>
      <c r="E47" s="108"/>
      <c r="F47" s="108"/>
      <c r="G47" s="108"/>
    </row>
    <row r="48" spans="1:8" x14ac:dyDescent="0.3">
      <c r="B48" s="62" t="s">
        <v>181</v>
      </c>
      <c r="C48" s="174" t="s">
        <v>48</v>
      </c>
      <c r="D48" s="74">
        <f>(D6-C6)/C6</f>
        <v>0.21760427193765899</v>
      </c>
      <c r="E48" s="74">
        <f>(E6-D6)/D6</f>
        <v>6.3314703873222911E-2</v>
      </c>
      <c r="F48" s="175">
        <f>(F6-E6)/E6</f>
        <v>-1.8092128222905466E-3</v>
      </c>
      <c r="G48" s="74">
        <f>(G6-F6)/F6</f>
        <v>0.79628300747226843</v>
      </c>
      <c r="H48" s="97"/>
    </row>
    <row r="49" spans="2:8" x14ac:dyDescent="0.3">
      <c r="B49" s="62" t="s">
        <v>66</v>
      </c>
      <c r="C49" s="62" t="s">
        <v>48</v>
      </c>
      <c r="D49" s="74">
        <f>(D8-C8)/C8</f>
        <v>0.13647254354383997</v>
      </c>
      <c r="E49" s="74">
        <f t="shared" ref="E49:G49" si="2">(E8-D8)/D8</f>
        <v>6.1822593389052959E-2</v>
      </c>
      <c r="F49" s="74">
        <f t="shared" si="2"/>
        <v>0.16191828244129144</v>
      </c>
      <c r="G49" s="74">
        <f t="shared" si="2"/>
        <v>0.28359976974882378</v>
      </c>
      <c r="H49" s="97"/>
    </row>
    <row r="50" spans="2:8" x14ac:dyDescent="0.3">
      <c r="B50" s="176" t="s">
        <v>180</v>
      </c>
      <c r="C50" s="174" t="s">
        <v>48</v>
      </c>
      <c r="D50" s="175">
        <f>(D9-C9)/C9</f>
        <v>-0.25227889632700434</v>
      </c>
      <c r="E50" s="74">
        <f t="shared" ref="E50:G51" si="3">(E9-D9)/D9</f>
        <v>1.3071243343305795E-2</v>
      </c>
      <c r="F50" s="175">
        <f t="shared" si="3"/>
        <v>-5.1309353527199383E-2</v>
      </c>
      <c r="G50" s="74">
        <f t="shared" si="3"/>
        <v>0.28985481546068764</v>
      </c>
      <c r="H50" s="97"/>
    </row>
    <row r="51" spans="2:8" x14ac:dyDescent="0.3">
      <c r="B51" s="62" t="s">
        <v>175</v>
      </c>
      <c r="C51" s="174" t="s">
        <v>48</v>
      </c>
      <c r="D51" s="74">
        <f>(D10-C10)/C10</f>
        <v>0.24811140042072038</v>
      </c>
      <c r="E51" s="74">
        <f t="shared" si="3"/>
        <v>7.0209782392905332E-2</v>
      </c>
      <c r="F51" s="74">
        <f t="shared" si="3"/>
        <v>0.19664344970979702</v>
      </c>
      <c r="G51" s="74">
        <f t="shared" si="3"/>
        <v>0.2827921792644551</v>
      </c>
      <c r="H51" s="97"/>
    </row>
    <row r="52" spans="2:8" x14ac:dyDescent="0.3">
      <c r="B52" s="62"/>
      <c r="C52" s="62"/>
      <c r="D52" s="62"/>
      <c r="E52" s="62"/>
      <c r="F52" s="62"/>
      <c r="G52" s="62"/>
    </row>
    <row r="53" spans="2:8" x14ac:dyDescent="0.3">
      <c r="B53" s="103" t="s">
        <v>182</v>
      </c>
      <c r="C53" s="62"/>
      <c r="D53" s="62"/>
      <c r="E53" s="62"/>
      <c r="F53" s="62"/>
      <c r="G53" s="62"/>
    </row>
    <row r="54" spans="2:8" x14ac:dyDescent="0.3">
      <c r="B54" s="62" t="s">
        <v>181</v>
      </c>
      <c r="C54" s="174" t="s">
        <v>48</v>
      </c>
      <c r="D54" s="74">
        <f>(D16-C16)/C16</f>
        <v>2.0465474332670965E-2</v>
      </c>
      <c r="E54" s="74">
        <f t="shared" ref="E54:G54" si="4">(E16-D16)/D16</f>
        <v>4.5183654037135007E-2</v>
      </c>
      <c r="F54" s="74">
        <f t="shared" si="4"/>
        <v>0.23511260665105133</v>
      </c>
      <c r="G54" s="74">
        <f t="shared" si="4"/>
        <v>0.64216193275847866</v>
      </c>
      <c r="H54" s="97"/>
    </row>
    <row r="55" spans="2:8" x14ac:dyDescent="0.3">
      <c r="B55" s="176" t="s">
        <v>66</v>
      </c>
      <c r="C55" s="62" t="s">
        <v>48</v>
      </c>
      <c r="D55" s="74">
        <f>(D18-C18)/C18</f>
        <v>7.7903694945517424E-2</v>
      </c>
      <c r="E55" s="74">
        <f t="shared" ref="E55:G55" si="5">(E18-D18)/D18</f>
        <v>0.18672700977219761</v>
      </c>
      <c r="F55" s="74">
        <f t="shared" si="5"/>
        <v>0.2204477162830959</v>
      </c>
      <c r="G55" s="74">
        <f t="shared" si="5"/>
        <v>0.84521826589749804</v>
      </c>
      <c r="H55" s="97"/>
    </row>
    <row r="56" spans="2:8" x14ac:dyDescent="0.3">
      <c r="B56" s="62" t="s">
        <v>180</v>
      </c>
      <c r="C56" s="174" t="s">
        <v>48</v>
      </c>
      <c r="D56" s="74">
        <f>(D19-C19)/C19</f>
        <v>0.20827559434299908</v>
      </c>
      <c r="E56" s="74">
        <f t="shared" ref="E56:G56" si="6">(E19-D19)/D19</f>
        <v>0.17890780137108145</v>
      </c>
      <c r="F56" s="74">
        <f t="shared" si="6"/>
        <v>0.23086121301199025</v>
      </c>
      <c r="G56" s="74">
        <f t="shared" si="6"/>
        <v>0.28662175754250568</v>
      </c>
      <c r="H56" s="97"/>
    </row>
    <row r="57" spans="2:8" x14ac:dyDescent="0.3">
      <c r="B57" s="176" t="s">
        <v>175</v>
      </c>
      <c r="C57" s="174" t="s">
        <v>48</v>
      </c>
      <c r="D57" s="74">
        <f>(D21-C21)/C21</f>
        <v>0.10551836439297989</v>
      </c>
      <c r="E57" s="74">
        <f t="shared" ref="E57:G57" si="7">(E21-D21)/D21</f>
        <v>0.56709109358122489</v>
      </c>
      <c r="F57" s="74">
        <f t="shared" si="7"/>
        <v>0.28318872425129821</v>
      </c>
      <c r="G57" s="74">
        <f t="shared" si="7"/>
        <v>0.35715285622666193</v>
      </c>
      <c r="H57" s="97"/>
    </row>
    <row r="58" spans="2:8" x14ac:dyDescent="0.3">
      <c r="B58" s="62"/>
      <c r="C58" s="62"/>
      <c r="D58" s="62"/>
      <c r="E58" s="62"/>
      <c r="F58" s="62"/>
      <c r="G58" s="62"/>
    </row>
    <row r="59" spans="2:8" x14ac:dyDescent="0.3">
      <c r="B59" s="103" t="s">
        <v>183</v>
      </c>
      <c r="C59" s="62"/>
      <c r="D59" s="62"/>
      <c r="E59" s="62"/>
      <c r="F59" s="62"/>
      <c r="G59" s="62"/>
    </row>
    <row r="60" spans="2:8" x14ac:dyDescent="0.3">
      <c r="B60" s="176" t="s">
        <v>181</v>
      </c>
      <c r="C60" s="62"/>
      <c r="D60" s="175">
        <f>(D26-C26)/C26</f>
        <v>-6.5104863133634047E-2</v>
      </c>
      <c r="E60" s="74">
        <f t="shared" ref="E60:G60" si="8">(E26-D26)/D26</f>
        <v>0.16321834052730921</v>
      </c>
      <c r="F60" s="74">
        <f t="shared" si="8"/>
        <v>0.38106608718959917</v>
      </c>
      <c r="G60" s="74">
        <f t="shared" si="8"/>
        <v>0.91162440811820689</v>
      </c>
      <c r="H60" s="97"/>
    </row>
    <row r="61" spans="2:8" x14ac:dyDescent="0.3">
      <c r="B61" s="62" t="s">
        <v>66</v>
      </c>
      <c r="C61" s="62"/>
      <c r="D61" s="74">
        <f>(D28-C28)/C28</f>
        <v>0.20778220271776335</v>
      </c>
      <c r="E61" s="74">
        <f t="shared" ref="E61:G61" si="9">(E28-D28)/D28</f>
        <v>0.28534441176542169</v>
      </c>
      <c r="F61" s="74">
        <f t="shared" si="9"/>
        <v>0.20485795093480541</v>
      </c>
      <c r="G61" s="74">
        <f t="shared" si="9"/>
        <v>0.30934862808774155</v>
      </c>
      <c r="H61" s="97"/>
    </row>
    <row r="62" spans="2:8" x14ac:dyDescent="0.3">
      <c r="B62" s="62" t="s">
        <v>180</v>
      </c>
      <c r="C62" s="62"/>
      <c r="D62" s="74">
        <f>(D29-C29)/C29</f>
        <v>6.4498041377661935E-2</v>
      </c>
      <c r="E62" s="74">
        <f t="shared" ref="E62:G62" si="10">(E29-D29)/D29</f>
        <v>0.22391769245823268</v>
      </c>
      <c r="F62" s="74">
        <f t="shared" si="10"/>
        <v>0.12258179665231209</v>
      </c>
      <c r="G62" s="74">
        <f t="shared" si="10"/>
        <v>1.0966140638148398</v>
      </c>
      <c r="H62" s="97"/>
    </row>
    <row r="63" spans="2:8" x14ac:dyDescent="0.3">
      <c r="B63" s="62" t="s">
        <v>175</v>
      </c>
      <c r="C63" s="62"/>
      <c r="D63" s="74">
        <f>(D30-C30)/C30</f>
        <v>0.43204357741723654</v>
      </c>
      <c r="E63" s="74">
        <f t="shared" ref="E63:G63" si="11">(E30-D30)/D30</f>
        <v>0.3568108680498468</v>
      </c>
      <c r="F63" s="74">
        <f t="shared" si="11"/>
        <v>0.29120585689530065</v>
      </c>
      <c r="G63" s="175">
        <f t="shared" si="11"/>
        <v>-0.4089772604649915</v>
      </c>
      <c r="H63" s="97"/>
    </row>
    <row r="66" spans="2:7" x14ac:dyDescent="0.3">
      <c r="B66" s="177" t="s">
        <v>186</v>
      </c>
      <c r="C66" s="55"/>
    </row>
    <row r="67" spans="2:7" x14ac:dyDescent="0.3">
      <c r="B67" s="54" t="s">
        <v>184</v>
      </c>
      <c r="C67">
        <f>C3</f>
        <v>2020</v>
      </c>
      <c r="D67">
        <f t="shared" ref="D67:G67" si="12">D3</f>
        <v>2021</v>
      </c>
      <c r="E67">
        <f t="shared" si="12"/>
        <v>2022</v>
      </c>
      <c r="F67">
        <f t="shared" si="12"/>
        <v>2023</v>
      </c>
      <c r="G67">
        <f t="shared" si="12"/>
        <v>2024</v>
      </c>
    </row>
    <row r="68" spans="2:7" x14ac:dyDescent="0.3">
      <c r="B68" t="s">
        <v>170</v>
      </c>
      <c r="C68">
        <f>C6</f>
        <v>26558.44</v>
      </c>
      <c r="D68">
        <f t="shared" ref="D68:G68" si="13">D6</f>
        <v>32337.67</v>
      </c>
      <c r="E68">
        <f t="shared" si="13"/>
        <v>34385.120000000003</v>
      </c>
      <c r="F68">
        <f t="shared" si="13"/>
        <v>34322.910000000003</v>
      </c>
      <c r="G68">
        <f t="shared" si="13"/>
        <v>61653.66</v>
      </c>
    </row>
    <row r="69" spans="2:7" x14ac:dyDescent="0.3">
      <c r="B69" t="s">
        <v>183</v>
      </c>
      <c r="C69" s="55">
        <f>C26</f>
        <v>61134.45</v>
      </c>
      <c r="D69" s="55">
        <f t="shared" ref="D69:G69" si="14">D26</f>
        <v>57154.3</v>
      </c>
      <c r="E69" s="55">
        <f t="shared" si="14"/>
        <v>66482.929999999993</v>
      </c>
      <c r="F69" s="55">
        <f t="shared" si="14"/>
        <v>91817.32</v>
      </c>
      <c r="G69" s="55">
        <f t="shared" si="14"/>
        <v>175520.23</v>
      </c>
    </row>
    <row r="70" spans="2:7" x14ac:dyDescent="0.3">
      <c r="B70" t="s">
        <v>182</v>
      </c>
      <c r="C70" s="55">
        <f>C16</f>
        <v>107999.94</v>
      </c>
      <c r="D70" s="55">
        <f t="shared" ref="D70:G70" si="15">D16</f>
        <v>110210.21</v>
      </c>
      <c r="E70" s="55">
        <f t="shared" si="15"/>
        <v>115189.91</v>
      </c>
      <c r="F70" s="55">
        <f t="shared" si="15"/>
        <v>142272.51</v>
      </c>
      <c r="G70" s="55">
        <f t="shared" si="15"/>
        <v>233634.5</v>
      </c>
    </row>
    <row r="71" spans="2:7" x14ac:dyDescent="0.3">
      <c r="B71" t="s">
        <v>185</v>
      </c>
      <c r="C71" s="55">
        <f>C36</f>
        <v>28028.21</v>
      </c>
      <c r="D71" s="55">
        <f t="shared" ref="D71:G71" si="16">D36</f>
        <v>29759.68</v>
      </c>
      <c r="E71" s="55">
        <f t="shared" si="16"/>
        <v>21496.22</v>
      </c>
      <c r="F71" s="55">
        <f t="shared" si="16"/>
        <v>37845.03</v>
      </c>
      <c r="G71" s="55">
        <f t="shared" si="16"/>
        <v>30050.38</v>
      </c>
    </row>
    <row r="73" spans="2:7" x14ac:dyDescent="0.3">
      <c r="B73" s="54" t="s">
        <v>66</v>
      </c>
      <c r="C73">
        <f>C67</f>
        <v>2020</v>
      </c>
      <c r="D73">
        <f t="shared" ref="D73:G73" si="17">D67</f>
        <v>2021</v>
      </c>
      <c r="E73">
        <f t="shared" si="17"/>
        <v>2022</v>
      </c>
      <c r="F73">
        <f t="shared" si="17"/>
        <v>2023</v>
      </c>
      <c r="G73">
        <f t="shared" si="17"/>
        <v>2024</v>
      </c>
    </row>
    <row r="74" spans="2:7" x14ac:dyDescent="0.3">
      <c r="B74" t="s">
        <v>170</v>
      </c>
      <c r="C74">
        <f>C8</f>
        <v>457240.91</v>
      </c>
      <c r="D74">
        <f t="shared" ref="D74:G74" si="18">D8</f>
        <v>519641.74</v>
      </c>
      <c r="E74">
        <f t="shared" si="18"/>
        <v>551767.34</v>
      </c>
      <c r="F74">
        <f t="shared" si="18"/>
        <v>641108.56000000006</v>
      </c>
      <c r="G74">
        <f t="shared" si="18"/>
        <v>822926.8</v>
      </c>
    </row>
    <row r="75" spans="2:7" x14ac:dyDescent="0.3">
      <c r="B75" t="s">
        <v>183</v>
      </c>
      <c r="C75" s="55">
        <f>C28</f>
        <v>520567.01</v>
      </c>
      <c r="D75" s="55">
        <f t="shared" ref="D75:G75" si="19">D28</f>
        <v>628731.56999999995</v>
      </c>
      <c r="E75" s="55">
        <f t="shared" si="19"/>
        <v>808136.61</v>
      </c>
      <c r="F75" s="55">
        <f t="shared" si="19"/>
        <v>973689.82</v>
      </c>
      <c r="G75" s="55">
        <f t="shared" si="19"/>
        <v>1274899.43</v>
      </c>
    </row>
    <row r="76" spans="2:7" x14ac:dyDescent="0.3">
      <c r="B76" t="s">
        <v>182</v>
      </c>
      <c r="C76" s="55">
        <f t="shared" ref="C76:G76" si="20">C29</f>
        <v>317628.87</v>
      </c>
      <c r="D76" s="55">
        <f t="shared" si="20"/>
        <v>338115.31</v>
      </c>
      <c r="E76" s="55">
        <f t="shared" si="20"/>
        <v>413825.31</v>
      </c>
      <c r="F76" s="55">
        <f t="shared" si="20"/>
        <v>464552.76</v>
      </c>
      <c r="G76" s="55">
        <f t="shared" si="20"/>
        <v>973987.85</v>
      </c>
    </row>
    <row r="77" spans="2:7" x14ac:dyDescent="0.3">
      <c r="B77" t="s">
        <v>185</v>
      </c>
      <c r="C77" s="55">
        <f t="shared" ref="C77:G77" si="21">C30</f>
        <v>202938.14</v>
      </c>
      <c r="D77" s="55">
        <f t="shared" si="21"/>
        <v>290616.26</v>
      </c>
      <c r="E77" s="55">
        <f t="shared" si="21"/>
        <v>394311.3</v>
      </c>
      <c r="F77" s="55">
        <f t="shared" si="21"/>
        <v>509137.05999999994</v>
      </c>
      <c r="G77" s="55">
        <f t="shared" si="21"/>
        <v>300911.57999999996</v>
      </c>
    </row>
    <row r="79" spans="2:7" x14ac:dyDescent="0.3">
      <c r="B79" s="54" t="s">
        <v>180</v>
      </c>
      <c r="C79">
        <f>C73</f>
        <v>2020</v>
      </c>
      <c r="D79">
        <f t="shared" ref="D79:G79" si="22">D73</f>
        <v>2021</v>
      </c>
      <c r="E79">
        <f t="shared" si="22"/>
        <v>2022</v>
      </c>
      <c r="F79">
        <f t="shared" si="22"/>
        <v>2023</v>
      </c>
      <c r="G79">
        <f t="shared" si="22"/>
        <v>2024</v>
      </c>
    </row>
    <row r="80" spans="2:7" x14ac:dyDescent="0.3">
      <c r="B80" t="s">
        <v>170</v>
      </c>
      <c r="C80">
        <f>C9</f>
        <v>102012.1</v>
      </c>
      <c r="D80">
        <f t="shared" ref="D80:G80" si="23">D9</f>
        <v>76276.600000000006</v>
      </c>
      <c r="E80">
        <f t="shared" si="23"/>
        <v>77273.63</v>
      </c>
      <c r="F80">
        <f t="shared" si="23"/>
        <v>73308.77</v>
      </c>
      <c r="G80">
        <f t="shared" si="23"/>
        <v>94557.67</v>
      </c>
    </row>
    <row r="81" spans="2:7" x14ac:dyDescent="0.3">
      <c r="B81" t="s">
        <v>183</v>
      </c>
      <c r="C81" s="55">
        <f>C29</f>
        <v>317628.87</v>
      </c>
      <c r="D81" s="55">
        <f t="shared" ref="D81:G81" si="24">D29</f>
        <v>338115.31</v>
      </c>
      <c r="E81" s="55">
        <f t="shared" si="24"/>
        <v>413825.31</v>
      </c>
      <c r="F81" s="55">
        <f t="shared" si="24"/>
        <v>464552.76</v>
      </c>
      <c r="G81" s="55">
        <f t="shared" si="24"/>
        <v>973987.85</v>
      </c>
    </row>
    <row r="82" spans="2:7" x14ac:dyDescent="0.3">
      <c r="B82" t="s">
        <v>182</v>
      </c>
      <c r="C82">
        <f>C9</f>
        <v>102012.1</v>
      </c>
      <c r="D82">
        <f t="shared" ref="D82:G82" si="25">D9</f>
        <v>76276.600000000006</v>
      </c>
      <c r="E82">
        <f t="shared" si="25"/>
        <v>77273.63</v>
      </c>
      <c r="F82">
        <f t="shared" si="25"/>
        <v>73308.77</v>
      </c>
      <c r="G82">
        <f t="shared" si="25"/>
        <v>94557.67</v>
      </c>
    </row>
    <row r="83" spans="2:7" x14ac:dyDescent="0.3">
      <c r="B83" t="s">
        <v>185</v>
      </c>
      <c r="C83" s="55">
        <f>C39</f>
        <v>49402.29</v>
      </c>
      <c r="D83" s="55">
        <f t="shared" ref="D83:G83" si="26">D39</f>
        <v>51771.65</v>
      </c>
      <c r="E83" s="55">
        <f t="shared" si="26"/>
        <v>5994.76</v>
      </c>
      <c r="F83" s="55">
        <f t="shared" si="26"/>
        <v>61270.83</v>
      </c>
      <c r="G83" s="55">
        <f t="shared" si="26"/>
        <v>8212.98</v>
      </c>
    </row>
    <row r="86" spans="2:7" x14ac:dyDescent="0.3">
      <c r="B86" t="s">
        <v>197</v>
      </c>
      <c r="C86">
        <f>C42+C32+C22+C12</f>
        <v>1276.77</v>
      </c>
      <c r="D86">
        <f t="shared" ref="D86:G86" si="27">D42+D32+D22+D12</f>
        <v>1385.01</v>
      </c>
      <c r="E86">
        <f t="shared" si="27"/>
        <v>1599.8000000000002</v>
      </c>
      <c r="F86">
        <f t="shared" si="27"/>
        <v>2345.4700000000003</v>
      </c>
      <c r="G86">
        <f t="shared" si="27"/>
        <v>2810.1000000000004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IS</vt:lpstr>
      <vt:lpstr>BS</vt:lpstr>
      <vt:lpstr>CF</vt:lpstr>
      <vt:lpstr>DCF Model</vt:lpstr>
      <vt:lpstr>Comparative Analysis</vt:lpstr>
      <vt:lpstr>Peer DCF Comparison</vt:lpstr>
      <vt:lpstr>Debt Analysis</vt:lpstr>
      <vt:lpstr>Segmental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doiphode</dc:creator>
  <cp:lastModifiedBy>devang doiphode</cp:lastModifiedBy>
  <dcterms:created xsi:type="dcterms:W3CDTF">2024-12-30T16:06:54Z</dcterms:created>
  <dcterms:modified xsi:type="dcterms:W3CDTF">2025-04-02T13:01:22Z</dcterms:modified>
</cp:coreProperties>
</file>