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58C2E863-5CB3-4EDA-AF34-04806C422FDC}" xr6:coauthVersionLast="47" xr6:coauthVersionMax="47" xr10:uidLastSave="{00000000-0000-0000-0000-000000000000}"/>
  <bookViews>
    <workbookView xWindow="11424" yWindow="0" windowWidth="11712" windowHeight="12336" activeTab="2" xr2:uid="{98415627-41F9-4299-A184-884543B21DFC}"/>
  </bookViews>
  <sheets>
    <sheet name="Companies" sheetId="1" r:id="rId1"/>
    <sheet name="Financials" sheetId="2" r:id="rId2"/>
    <sheet name="DCF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" i="3" l="1"/>
  <c r="D52" i="3"/>
  <c r="C52" i="3"/>
  <c r="C59" i="3"/>
  <c r="E54" i="3"/>
  <c r="E59" i="3" s="1"/>
  <c r="D54" i="3"/>
  <c r="D59" i="3" s="1"/>
  <c r="C54" i="3"/>
  <c r="D49" i="3"/>
  <c r="E49" i="3" s="1"/>
  <c r="C44" i="3"/>
  <c r="C42" i="3"/>
  <c r="C41" i="3"/>
  <c r="O26" i="3"/>
  <c r="N26" i="3"/>
  <c r="M26" i="3"/>
  <c r="O21" i="3"/>
  <c r="N21" i="3"/>
  <c r="M21" i="3"/>
  <c r="O19" i="3"/>
  <c r="N19" i="3"/>
  <c r="M19" i="3"/>
  <c r="N16" i="3"/>
  <c r="O16" i="3" s="1"/>
  <c r="M11" i="3"/>
  <c r="M9" i="3"/>
  <c r="J21" i="3"/>
  <c r="J26" i="3" s="1"/>
  <c r="I21" i="3"/>
  <c r="I26" i="3" s="1"/>
  <c r="H21" i="3"/>
  <c r="H26" i="3" s="1"/>
  <c r="J19" i="3"/>
  <c r="I19" i="3"/>
  <c r="H19" i="3"/>
  <c r="I16" i="3"/>
  <c r="J16" i="3" s="1"/>
  <c r="H9" i="3"/>
  <c r="H11" i="3" s="1"/>
  <c r="C9" i="3"/>
  <c r="C11" i="3" s="1"/>
  <c r="C8" i="3"/>
  <c r="D61" i="3" l="1"/>
  <c r="C61" i="3"/>
  <c r="E61" i="3"/>
  <c r="E60" i="3"/>
  <c r="E62" i="3" s="1"/>
  <c r="M28" i="3"/>
  <c r="N28" i="3"/>
  <c r="O28" i="3"/>
  <c r="O27" i="3"/>
  <c r="O29" i="3" s="1"/>
  <c r="I28" i="3"/>
  <c r="H28" i="3"/>
  <c r="J27" i="3"/>
  <c r="J29" i="3" s="1"/>
  <c r="J28" i="3"/>
  <c r="J30" i="3" s="1"/>
  <c r="E21" i="3"/>
  <c r="E26" i="3" s="1"/>
  <c r="D21" i="3"/>
  <c r="D26" i="3" s="1"/>
  <c r="D28" i="3" s="1"/>
  <c r="C21" i="3"/>
  <c r="C26" i="3" s="1"/>
  <c r="C28" i="3" s="1"/>
  <c r="E19" i="3"/>
  <c r="D19" i="3"/>
  <c r="C19" i="3"/>
  <c r="D16" i="3"/>
  <c r="E16" i="3" s="1"/>
  <c r="E63" i="3" l="1"/>
  <c r="E65" i="3" s="1"/>
  <c r="E66" i="3" s="1"/>
  <c r="O30" i="3"/>
  <c r="J32" i="3"/>
  <c r="J33" i="3" s="1"/>
  <c r="E28" i="3"/>
  <c r="E27" i="3"/>
  <c r="E29" i="3" s="1"/>
  <c r="H14" i="2"/>
  <c r="G14" i="2"/>
  <c r="F14" i="2"/>
  <c r="E14" i="2"/>
  <c r="D14" i="2"/>
  <c r="C14" i="2"/>
  <c r="H13" i="2"/>
  <c r="G13" i="2"/>
  <c r="F13" i="2"/>
  <c r="E13" i="2"/>
  <c r="D13" i="2"/>
  <c r="C13" i="2"/>
  <c r="O32" i="3" l="1"/>
  <c r="O33" i="3" s="1"/>
  <c r="E30" i="3"/>
  <c r="E32" i="3" s="1"/>
  <c r="E33" i="3" s="1"/>
</calcChain>
</file>

<file path=xl/sharedStrings.xml><?xml version="1.0" encoding="utf-8"?>
<sst xmlns="http://schemas.openxmlformats.org/spreadsheetml/2006/main" count="138" uniqueCount="53">
  <si>
    <t>Companies</t>
  </si>
  <si>
    <t>CMP</t>
  </si>
  <si>
    <t>Sun Pharma</t>
  </si>
  <si>
    <t>Dr. Reddy's Laboratories</t>
  </si>
  <si>
    <t>Cipla</t>
  </si>
  <si>
    <t>Lupin</t>
  </si>
  <si>
    <t>Aurobindo Pharma</t>
  </si>
  <si>
    <t>Zydus Lifesciences</t>
  </si>
  <si>
    <t>Financial Data</t>
  </si>
  <si>
    <t>Revenue</t>
  </si>
  <si>
    <t>EBITDA</t>
  </si>
  <si>
    <t>Net Profit</t>
  </si>
  <si>
    <t>EPS</t>
  </si>
  <si>
    <t>Dr Reddy</t>
  </si>
  <si>
    <t>All Figures in Cr.</t>
  </si>
  <si>
    <t>P/E</t>
  </si>
  <si>
    <t>EV/EBITDA</t>
  </si>
  <si>
    <t>P/B</t>
  </si>
  <si>
    <t>x</t>
  </si>
  <si>
    <t>Financial Health &amp; Returns</t>
  </si>
  <si>
    <t>ROE</t>
  </si>
  <si>
    <t>ROCE</t>
  </si>
  <si>
    <t>Debt-Equity Ratio</t>
  </si>
  <si>
    <t>Dividend Yield (%)</t>
  </si>
  <si>
    <t>Growth Rate</t>
  </si>
  <si>
    <t>Revenue Growth</t>
  </si>
  <si>
    <t>EBITDA Margin</t>
  </si>
  <si>
    <t>Capital Expenditure</t>
  </si>
  <si>
    <t>Change in WC</t>
  </si>
  <si>
    <t>Tax Rate</t>
  </si>
  <si>
    <t>Valuation</t>
  </si>
  <si>
    <t>Enterprise Value</t>
  </si>
  <si>
    <t xml:space="preserve">DCF Model </t>
  </si>
  <si>
    <t>FCFE</t>
  </si>
  <si>
    <t>Income Tax</t>
  </si>
  <si>
    <t>Net Cash Flow</t>
  </si>
  <si>
    <t>CWIP</t>
  </si>
  <si>
    <t>Net Borrowing</t>
  </si>
  <si>
    <t>Terminal Value</t>
  </si>
  <si>
    <t>Equity Value</t>
  </si>
  <si>
    <t>Intrinsic Value/ Share</t>
  </si>
  <si>
    <t xml:space="preserve"> Depreciation Expenses</t>
  </si>
  <si>
    <t>Capital Expenses</t>
  </si>
  <si>
    <t>Risk Free Rate</t>
  </si>
  <si>
    <t xml:space="preserve">Beta </t>
  </si>
  <si>
    <t>Market Return</t>
  </si>
  <si>
    <t>Market Risk Premium</t>
  </si>
  <si>
    <t>Cost of Equity</t>
  </si>
  <si>
    <t>Growth Rate (g)</t>
  </si>
  <si>
    <t>Shares outstanding</t>
  </si>
  <si>
    <t>PV of Terminal Value</t>
  </si>
  <si>
    <t>PV of FCFE</t>
  </si>
  <si>
    <t>Profit/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</si>
</sst>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%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i/>
      <u/>
      <sz val="11"/>
      <color theme="1"/>
      <name val="Aptos Narrow"/>
      <family val="2"/>
    </font>
    <font>
      <sz val="11"/>
      <color rgb="FF333333"/>
      <name val="Aptos Narrow"/>
      <family val="2"/>
    </font>
    <font>
      <i/>
      <sz val="11"/>
      <color theme="1"/>
      <name val="Aptos Narrow"/>
      <family val="2"/>
    </font>
    <font>
      <b/>
      <i/>
      <sz val="11"/>
      <color theme="1"/>
      <name val="Aptos Narrow"/>
      <family val="2"/>
    </font>
    <font>
      <sz val="11"/>
      <color rgb="FF22222F"/>
      <name val="Aptos Narrow"/>
      <family val="2"/>
    </font>
    <font>
      <sz val="11"/>
      <color rgb="FF22222F"/>
      <name val="Aptos Narrow"/>
      <family val="2"/>
    </font>
    <font>
      <b/>
      <sz val="11"/>
      <color rgb="FFE8E8E8"/>
      <name val="Aptos Narrow"/>
      <family val="2"/>
    </font>
    <font>
      <b/>
      <sz val="11"/>
      <color rgb="FFFF0000"/>
      <name val="Aptos Narrow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BE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10121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EEEEE"/>
      </left>
      <right style="medium">
        <color rgb="FFEEEEEE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3" fillId="2" borderId="0" xfId="0" applyFont="1" applyFill="1"/>
    <xf numFmtId="4" fontId="5" fillId="0" borderId="0" xfId="0" applyNumberFormat="1" applyFont="1"/>
    <xf numFmtId="0" fontId="6" fillId="0" borderId="0" xfId="0" applyFont="1" applyAlignment="1">
      <alignment horizontal="left" indent="1"/>
    </xf>
    <xf numFmtId="0" fontId="6" fillId="0" borderId="0" xfId="0" applyFont="1"/>
    <xf numFmtId="0" fontId="2" fillId="0" borderId="1" xfId="0" applyFont="1" applyBorder="1"/>
    <xf numFmtId="10" fontId="2" fillId="5" borderId="1" xfId="0" applyNumberFormat="1" applyFont="1" applyFill="1" applyBorder="1"/>
    <xf numFmtId="9" fontId="2" fillId="5" borderId="1" xfId="0" applyNumberFormat="1" applyFont="1" applyFill="1" applyBorder="1"/>
    <xf numFmtId="0" fontId="3" fillId="0" borderId="1" xfId="0" applyFont="1" applyBorder="1"/>
    <xf numFmtId="164" fontId="2" fillId="5" borderId="1" xfId="0" applyNumberFormat="1" applyFont="1" applyFill="1" applyBorder="1"/>
    <xf numFmtId="164" fontId="3" fillId="5" borderId="1" xfId="0" applyNumberFormat="1" applyFont="1" applyFill="1" applyBorder="1"/>
    <xf numFmtId="0" fontId="7" fillId="0" borderId="1" xfId="0" applyFont="1" applyBorder="1"/>
    <xf numFmtId="10" fontId="2" fillId="0" borderId="1" xfId="0" applyNumberFormat="1" applyFont="1" applyBorder="1"/>
    <xf numFmtId="0" fontId="7" fillId="0" borderId="0" xfId="0" applyFont="1"/>
    <xf numFmtId="4" fontId="2" fillId="0" borderId="1" xfId="0" applyNumberFormat="1" applyFont="1" applyBorder="1"/>
    <xf numFmtId="0" fontId="8" fillId="3" borderId="1" xfId="0" applyFont="1" applyFill="1" applyBorder="1" applyAlignment="1">
      <alignment horizontal="right" vertical="center" wrapText="1"/>
    </xf>
    <xf numFmtId="4" fontId="3" fillId="4" borderId="1" xfId="0" applyNumberFormat="1" applyFont="1" applyFill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6" borderId="1" xfId="0" applyFont="1" applyFill="1" applyBorder="1"/>
    <xf numFmtId="3" fontId="2" fillId="0" borderId="1" xfId="0" applyNumberFormat="1" applyFont="1" applyBorder="1"/>
    <xf numFmtId="3" fontId="2" fillId="0" borderId="0" xfId="0" applyNumberFormat="1" applyFont="1"/>
    <xf numFmtId="0" fontId="9" fillId="3" borderId="0" xfId="0" applyFont="1" applyFill="1" applyAlignment="1">
      <alignment horizontal="right" vertical="center" wrapText="1"/>
    </xf>
    <xf numFmtId="3" fontId="8" fillId="3" borderId="1" xfId="0" applyNumberFormat="1" applyFont="1" applyFill="1" applyBorder="1" applyAlignment="1">
      <alignment horizontal="right" vertical="center" wrapText="1"/>
    </xf>
    <xf numFmtId="0" fontId="8" fillId="3" borderId="0" xfId="0" applyFont="1" applyFill="1" applyAlignment="1">
      <alignment horizontal="right" vertical="center" wrapText="1"/>
    </xf>
    <xf numFmtId="3" fontId="8" fillId="3" borderId="0" xfId="0" applyNumberFormat="1" applyFont="1" applyFill="1" applyAlignment="1">
      <alignment horizontal="right" vertical="center" wrapText="1"/>
    </xf>
    <xf numFmtId="3" fontId="8" fillId="0" borderId="1" xfId="0" applyNumberFormat="1" applyFont="1" applyBorder="1"/>
    <xf numFmtId="0" fontId="10" fillId="7" borderId="0" xfId="0" applyFont="1" applyFill="1" applyAlignment="1">
      <alignment vertical="center" wrapText="1"/>
    </xf>
    <xf numFmtId="3" fontId="11" fillId="0" borderId="0" xfId="0" applyNumberFormat="1" applyFont="1"/>
    <xf numFmtId="4" fontId="3" fillId="4" borderId="2" xfId="0" applyNumberFormat="1" applyFont="1" applyFill="1" applyBorder="1" applyAlignment="1">
      <alignment horizontal="right" vertical="center" wrapText="1"/>
    </xf>
    <xf numFmtId="4" fontId="3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4" fontId="12" fillId="4" borderId="2" xfId="0" applyNumberFormat="1" applyFont="1" applyFill="1" applyBorder="1" applyAlignment="1">
      <alignment horizontal="right" vertical="center" wrapText="1"/>
    </xf>
    <xf numFmtId="0" fontId="12" fillId="4" borderId="2" xfId="0" applyFont="1" applyFill="1" applyBorder="1" applyAlignment="1">
      <alignment horizontal="right" vertical="center" wrapText="1"/>
    </xf>
    <xf numFmtId="4" fontId="12" fillId="3" borderId="2" xfId="0" applyNumberFormat="1" applyFont="1" applyFill="1" applyBorder="1" applyAlignment="1">
      <alignment horizontal="right" vertical="center" wrapText="1"/>
    </xf>
    <xf numFmtId="0" fontId="12" fillId="3" borderId="2" xfId="0" applyFont="1" applyFill="1" applyBorder="1" applyAlignment="1">
      <alignment horizontal="right" vertical="center" wrapText="1"/>
    </xf>
    <xf numFmtId="4" fontId="13" fillId="3" borderId="2" xfId="0" applyNumberFormat="1" applyFont="1" applyFill="1" applyBorder="1" applyAlignment="1">
      <alignment horizontal="right" vertical="center" wrapText="1"/>
    </xf>
    <xf numFmtId="3" fontId="14" fillId="3" borderId="0" xfId="0" applyNumberFormat="1" applyFont="1" applyFill="1" applyAlignment="1">
      <alignment horizontal="right" vertical="center" wrapText="1"/>
    </xf>
    <xf numFmtId="3" fontId="15" fillId="3" borderId="0" xfId="0" applyNumberFormat="1" applyFont="1" applyFill="1" applyAlignment="1">
      <alignment horizontal="right" vertical="center" wrapText="1"/>
    </xf>
    <xf numFmtId="0" fontId="15" fillId="3" borderId="0" xfId="0" applyFont="1" applyFill="1" applyAlignment="1">
      <alignment horizontal="right" vertical="center" wrapText="1"/>
    </xf>
    <xf numFmtId="3" fontId="16" fillId="0" borderId="0" xfId="0" applyNumberFormat="1" applyFont="1"/>
    <xf numFmtId="0" fontId="17" fillId="0" borderId="0" xfId="0" applyFont="1"/>
    <xf numFmtId="0" fontId="18" fillId="0" borderId="1" xfId="0" applyFont="1" applyBorder="1"/>
    <xf numFmtId="0" fontId="1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5D21-60CD-4307-BF82-C45CD27851F4}">
  <dimension ref="A2:C8"/>
  <sheetViews>
    <sheetView workbookViewId="0">
      <selection activeCell="B7" sqref="B7"/>
    </sheetView>
  </sheetViews>
  <sheetFormatPr defaultRowHeight="14.4" x14ac:dyDescent="0.3"/>
  <cols>
    <col min="1" max="1" width="3.44140625" customWidth="1"/>
    <col min="2" max="2" width="21.109375" bestFit="1" customWidth="1"/>
  </cols>
  <sheetData>
    <row r="2" spans="1:3" x14ac:dyDescent="0.3">
      <c r="A2" t="s">
        <v>18</v>
      </c>
      <c r="B2" s="1" t="s">
        <v>0</v>
      </c>
      <c r="C2" s="1" t="s">
        <v>1</v>
      </c>
    </row>
    <row r="3" spans="1:3" x14ac:dyDescent="0.3">
      <c r="B3" s="2" t="s">
        <v>2</v>
      </c>
      <c r="C3" s="2">
        <v>1737.15</v>
      </c>
    </row>
    <row r="4" spans="1:3" x14ac:dyDescent="0.3">
      <c r="B4" s="2" t="s">
        <v>3</v>
      </c>
      <c r="C4" s="2">
        <v>1196</v>
      </c>
    </row>
    <row r="5" spans="1:3" x14ac:dyDescent="0.3">
      <c r="B5" s="2" t="s">
        <v>4</v>
      </c>
      <c r="C5" s="2">
        <v>1458.95</v>
      </c>
    </row>
    <row r="6" spans="1:3" x14ac:dyDescent="0.3">
      <c r="B6" s="2" t="s">
        <v>5</v>
      </c>
      <c r="C6" s="2">
        <v>2053.15</v>
      </c>
    </row>
    <row r="7" spans="1:3" x14ac:dyDescent="0.3">
      <c r="B7" s="2" t="s">
        <v>6</v>
      </c>
      <c r="C7" s="2">
        <v>1178</v>
      </c>
    </row>
    <row r="8" spans="1:3" x14ac:dyDescent="0.3">
      <c r="B8" s="2" t="s">
        <v>7</v>
      </c>
      <c r="C8" s="2">
        <v>950.85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823E-1C05-4AA4-A1FB-8A35940B460C}">
  <dimension ref="A3:H29"/>
  <sheetViews>
    <sheetView workbookViewId="0">
      <selection activeCell="G29" sqref="G29"/>
    </sheetView>
  </sheetViews>
  <sheetFormatPr defaultRowHeight="14.4" x14ac:dyDescent="0.3"/>
  <cols>
    <col min="1" max="1" width="2" style="3" customWidth="1"/>
    <col min="2" max="2" width="23.33203125" style="3" bestFit="1" customWidth="1"/>
    <col min="3" max="3" width="11.21875" style="3" bestFit="1" customWidth="1"/>
    <col min="4" max="4" width="10.109375" style="3" bestFit="1" customWidth="1"/>
    <col min="5" max="6" width="8.88671875" style="3"/>
    <col min="7" max="7" width="17.21875" style="3" bestFit="1" customWidth="1"/>
    <col min="8" max="8" width="15.88671875" style="3" bestFit="1" customWidth="1"/>
    <col min="9" max="16384" width="8.88671875" style="3"/>
  </cols>
  <sheetData>
    <row r="3" spans="1:8" x14ac:dyDescent="0.3">
      <c r="A3" s="3" t="s">
        <v>18</v>
      </c>
      <c r="B3" s="4" t="s">
        <v>8</v>
      </c>
    </row>
    <row r="4" spans="1:8" x14ac:dyDescent="0.3">
      <c r="B4" s="5" t="s">
        <v>14</v>
      </c>
    </row>
    <row r="5" spans="1:8" x14ac:dyDescent="0.3">
      <c r="B5" s="6"/>
      <c r="C5" s="7" t="s">
        <v>2</v>
      </c>
      <c r="D5" s="7" t="s">
        <v>13</v>
      </c>
      <c r="E5" s="7" t="s">
        <v>4</v>
      </c>
      <c r="F5" s="7" t="s">
        <v>5</v>
      </c>
      <c r="G5" s="7" t="s">
        <v>6</v>
      </c>
      <c r="H5" s="7" t="s">
        <v>7</v>
      </c>
    </row>
    <row r="6" spans="1:8" x14ac:dyDescent="0.3">
      <c r="B6" s="9" t="s">
        <v>9</v>
      </c>
      <c r="C6" s="3">
        <v>20740.93</v>
      </c>
      <c r="D6" s="3">
        <v>20346.099999999999</v>
      </c>
      <c r="E6" s="3">
        <v>17645</v>
      </c>
      <c r="F6" s="3">
        <v>14773.23</v>
      </c>
      <c r="G6" s="3">
        <v>11430.28</v>
      </c>
      <c r="H6" s="3">
        <v>19831.5</v>
      </c>
    </row>
    <row r="7" spans="1:8" x14ac:dyDescent="0.3">
      <c r="B7" s="9" t="s">
        <v>10</v>
      </c>
      <c r="C7" s="3">
        <v>3449.65</v>
      </c>
      <c r="D7" s="3">
        <v>5791.3</v>
      </c>
      <c r="E7" s="3">
        <v>4946.97</v>
      </c>
      <c r="F7" s="3">
        <v>2784.69</v>
      </c>
      <c r="G7" s="3">
        <v>2455.27</v>
      </c>
      <c r="H7" s="3">
        <v>4808.8999999999996</v>
      </c>
    </row>
    <row r="8" spans="1:8" x14ac:dyDescent="0.3">
      <c r="B8" s="9" t="s">
        <v>11</v>
      </c>
      <c r="C8" s="3">
        <v>2858.18</v>
      </c>
      <c r="D8" s="3">
        <v>4342</v>
      </c>
      <c r="E8" s="3">
        <v>4077.25</v>
      </c>
      <c r="F8" s="3">
        <v>2326.09</v>
      </c>
      <c r="G8" s="3">
        <v>1954.14</v>
      </c>
      <c r="H8" s="3">
        <v>3854.4</v>
      </c>
    </row>
    <row r="9" spans="1:8" x14ac:dyDescent="0.3">
      <c r="B9" s="9" t="s">
        <v>12</v>
      </c>
      <c r="C9" s="3">
        <v>11.9</v>
      </c>
      <c r="D9" s="3">
        <v>260.95</v>
      </c>
      <c r="E9" s="3">
        <v>50.51</v>
      </c>
      <c r="F9" s="3">
        <v>51.1</v>
      </c>
      <c r="G9" s="3">
        <v>33.35</v>
      </c>
      <c r="H9" s="3">
        <v>38</v>
      </c>
    </row>
    <row r="10" spans="1:8" x14ac:dyDescent="0.3">
      <c r="B10" s="4"/>
    </row>
    <row r="12" spans="1:8" x14ac:dyDescent="0.3">
      <c r="A12" s="3" t="s">
        <v>18</v>
      </c>
      <c r="B12" s="7" t="s">
        <v>30</v>
      </c>
      <c r="C12" s="6"/>
      <c r="D12" s="6"/>
      <c r="E12" s="6"/>
      <c r="F12" s="6"/>
      <c r="G12" s="6"/>
      <c r="H12" s="6"/>
    </row>
    <row r="13" spans="1:8" x14ac:dyDescent="0.3">
      <c r="B13" s="9" t="s">
        <v>15</v>
      </c>
      <c r="C13" s="3">
        <f>Companies!C3/Financials!C9</f>
        <v>145.97899159663865</v>
      </c>
      <c r="D13" s="3">
        <f>Companies!C4/Financials!D9</f>
        <v>4.5832534968384753</v>
      </c>
      <c r="E13" s="3">
        <f>Companies!C5/Financials!E9</f>
        <v>28.884379330825581</v>
      </c>
      <c r="F13" s="3">
        <f>Companies!C6/Financials!F9</f>
        <v>40.179060665362037</v>
      </c>
      <c r="G13" s="3">
        <f>Companies!C7/Financials!G9</f>
        <v>35.322338830584705</v>
      </c>
      <c r="H13" s="3">
        <f>Financials!C8/Financials!H9</f>
        <v>75.215263157894739</v>
      </c>
    </row>
    <row r="14" spans="1:8" x14ac:dyDescent="0.3">
      <c r="B14" s="9" t="s">
        <v>16</v>
      </c>
      <c r="C14" s="3">
        <f t="shared" ref="C14:H14" si="0">C16/C7</f>
        <v>115.81313756468046</v>
      </c>
      <c r="D14" s="3">
        <f t="shared" si="0"/>
        <v>17.640426156476092</v>
      </c>
      <c r="E14" s="3">
        <f t="shared" si="0"/>
        <v>24.325469934121287</v>
      </c>
      <c r="F14" s="3">
        <f t="shared" si="0"/>
        <v>26.431994225569095</v>
      </c>
      <c r="G14" s="3">
        <f t="shared" si="0"/>
        <v>27.106745897599858</v>
      </c>
      <c r="H14" s="3">
        <f t="shared" si="0"/>
        <v>22.226964586495875</v>
      </c>
    </row>
    <row r="15" spans="1:8" x14ac:dyDescent="0.3">
      <c r="B15" s="9" t="s">
        <v>17</v>
      </c>
      <c r="C15" s="3">
        <v>16.41</v>
      </c>
      <c r="D15" s="3">
        <v>4.24</v>
      </c>
      <c r="E15" s="3">
        <v>4.3099999999999996</v>
      </c>
      <c r="F15" s="3">
        <v>3.58</v>
      </c>
      <c r="G15" s="3">
        <v>3.24</v>
      </c>
      <c r="H15" s="3">
        <v>6.43</v>
      </c>
    </row>
    <row r="16" spans="1:8" x14ac:dyDescent="0.3">
      <c r="B16" s="9" t="s">
        <v>31</v>
      </c>
      <c r="C16" s="3">
        <v>399514.79</v>
      </c>
      <c r="D16" s="8">
        <v>102161</v>
      </c>
      <c r="E16" s="3">
        <v>120337.37</v>
      </c>
      <c r="F16" s="3">
        <v>73604.91</v>
      </c>
      <c r="G16" s="8">
        <v>66554.38</v>
      </c>
      <c r="H16" s="3">
        <v>106887.25</v>
      </c>
    </row>
    <row r="18" spans="1:8" x14ac:dyDescent="0.3">
      <c r="A18" s="3" t="s">
        <v>18</v>
      </c>
      <c r="B18" s="7" t="s">
        <v>19</v>
      </c>
      <c r="C18" s="6"/>
      <c r="D18" s="6"/>
      <c r="E18" s="6"/>
      <c r="F18" s="6"/>
      <c r="G18" s="6"/>
      <c r="H18" s="6"/>
    </row>
    <row r="19" spans="1:8" x14ac:dyDescent="0.3">
      <c r="B19" s="9" t="s">
        <v>20</v>
      </c>
      <c r="C19" s="3">
        <v>12.06</v>
      </c>
      <c r="D19" s="3">
        <v>17.91</v>
      </c>
      <c r="E19" s="3">
        <v>14.57</v>
      </c>
      <c r="F19" s="3">
        <v>11.29</v>
      </c>
      <c r="G19" s="3">
        <v>9.9</v>
      </c>
    </row>
    <row r="20" spans="1:8" x14ac:dyDescent="0.3">
      <c r="B20" s="9" t="s">
        <v>21</v>
      </c>
      <c r="C20" s="3">
        <v>12.15</v>
      </c>
      <c r="D20" s="3">
        <v>23.41</v>
      </c>
      <c r="E20" s="3">
        <v>17.61</v>
      </c>
      <c r="F20" s="3">
        <v>13.38</v>
      </c>
      <c r="G20" s="3">
        <v>12.98</v>
      </c>
    </row>
    <row r="21" spans="1:8" x14ac:dyDescent="0.3">
      <c r="B21" s="9" t="s">
        <v>22</v>
      </c>
    </row>
    <row r="22" spans="1:8" x14ac:dyDescent="0.3">
      <c r="B22" s="9" t="s">
        <v>23</v>
      </c>
    </row>
    <row r="24" spans="1:8" x14ac:dyDescent="0.3">
      <c r="A24" s="3" t="s">
        <v>18</v>
      </c>
      <c r="B24" s="7" t="s">
        <v>24</v>
      </c>
      <c r="C24" s="6"/>
      <c r="D24" s="6"/>
      <c r="E24" s="6"/>
      <c r="F24" s="6"/>
      <c r="G24" s="6"/>
      <c r="H24" s="6"/>
    </row>
    <row r="25" spans="1:8" x14ac:dyDescent="0.3">
      <c r="B25" s="9" t="s">
        <v>25</v>
      </c>
    </row>
    <row r="26" spans="1:8" x14ac:dyDescent="0.3">
      <c r="B26" s="9" t="s">
        <v>26</v>
      </c>
    </row>
    <row r="27" spans="1:8" x14ac:dyDescent="0.3">
      <c r="B27" s="9" t="s">
        <v>27</v>
      </c>
    </row>
    <row r="28" spans="1:8" x14ac:dyDescent="0.3">
      <c r="B28" s="9" t="s">
        <v>28</v>
      </c>
    </row>
    <row r="29" spans="1:8" x14ac:dyDescent="0.3">
      <c r="B29" s="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62EE-E171-4545-85E9-1EB6A6414BEC}">
  <dimension ref="B2:O66"/>
  <sheetViews>
    <sheetView tabSelected="1" topLeftCell="A31" workbookViewId="0">
      <selection activeCell="E38" sqref="E38"/>
    </sheetView>
  </sheetViews>
  <sheetFormatPr defaultRowHeight="14.4" x14ac:dyDescent="0.3"/>
  <cols>
    <col min="1" max="1" width="4.109375" style="3" customWidth="1"/>
    <col min="2" max="2" width="21.6640625" style="3" bestFit="1" customWidth="1"/>
    <col min="3" max="3" width="12" style="3" bestFit="1" customWidth="1"/>
    <col min="4" max="6" width="8.88671875" style="3"/>
    <col min="7" max="7" width="21.21875" style="3" bestFit="1" customWidth="1"/>
    <col min="8" max="8" width="12" style="3" bestFit="1" customWidth="1"/>
    <col min="9" max="11" width="8.88671875" style="3"/>
    <col min="12" max="12" width="19.77734375" style="3" bestFit="1" customWidth="1"/>
    <col min="13" max="13" width="12.6640625" style="3" bestFit="1" customWidth="1"/>
    <col min="14" max="14" width="9.5546875" style="3" customWidth="1"/>
    <col min="15" max="16384" width="8.88671875" style="3"/>
  </cols>
  <sheetData>
    <row r="2" spans="2:15" x14ac:dyDescent="0.3">
      <c r="B2" s="4" t="s">
        <v>32</v>
      </c>
      <c r="G2" s="4"/>
    </row>
    <row r="3" spans="2:15" x14ac:dyDescent="0.3">
      <c r="B3" s="4"/>
      <c r="G3" s="4"/>
    </row>
    <row r="4" spans="2:15" x14ac:dyDescent="0.3">
      <c r="B4" s="10" t="s">
        <v>3</v>
      </c>
      <c r="G4" s="10" t="s">
        <v>4</v>
      </c>
      <c r="L4" s="10" t="s">
        <v>2</v>
      </c>
    </row>
    <row r="5" spans="2:15" x14ac:dyDescent="0.3">
      <c r="B5" s="11" t="s">
        <v>43</v>
      </c>
      <c r="C5" s="12">
        <v>7.3649999999999993E-2</v>
      </c>
      <c r="G5" s="11" t="s">
        <v>43</v>
      </c>
      <c r="H5" s="12">
        <v>7.3649999999999993E-2</v>
      </c>
      <c r="L5" s="11" t="s">
        <v>43</v>
      </c>
      <c r="M5" s="12">
        <v>7.3649999999999993E-2</v>
      </c>
    </row>
    <row r="6" spans="2:15" x14ac:dyDescent="0.3">
      <c r="B6" s="11" t="s">
        <v>44</v>
      </c>
      <c r="C6" s="4">
        <v>0.21299999999999999</v>
      </c>
      <c r="G6" s="11" t="s">
        <v>44</v>
      </c>
      <c r="H6" s="33">
        <v>0.439</v>
      </c>
      <c r="L6" s="11" t="s">
        <v>44</v>
      </c>
      <c r="M6" s="47">
        <v>0.9173</v>
      </c>
    </row>
    <row r="7" spans="2:15" x14ac:dyDescent="0.3">
      <c r="B7" s="11" t="s">
        <v>45</v>
      </c>
      <c r="C7" s="13">
        <v>0.15</v>
      </c>
      <c r="G7" s="11" t="s">
        <v>45</v>
      </c>
      <c r="H7" s="13">
        <v>0.15</v>
      </c>
      <c r="L7" s="11" t="s">
        <v>45</v>
      </c>
      <c r="M7" s="13">
        <v>0.15</v>
      </c>
    </row>
    <row r="8" spans="2:15" x14ac:dyDescent="0.3">
      <c r="B8" s="14" t="s">
        <v>1</v>
      </c>
      <c r="C8" s="14">
        <f>Companies!C4</f>
        <v>1196</v>
      </c>
      <c r="G8" s="14" t="s">
        <v>1</v>
      </c>
      <c r="H8" s="14">
        <v>1437</v>
      </c>
      <c r="L8" s="14" t="s">
        <v>1</v>
      </c>
      <c r="M8" s="14">
        <v>1742</v>
      </c>
    </row>
    <row r="9" spans="2:15" x14ac:dyDescent="0.3">
      <c r="B9" s="11" t="s">
        <v>46</v>
      </c>
      <c r="C9" s="15">
        <f>C7-C5</f>
        <v>7.6350000000000001E-2</v>
      </c>
      <c r="G9" s="11" t="s">
        <v>46</v>
      </c>
      <c r="H9" s="15">
        <f>H7-H5</f>
        <v>7.6350000000000001E-2</v>
      </c>
      <c r="L9" s="11" t="s">
        <v>46</v>
      </c>
      <c r="M9" s="15">
        <f>M7-M5</f>
        <v>7.6350000000000001E-2</v>
      </c>
    </row>
    <row r="10" spans="2:15" x14ac:dyDescent="0.3">
      <c r="B10" s="11"/>
      <c r="C10" s="11"/>
      <c r="G10" s="11"/>
      <c r="H10" s="11"/>
      <c r="L10" s="11"/>
      <c r="M10" s="11"/>
    </row>
    <row r="11" spans="2:15" x14ac:dyDescent="0.3">
      <c r="B11" s="14" t="s">
        <v>47</v>
      </c>
      <c r="C11" s="16">
        <f>C5+C6*C9</f>
        <v>8.9912549999999994E-2</v>
      </c>
      <c r="G11" s="14" t="s">
        <v>47</v>
      </c>
      <c r="H11" s="16">
        <f>H5+H6*H9</f>
        <v>0.10716765</v>
      </c>
      <c r="L11" s="14" t="s">
        <v>47</v>
      </c>
      <c r="M11" s="16">
        <f>M5+M6*M9</f>
        <v>0.143685855</v>
      </c>
    </row>
    <row r="13" spans="2:15" x14ac:dyDescent="0.3">
      <c r="B13" s="17" t="s">
        <v>48</v>
      </c>
      <c r="C13" s="18">
        <v>0.08</v>
      </c>
      <c r="G13" s="17" t="s">
        <v>48</v>
      </c>
      <c r="H13" s="18">
        <v>0.08</v>
      </c>
      <c r="L13" s="17" t="s">
        <v>48</v>
      </c>
      <c r="M13" s="18">
        <v>0.08</v>
      </c>
    </row>
    <row r="14" spans="2:15" x14ac:dyDescent="0.3">
      <c r="B14" s="17" t="s">
        <v>49</v>
      </c>
      <c r="C14" s="26">
        <v>833046160</v>
      </c>
      <c r="G14" s="17" t="s">
        <v>49</v>
      </c>
      <c r="H14" s="34">
        <v>807520149</v>
      </c>
      <c r="L14" s="17" t="s">
        <v>49</v>
      </c>
      <c r="M14" s="46">
        <v>2393826772</v>
      </c>
    </row>
    <row r="15" spans="2:15" x14ac:dyDescent="0.3">
      <c r="B15" s="19"/>
      <c r="C15" s="27"/>
      <c r="G15" s="19"/>
      <c r="H15" s="27"/>
      <c r="L15" s="19"/>
      <c r="M15" s="27"/>
    </row>
    <row r="16" spans="2:15" x14ac:dyDescent="0.3">
      <c r="B16" s="11"/>
      <c r="C16" s="11">
        <v>2022</v>
      </c>
      <c r="D16" s="11">
        <f>C16+1</f>
        <v>2023</v>
      </c>
      <c r="E16" s="11">
        <f t="shared" ref="E16" si="0">D16+1</f>
        <v>2024</v>
      </c>
      <c r="G16" s="11"/>
      <c r="H16" s="11">
        <v>2022</v>
      </c>
      <c r="I16" s="11">
        <f>H16+1</f>
        <v>2023</v>
      </c>
      <c r="J16" s="11">
        <f t="shared" ref="J16" si="1">I16+1</f>
        <v>2024</v>
      </c>
      <c r="L16" s="11"/>
      <c r="M16" s="11">
        <v>2022</v>
      </c>
      <c r="N16" s="11">
        <f>M16+1</f>
        <v>2023</v>
      </c>
      <c r="O16" s="11">
        <f t="shared" ref="O16" si="2">N16+1</f>
        <v>2024</v>
      </c>
    </row>
    <row r="17" spans="2:15" x14ac:dyDescent="0.3">
      <c r="B17" s="11" t="s">
        <v>11</v>
      </c>
      <c r="C17" s="22">
        <v>1623.2</v>
      </c>
      <c r="D17" s="22">
        <v>2612.8000000000002</v>
      </c>
      <c r="E17" s="22">
        <v>4342</v>
      </c>
      <c r="G17" s="11" t="s">
        <v>11</v>
      </c>
      <c r="H17" s="35">
        <v>2957.93</v>
      </c>
      <c r="I17" s="35">
        <v>2513.4699999999998</v>
      </c>
      <c r="J17" s="35">
        <v>4077.25</v>
      </c>
      <c r="L17" s="11" t="s">
        <v>11</v>
      </c>
      <c r="M17" s="39">
        <v>-99.99</v>
      </c>
      <c r="N17" s="38">
        <v>1690.72</v>
      </c>
      <c r="O17" s="38">
        <v>2858.18</v>
      </c>
    </row>
    <row r="18" spans="2:15" x14ac:dyDescent="0.3">
      <c r="B18" s="11" t="s">
        <v>10</v>
      </c>
      <c r="C18" s="23">
        <v>2223.8000000000002</v>
      </c>
      <c r="D18" s="23">
        <v>3866</v>
      </c>
      <c r="E18" s="23">
        <v>5791.3</v>
      </c>
      <c r="G18" s="11" t="s">
        <v>10</v>
      </c>
      <c r="H18" s="36">
        <v>3546.23</v>
      </c>
      <c r="I18" s="36">
        <v>3440.54</v>
      </c>
      <c r="J18" s="36">
        <v>4946.97</v>
      </c>
      <c r="L18" s="11" t="s">
        <v>10</v>
      </c>
      <c r="M18" s="41">
        <v>306.86</v>
      </c>
      <c r="N18" s="40">
        <v>1741.05</v>
      </c>
      <c r="O18" s="40">
        <v>3449.65</v>
      </c>
    </row>
    <row r="19" spans="2:15" x14ac:dyDescent="0.3">
      <c r="B19" s="11" t="s">
        <v>34</v>
      </c>
      <c r="C19" s="20">
        <f>C18-C17</f>
        <v>600.60000000000014</v>
      </c>
      <c r="D19" s="20">
        <f t="shared" ref="D19:E19" si="3">D18-D17</f>
        <v>1253.1999999999998</v>
      </c>
      <c r="E19" s="20">
        <f t="shared" si="3"/>
        <v>1449.3000000000002</v>
      </c>
      <c r="G19" s="11" t="s">
        <v>34</v>
      </c>
      <c r="H19" s="20">
        <f>H18-H17</f>
        <v>588.30000000000018</v>
      </c>
      <c r="I19" s="20">
        <f t="shared" ref="I19:J19" si="4">I18-I17</f>
        <v>927.07000000000016</v>
      </c>
      <c r="J19" s="20">
        <f t="shared" si="4"/>
        <v>869.72000000000025</v>
      </c>
      <c r="L19" s="11" t="s">
        <v>34</v>
      </c>
      <c r="M19" s="20">
        <f>M18-M17</f>
        <v>406.85</v>
      </c>
      <c r="N19" s="20">
        <f t="shared" ref="N19:O19" si="5">N18-N17</f>
        <v>50.329999999999927</v>
      </c>
      <c r="O19" s="20">
        <f t="shared" si="5"/>
        <v>591.47000000000025</v>
      </c>
    </row>
    <row r="20" spans="2:15" x14ac:dyDescent="0.3">
      <c r="B20" s="11" t="s">
        <v>41</v>
      </c>
      <c r="C20" s="24">
        <v>814.3</v>
      </c>
      <c r="D20" s="24">
        <v>923.2</v>
      </c>
      <c r="E20" s="24">
        <v>975.6</v>
      </c>
      <c r="G20" s="11" t="s">
        <v>41</v>
      </c>
      <c r="H20" s="37">
        <v>460.01</v>
      </c>
      <c r="I20" s="37">
        <v>595.91</v>
      </c>
      <c r="J20" s="37">
        <v>587.59</v>
      </c>
      <c r="L20" s="11" t="s">
        <v>41</v>
      </c>
      <c r="M20" s="42">
        <v>1349.95</v>
      </c>
      <c r="N20" s="42">
        <v>1600.87</v>
      </c>
      <c r="O20" s="42">
        <v>1600.62</v>
      </c>
    </row>
    <row r="21" spans="2:15" x14ac:dyDescent="0.3">
      <c r="B21" s="11" t="s">
        <v>42</v>
      </c>
      <c r="C21" s="11">
        <f>29746-26588+C20</f>
        <v>3972.3</v>
      </c>
      <c r="D21" s="11">
        <f>32209-29746+D20</f>
        <v>3386.2</v>
      </c>
      <c r="E21" s="11">
        <f>38780-32209+E20</f>
        <v>7546.6</v>
      </c>
      <c r="G21" s="11" t="s">
        <v>42</v>
      </c>
      <c r="H21" s="11">
        <f>9683-9516+H20</f>
        <v>627.01</v>
      </c>
      <c r="I21" s="11">
        <f>9160-9683+I20</f>
        <v>72.909999999999968</v>
      </c>
      <c r="J21" s="11">
        <f>9607-9160+J20</f>
        <v>1034.5900000000001</v>
      </c>
      <c r="L21" s="11" t="s">
        <v>42</v>
      </c>
      <c r="M21" s="20">
        <f>22665-21553+M20</f>
        <v>2461.9499999999998</v>
      </c>
      <c r="N21" s="20">
        <f>24065-22665+N20</f>
        <v>3000.87</v>
      </c>
      <c r="O21" s="20">
        <f>23211-24065+O20</f>
        <v>746.61999999999989</v>
      </c>
    </row>
    <row r="22" spans="2:15" x14ac:dyDescent="0.3">
      <c r="B22" s="11" t="s">
        <v>35</v>
      </c>
      <c r="C22" s="21">
        <v>3</v>
      </c>
      <c r="D22" s="21">
        <v>-907</v>
      </c>
      <c r="E22" s="21">
        <v>133</v>
      </c>
      <c r="G22" s="11" t="s">
        <v>35</v>
      </c>
      <c r="H22" s="28">
        <v>-132</v>
      </c>
      <c r="I22" s="28">
        <v>-97</v>
      </c>
      <c r="J22" s="28">
        <v>-49</v>
      </c>
      <c r="L22" s="11" t="s">
        <v>35</v>
      </c>
      <c r="M22" s="28">
        <v>-132</v>
      </c>
      <c r="N22" s="28">
        <v>-97</v>
      </c>
      <c r="O22" s="28">
        <v>-49</v>
      </c>
    </row>
    <row r="23" spans="2:15" x14ac:dyDescent="0.3">
      <c r="B23" s="11" t="s">
        <v>36</v>
      </c>
      <c r="C23" s="29">
        <v>1293</v>
      </c>
      <c r="D23" s="29">
        <v>1030</v>
      </c>
      <c r="E23" s="29">
        <v>1419</v>
      </c>
      <c r="G23" s="11" t="s">
        <v>36</v>
      </c>
      <c r="H23" s="30">
        <v>766</v>
      </c>
      <c r="I23" s="31">
        <v>1093</v>
      </c>
      <c r="J23" s="31">
        <v>1153</v>
      </c>
      <c r="L23" s="11" t="s">
        <v>36</v>
      </c>
      <c r="M23" s="43">
        <v>1287</v>
      </c>
      <c r="N23" s="43">
        <v>4973</v>
      </c>
      <c r="O23" s="43">
        <v>5354</v>
      </c>
    </row>
    <row r="24" spans="2:15" x14ac:dyDescent="0.3">
      <c r="B24" s="11" t="s">
        <v>37</v>
      </c>
      <c r="C24" s="29">
        <v>3384</v>
      </c>
      <c r="D24" s="29">
        <v>1347</v>
      </c>
      <c r="E24" s="32">
        <v>4854</v>
      </c>
      <c r="G24" s="11" t="s">
        <v>37</v>
      </c>
      <c r="H24" s="31">
        <v>1056</v>
      </c>
      <c r="I24" s="30">
        <v>803</v>
      </c>
      <c r="J24" s="30">
        <v>559</v>
      </c>
      <c r="L24" s="11" t="s">
        <v>37</v>
      </c>
      <c r="M24" s="44">
        <v>-1765</v>
      </c>
      <c r="N24" s="45">
        <v>115</v>
      </c>
      <c r="O24" s="44">
        <v>4662</v>
      </c>
    </row>
    <row r="26" spans="2:15" x14ac:dyDescent="0.3">
      <c r="B26" s="11" t="s">
        <v>33</v>
      </c>
      <c r="C26" s="20">
        <f>C17+C20-C23-C21+C24</f>
        <v>556.19999999999982</v>
      </c>
      <c r="D26" s="20">
        <f t="shared" ref="D26:E26" si="6">D17+D20-D23-D21+D24</f>
        <v>466.80000000000018</v>
      </c>
      <c r="E26" s="20">
        <f t="shared" si="6"/>
        <v>1206</v>
      </c>
      <c r="G26" s="11" t="s">
        <v>33</v>
      </c>
      <c r="H26" s="20">
        <f>H17+H20-H23-H21+H24</f>
        <v>3080.9299999999994</v>
      </c>
      <c r="I26" s="20">
        <f t="shared" ref="I26:J26" si="7">I17+I20-I23-I21+I24</f>
        <v>2746.47</v>
      </c>
      <c r="J26" s="20">
        <f t="shared" si="7"/>
        <v>3036.25</v>
      </c>
      <c r="L26" s="11" t="s">
        <v>33</v>
      </c>
      <c r="M26" s="20">
        <f>M17+M20-M23-M21+M24</f>
        <v>-4263.99</v>
      </c>
      <c r="N26" s="20">
        <f t="shared" ref="N26:O26" si="8">N17+N20-N23-N21+N24</f>
        <v>-4567.28</v>
      </c>
      <c r="O26" s="20">
        <f t="shared" si="8"/>
        <v>3020.1799999999994</v>
      </c>
    </row>
    <row r="27" spans="2:15" x14ac:dyDescent="0.3">
      <c r="B27" s="11" t="s">
        <v>38</v>
      </c>
      <c r="C27" s="11"/>
      <c r="D27" s="11"/>
      <c r="E27" s="11">
        <f>E26*(C13+1)/(C11-C13)</f>
        <v>131397.06735401094</v>
      </c>
      <c r="G27" s="11" t="s">
        <v>38</v>
      </c>
      <c r="H27" s="11"/>
      <c r="I27" s="11"/>
      <c r="J27" s="11">
        <f>J26*(H13+1)/(H11-H13)</f>
        <v>120700.53906024261</v>
      </c>
      <c r="L27" s="11" t="s">
        <v>38</v>
      </c>
      <c r="M27" s="11"/>
      <c r="N27" s="11"/>
      <c r="O27" s="11">
        <f>O26*(M13+1)/(M11-M13)</f>
        <v>51216.936633731304</v>
      </c>
    </row>
    <row r="28" spans="2:15" x14ac:dyDescent="0.3">
      <c r="B28" s="11" t="s">
        <v>51</v>
      </c>
      <c r="C28" s="11">
        <f>C26/(1+C11)^1</f>
        <v>510.31617169652725</v>
      </c>
      <c r="D28" s="11">
        <f>D26/(1+C11)^2</f>
        <v>392.95927206752748</v>
      </c>
      <c r="E28" s="11">
        <f>E26/(1+C11)^3</f>
        <v>931.47745448099192</v>
      </c>
      <c r="G28" s="11" t="s">
        <v>51</v>
      </c>
      <c r="H28" s="11">
        <f>H26/(1+H11)^1</f>
        <v>2782.7131690489687</v>
      </c>
      <c r="I28" s="11">
        <f>I26/(1+H11)^2</f>
        <v>2240.5161771152912</v>
      </c>
      <c r="J28" s="11">
        <f>J26/(1+H11)^3</f>
        <v>2237.1616425194898</v>
      </c>
      <c r="L28" s="11" t="s">
        <v>51</v>
      </c>
      <c r="M28" s="11">
        <f>M26/(1+M11)^1</f>
        <v>-3728.2877823123904</v>
      </c>
      <c r="N28" s="11">
        <f>N26/(1+M11)^2</f>
        <v>-3491.7580050684996</v>
      </c>
      <c r="O28" s="11">
        <f>O26/(1+M11)^3</f>
        <v>2018.8896323720003</v>
      </c>
    </row>
    <row r="29" spans="2:15" x14ac:dyDescent="0.3">
      <c r="B29" s="14" t="s">
        <v>50</v>
      </c>
      <c r="C29" s="11"/>
      <c r="D29" s="11"/>
      <c r="E29" s="14">
        <f>E27/(1+C11)^3</f>
        <v>101487.06950678404</v>
      </c>
      <c r="G29" s="14" t="s">
        <v>50</v>
      </c>
      <c r="H29" s="11"/>
      <c r="I29" s="11"/>
      <c r="J29" s="14">
        <f>J27/(1+H11)^3</f>
        <v>88934.249886208374</v>
      </c>
      <c r="L29" s="14" t="s">
        <v>50</v>
      </c>
      <c r="M29" s="11"/>
      <c r="N29" s="11"/>
      <c r="O29" s="14">
        <f>O27/(1+M11)^3</f>
        <v>34236.814485127987</v>
      </c>
    </row>
    <row r="30" spans="2:15" x14ac:dyDescent="0.3">
      <c r="B30" s="14" t="s">
        <v>39</v>
      </c>
      <c r="C30" s="11"/>
      <c r="D30" s="11"/>
      <c r="E30" s="11">
        <f>SUM(E28:E29)</f>
        <v>102418.54696126503</v>
      </c>
      <c r="G30" s="14" t="s">
        <v>39</v>
      </c>
      <c r="H30" s="11"/>
      <c r="I30" s="11"/>
      <c r="J30" s="11">
        <f>SUM(J28:J29)</f>
        <v>91171.411528727869</v>
      </c>
      <c r="L30" s="14" t="s">
        <v>39</v>
      </c>
      <c r="M30" s="11"/>
      <c r="N30" s="11"/>
      <c r="O30" s="11">
        <f>SUM(O28:O29)</f>
        <v>36255.70411749999</v>
      </c>
    </row>
    <row r="32" spans="2:15" x14ac:dyDescent="0.3">
      <c r="B32" s="14" t="s">
        <v>40</v>
      </c>
      <c r="C32" s="11"/>
      <c r="D32" s="11"/>
      <c r="E32" s="14">
        <f>E30/83</f>
        <v>1233.958397123675</v>
      </c>
      <c r="G32" s="14" t="s">
        <v>40</v>
      </c>
      <c r="H32" s="11"/>
      <c r="I32" s="11"/>
      <c r="J32" s="14">
        <f>J30/80</f>
        <v>1139.6426441090985</v>
      </c>
      <c r="L32" s="14" t="s">
        <v>40</v>
      </c>
      <c r="M32" s="11"/>
      <c r="N32" s="11"/>
      <c r="O32" s="14">
        <f>O30/23</f>
        <v>1576.3349616304345</v>
      </c>
    </row>
    <row r="33" spans="2:15" x14ac:dyDescent="0.3">
      <c r="B33" s="14" t="s">
        <v>52</v>
      </c>
      <c r="C33" s="11"/>
      <c r="D33" s="11"/>
      <c r="E33" s="25">
        <f>E32-C8</f>
        <v>37.958397123675013</v>
      </c>
      <c r="G33" s="14" t="s">
        <v>52</v>
      </c>
      <c r="H33" s="11"/>
      <c r="I33" s="11"/>
      <c r="J33" s="25">
        <f>J32-H8</f>
        <v>-297.35735589090154</v>
      </c>
      <c r="L33" s="14" t="s">
        <v>52</v>
      </c>
      <c r="M33" s="11"/>
      <c r="N33" s="11"/>
      <c r="O33" s="25">
        <f>O32-M8</f>
        <v>-165.66503836956554</v>
      </c>
    </row>
    <row r="37" spans="2:15" x14ac:dyDescent="0.3">
      <c r="B37" s="48" t="s">
        <v>6</v>
      </c>
    </row>
    <row r="38" spans="2:15" x14ac:dyDescent="0.3">
      <c r="B38" s="11" t="s">
        <v>43</v>
      </c>
      <c r="C38" s="12">
        <v>7.3649999999999993E-2</v>
      </c>
    </row>
    <row r="39" spans="2:15" x14ac:dyDescent="0.3">
      <c r="B39" s="11" t="s">
        <v>44</v>
      </c>
      <c r="C39" s="49">
        <v>0.753</v>
      </c>
    </row>
    <row r="40" spans="2:15" x14ac:dyDescent="0.3">
      <c r="B40" s="11" t="s">
        <v>45</v>
      </c>
      <c r="C40" s="13">
        <v>0.15</v>
      </c>
    </row>
    <row r="41" spans="2:15" x14ac:dyDescent="0.3">
      <c r="B41" s="14" t="s">
        <v>1</v>
      </c>
      <c r="C41" s="14">
        <f>Companies!C37</f>
        <v>0</v>
      </c>
    </row>
    <row r="42" spans="2:15" x14ac:dyDescent="0.3">
      <c r="B42" s="11" t="s">
        <v>46</v>
      </c>
      <c r="C42" s="15">
        <f>C40-C38</f>
        <v>7.6350000000000001E-2</v>
      </c>
    </row>
    <row r="43" spans="2:15" x14ac:dyDescent="0.3">
      <c r="B43" s="11"/>
      <c r="C43" s="11"/>
    </row>
    <row r="44" spans="2:15" x14ac:dyDescent="0.3">
      <c r="B44" s="14" t="s">
        <v>47</v>
      </c>
      <c r="C44" s="16">
        <f>C38+C39*C42</f>
        <v>0.13114155</v>
      </c>
    </row>
    <row r="46" spans="2:15" x14ac:dyDescent="0.3">
      <c r="B46" s="17" t="s">
        <v>48</v>
      </c>
      <c r="C46" s="18">
        <v>0.08</v>
      </c>
    </row>
    <row r="47" spans="2:15" x14ac:dyDescent="0.3">
      <c r="B47" s="17" t="s">
        <v>49</v>
      </c>
      <c r="C47" s="26">
        <v>833046160</v>
      </c>
    </row>
    <row r="48" spans="2:15" x14ac:dyDescent="0.3">
      <c r="B48" s="19"/>
      <c r="C48" s="27"/>
    </row>
    <row r="49" spans="2:5" x14ac:dyDescent="0.3">
      <c r="B49" s="11"/>
      <c r="C49" s="11">
        <v>2022</v>
      </c>
      <c r="D49" s="11">
        <f>C49+1</f>
        <v>2023</v>
      </c>
      <c r="E49" s="11">
        <f t="shared" ref="E49" si="9">D49+1</f>
        <v>2024</v>
      </c>
    </row>
    <row r="50" spans="2:5" x14ac:dyDescent="0.3">
      <c r="B50" s="11" t="s">
        <v>11</v>
      </c>
      <c r="C50" s="38">
        <v>1454.71</v>
      </c>
      <c r="D50" s="38">
        <v>1230.4100000000001</v>
      </c>
      <c r="E50" s="38">
        <v>1954.14</v>
      </c>
    </row>
    <row r="51" spans="2:5" x14ac:dyDescent="0.3">
      <c r="B51" s="11" t="s">
        <v>10</v>
      </c>
      <c r="C51" s="40">
        <v>1637.48</v>
      </c>
      <c r="D51" s="40">
        <v>1614.35</v>
      </c>
      <c r="E51" s="40">
        <v>2402.92</v>
      </c>
    </row>
    <row r="52" spans="2:5" x14ac:dyDescent="0.3">
      <c r="B52" s="11" t="s">
        <v>34</v>
      </c>
      <c r="C52" s="20">
        <f>C51-C50</f>
        <v>182.76999999999998</v>
      </c>
      <c r="D52" s="20">
        <f t="shared" ref="D52:E52" si="10">D51-D50</f>
        <v>383.93999999999983</v>
      </c>
      <c r="E52" s="20">
        <f t="shared" si="10"/>
        <v>448.78</v>
      </c>
    </row>
    <row r="53" spans="2:5" x14ac:dyDescent="0.3">
      <c r="B53" s="11" t="s">
        <v>41</v>
      </c>
      <c r="C53" s="24">
        <v>814.3</v>
      </c>
      <c r="D53" s="24">
        <v>923.2</v>
      </c>
      <c r="E53" s="24">
        <v>975.6</v>
      </c>
    </row>
    <row r="54" spans="2:5" x14ac:dyDescent="0.3">
      <c r="B54" s="11" t="s">
        <v>42</v>
      </c>
      <c r="C54" s="11">
        <f>29746-26588+C53</f>
        <v>3972.3</v>
      </c>
      <c r="D54" s="11">
        <f>32209-29746+D53</f>
        <v>3386.2</v>
      </c>
      <c r="E54" s="11">
        <f>38780-32209+E53</f>
        <v>7546.6</v>
      </c>
    </row>
    <row r="55" spans="2:5" x14ac:dyDescent="0.3">
      <c r="B55" s="11" t="s">
        <v>35</v>
      </c>
      <c r="C55" s="21">
        <v>3</v>
      </c>
      <c r="D55" s="21">
        <v>-907</v>
      </c>
      <c r="E55" s="21">
        <v>133</v>
      </c>
    </row>
    <row r="56" spans="2:5" x14ac:dyDescent="0.3">
      <c r="B56" s="11" t="s">
        <v>36</v>
      </c>
      <c r="C56" s="29">
        <v>1293</v>
      </c>
      <c r="D56" s="29">
        <v>1030</v>
      </c>
      <c r="E56" s="29">
        <v>1419</v>
      </c>
    </row>
    <row r="57" spans="2:5" x14ac:dyDescent="0.3">
      <c r="B57" s="11" t="s">
        <v>37</v>
      </c>
      <c r="C57" s="29">
        <v>3384</v>
      </c>
      <c r="D57" s="29">
        <v>1347</v>
      </c>
      <c r="E57" s="32">
        <v>4854</v>
      </c>
    </row>
    <row r="59" spans="2:5" x14ac:dyDescent="0.3">
      <c r="B59" s="11" t="s">
        <v>33</v>
      </c>
      <c r="C59" s="20" t="e">
        <f>#REF!+C53-C56-C54+C57</f>
        <v>#REF!</v>
      </c>
      <c r="D59" s="20" t="e">
        <f>#REF!+D53-D56-D54+D57</f>
        <v>#REF!</v>
      </c>
      <c r="E59" s="20" t="e">
        <f>#REF!+E53-E56-E54+E57</f>
        <v>#REF!</v>
      </c>
    </row>
    <row r="60" spans="2:5" x14ac:dyDescent="0.3">
      <c r="B60" s="11" t="s">
        <v>38</v>
      </c>
      <c r="C60" s="11"/>
      <c r="D60" s="11"/>
      <c r="E60" s="11" t="e">
        <f>E59*(C46+1)/(C44-C46)</f>
        <v>#REF!</v>
      </c>
    </row>
    <row r="61" spans="2:5" x14ac:dyDescent="0.3">
      <c r="B61" s="11" t="s">
        <v>51</v>
      </c>
      <c r="C61" s="11" t="e">
        <f>C59/(1+C44)^1</f>
        <v>#REF!</v>
      </c>
      <c r="D61" s="11" t="e">
        <f>D59/(1+C44)^2</f>
        <v>#REF!</v>
      </c>
      <c r="E61" s="11" t="e">
        <f>E59/(1+C44)^3</f>
        <v>#REF!</v>
      </c>
    </row>
    <row r="62" spans="2:5" x14ac:dyDescent="0.3">
      <c r="B62" s="14" t="s">
        <v>50</v>
      </c>
      <c r="C62" s="11"/>
      <c r="D62" s="11"/>
      <c r="E62" s="14" t="e">
        <f>E60/(1+C44)^3</f>
        <v>#REF!</v>
      </c>
    </row>
    <row r="63" spans="2:5" x14ac:dyDescent="0.3">
      <c r="B63" s="14" t="s">
        <v>39</v>
      </c>
      <c r="C63" s="11"/>
      <c r="D63" s="11"/>
      <c r="E63" s="11" t="e">
        <f>SUM(E61:E62)</f>
        <v>#REF!</v>
      </c>
    </row>
    <row r="65" spans="2:5" x14ac:dyDescent="0.3">
      <c r="B65" s="14" t="s">
        <v>40</v>
      </c>
      <c r="C65" s="11"/>
      <c r="D65" s="11"/>
      <c r="E65" s="14" t="e">
        <f>E63/83</f>
        <v>#REF!</v>
      </c>
    </row>
    <row r="66" spans="2:5" x14ac:dyDescent="0.3">
      <c r="B66" s="14" t="s">
        <v>52</v>
      </c>
      <c r="C66" s="11"/>
      <c r="D66" s="11"/>
      <c r="E66" s="25" t="e">
        <f>E65-C41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Financials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doiphode</dc:creator>
  <cp:lastModifiedBy>devang doiphode</cp:lastModifiedBy>
  <dcterms:created xsi:type="dcterms:W3CDTF">2025-01-30T12:48:47Z</dcterms:created>
  <dcterms:modified xsi:type="dcterms:W3CDTF">2025-02-03T02:45:38Z</dcterms:modified>
</cp:coreProperties>
</file>