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dewan\Desktop\"/>
    </mc:Choice>
  </mc:AlternateContent>
  <xr:revisionPtr revIDLastSave="0" documentId="13_ncr:1_{87759659-AF0E-4AA8-8DA3-8B24FE5D328C}" xr6:coauthVersionLast="47" xr6:coauthVersionMax="47" xr10:uidLastSave="{00000000-0000-0000-0000-000000000000}"/>
  <bookViews>
    <workbookView xWindow="-108" yWindow="-108" windowWidth="23256" windowHeight="12456" activeTab="2" xr2:uid="{09AB6B76-9DE2-44DD-962F-E7A787850D1E}"/>
  </bookViews>
  <sheets>
    <sheet name="IS" sheetId="2" r:id="rId1"/>
    <sheet name="BS" sheetId="4" r:id="rId2"/>
    <sheet name="BS Model" sheetId="7" r:id="rId3"/>
    <sheet name="CF" sheetId="5" r:id="rId4"/>
    <sheet name="Sheet1" sheetId="13" r:id="rId5"/>
    <sheet name="Comparative Analysis" sheetId="12" r:id="rId6"/>
    <sheet name="Intrinsic Valuation of Share" sheetId="11" r:id="rId7"/>
    <sheet name="Debt" sheetId="10" r:id="rId8"/>
    <sheet name="Current Liabilities Comparison" sheetId="9" r:id="rId9"/>
    <sheet name="Ratio Analysis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2" l="1"/>
  <c r="M31" i="2"/>
  <c r="L31" i="2"/>
  <c r="K31" i="2"/>
  <c r="J31" i="2"/>
  <c r="I31" i="2"/>
  <c r="H31" i="2"/>
  <c r="G31" i="2"/>
  <c r="F31" i="2"/>
  <c r="E31" i="2"/>
  <c r="D31" i="2"/>
  <c r="N30" i="2"/>
  <c r="M30" i="2"/>
  <c r="L30" i="2"/>
  <c r="K30" i="2"/>
  <c r="J30" i="2"/>
  <c r="I30" i="2"/>
  <c r="H30" i="2"/>
  <c r="G30" i="2"/>
  <c r="F30" i="2"/>
  <c r="E30" i="2"/>
  <c r="D30" i="2"/>
  <c r="N29" i="2"/>
  <c r="M29" i="2"/>
  <c r="L29" i="2"/>
  <c r="K29" i="2"/>
  <c r="J29" i="2"/>
  <c r="I29" i="2"/>
  <c r="H29" i="2"/>
  <c r="G29" i="2"/>
  <c r="F29" i="2"/>
  <c r="E29" i="2"/>
  <c r="D29" i="2"/>
  <c r="C31" i="2"/>
  <c r="C30" i="2"/>
  <c r="C29" i="2"/>
  <c r="S2" i="5"/>
  <c r="Q2" i="5"/>
  <c r="R2" i="5" s="1"/>
  <c r="P2" i="5"/>
  <c r="C12" i="12"/>
  <c r="S3" i="6"/>
  <c r="T3" i="6" s="1"/>
  <c r="U3" i="6" s="1"/>
  <c r="R3" i="6"/>
  <c r="C13" i="6"/>
  <c r="O11" i="6"/>
  <c r="L11" i="6"/>
  <c r="K11" i="6"/>
  <c r="N11" i="6"/>
  <c r="M11" i="6"/>
  <c r="J11" i="6"/>
  <c r="N40" i="7"/>
  <c r="M40" i="7"/>
  <c r="L40" i="7"/>
  <c r="K40" i="7"/>
  <c r="J40" i="7"/>
  <c r="I40" i="7"/>
  <c r="H40" i="7"/>
  <c r="G40" i="7"/>
  <c r="F40" i="7"/>
  <c r="E40" i="7"/>
  <c r="D40" i="7"/>
  <c r="C40" i="7"/>
  <c r="N3" i="7"/>
  <c r="M3" i="7"/>
  <c r="L3" i="7"/>
  <c r="L24" i="7" s="1"/>
  <c r="K3" i="7"/>
  <c r="J3" i="7"/>
  <c r="I3" i="7"/>
  <c r="H3" i="7"/>
  <c r="H24" i="7" s="1"/>
  <c r="G3" i="7"/>
  <c r="F3" i="7"/>
  <c r="E3" i="7"/>
  <c r="D3" i="7"/>
  <c r="D24" i="7" s="1"/>
  <c r="C3" i="7"/>
  <c r="C24" i="7" s="1"/>
  <c r="N24" i="7"/>
  <c r="M24" i="7"/>
  <c r="K24" i="7"/>
  <c r="J24" i="7"/>
  <c r="I24" i="7"/>
  <c r="G24" i="7"/>
  <c r="F24" i="7"/>
  <c r="E24" i="7"/>
  <c r="N18" i="7"/>
  <c r="M18" i="7"/>
  <c r="L18" i="7"/>
  <c r="K18" i="7"/>
  <c r="J18" i="7"/>
  <c r="I18" i="7"/>
  <c r="H18" i="7"/>
  <c r="G18" i="7"/>
  <c r="F18" i="7"/>
  <c r="E18" i="7"/>
  <c r="D18" i="7"/>
  <c r="C18" i="7"/>
  <c r="P13" i="7"/>
  <c r="Q13" i="7" s="1"/>
  <c r="R13" i="7" s="1"/>
  <c r="S13" i="7" s="1"/>
  <c r="O13" i="7"/>
  <c r="O30" i="7"/>
  <c r="P30" i="7" s="1"/>
  <c r="Q30" i="7" s="1"/>
  <c r="R30" i="7" s="1"/>
  <c r="S30" i="7" s="1"/>
  <c r="N70" i="7"/>
  <c r="M70" i="7"/>
  <c r="L70" i="7"/>
  <c r="K70" i="7"/>
  <c r="J70" i="7"/>
  <c r="I70" i="7"/>
  <c r="H70" i="7"/>
  <c r="G70" i="7"/>
  <c r="F70" i="7"/>
  <c r="E70" i="7"/>
  <c r="D70" i="7"/>
  <c r="O39" i="7"/>
  <c r="P39" i="7" s="1"/>
  <c r="Q39" i="7" s="1"/>
  <c r="R39" i="7" s="1"/>
  <c r="S39" i="7" s="1"/>
  <c r="O31" i="7"/>
  <c r="P31" i="7" s="1"/>
  <c r="Q31" i="7" s="1"/>
  <c r="R31" i="7" s="1"/>
  <c r="S31" i="7" s="1"/>
  <c r="N69" i="7"/>
  <c r="M69" i="7"/>
  <c r="L69" i="7"/>
  <c r="K69" i="7"/>
  <c r="J69" i="7"/>
  <c r="I69" i="7"/>
  <c r="H69" i="7"/>
  <c r="G69" i="7"/>
  <c r="F69" i="7"/>
  <c r="E69" i="7"/>
  <c r="D69" i="7"/>
  <c r="N68" i="7"/>
  <c r="M68" i="7"/>
  <c r="L68" i="7"/>
  <c r="K68" i="7"/>
  <c r="J68" i="7"/>
  <c r="I68" i="7"/>
  <c r="H68" i="7"/>
  <c r="G68" i="7"/>
  <c r="F68" i="7"/>
  <c r="E68" i="7"/>
  <c r="D68" i="7"/>
  <c r="N67" i="7"/>
  <c r="M67" i="7"/>
  <c r="L67" i="7"/>
  <c r="K67" i="7"/>
  <c r="J67" i="7"/>
  <c r="I67" i="7"/>
  <c r="H67" i="7"/>
  <c r="G67" i="7"/>
  <c r="F67" i="7"/>
  <c r="E67" i="7"/>
  <c r="D67" i="7"/>
  <c r="N66" i="7"/>
  <c r="M66" i="7"/>
  <c r="L66" i="7"/>
  <c r="K66" i="7"/>
  <c r="J66" i="7"/>
  <c r="I66" i="7"/>
  <c r="H66" i="7"/>
  <c r="G66" i="7"/>
  <c r="F66" i="7"/>
  <c r="E66" i="7"/>
  <c r="D66" i="7"/>
  <c r="N52" i="7"/>
  <c r="M52" i="7"/>
  <c r="L52" i="7"/>
  <c r="K52" i="7"/>
  <c r="J52" i="7"/>
  <c r="I52" i="7"/>
  <c r="H52" i="7"/>
  <c r="G52" i="7"/>
  <c r="F52" i="7"/>
  <c r="E52" i="7"/>
  <c r="D52" i="7"/>
  <c r="O12" i="7"/>
  <c r="P12" i="7" s="1"/>
  <c r="Q12" i="7" s="1"/>
  <c r="R12" i="7" s="1"/>
  <c r="S12" i="7" s="1"/>
  <c r="O11" i="7"/>
  <c r="P11" i="7" s="1"/>
  <c r="Q11" i="7" s="1"/>
  <c r="R11" i="7" s="1"/>
  <c r="S11" i="7" s="1"/>
  <c r="O10" i="7"/>
  <c r="P10" i="7" s="1"/>
  <c r="Q10" i="7" s="1"/>
  <c r="R10" i="7" s="1"/>
  <c r="S10" i="7" s="1"/>
  <c r="O9" i="7"/>
  <c r="P9" i="7" s="1"/>
  <c r="Q9" i="7" s="1"/>
  <c r="R9" i="7" s="1"/>
  <c r="S9" i="7" s="1"/>
  <c r="O8" i="7"/>
  <c r="P8" i="7" s="1"/>
  <c r="Q8" i="7" s="1"/>
  <c r="R8" i="7" s="1"/>
  <c r="S8" i="7" s="1"/>
  <c r="O6" i="7"/>
  <c r="P6" i="7" s="1"/>
  <c r="Q6" i="7" s="1"/>
  <c r="R6" i="7" s="1"/>
  <c r="S6" i="7" s="1"/>
  <c r="O5" i="7"/>
  <c r="P5" i="7" s="1"/>
  <c r="R5" i="7" s="1"/>
  <c r="O58" i="7"/>
  <c r="N63" i="7"/>
  <c r="M63" i="7"/>
  <c r="L63" i="7"/>
  <c r="K63" i="7"/>
  <c r="J63" i="7"/>
  <c r="I63" i="7"/>
  <c r="H63" i="7"/>
  <c r="G63" i="7"/>
  <c r="F63" i="7"/>
  <c r="E63" i="7"/>
  <c r="D63" i="7"/>
  <c r="N62" i="7"/>
  <c r="M62" i="7"/>
  <c r="L62" i="7"/>
  <c r="K62" i="7"/>
  <c r="J62" i="7"/>
  <c r="I62" i="7"/>
  <c r="H62" i="7"/>
  <c r="G62" i="7"/>
  <c r="F62" i="7"/>
  <c r="E62" i="7"/>
  <c r="D62" i="7"/>
  <c r="N61" i="7"/>
  <c r="M61" i="7"/>
  <c r="L61" i="7"/>
  <c r="K61" i="7"/>
  <c r="J61" i="7"/>
  <c r="I61" i="7"/>
  <c r="H61" i="7"/>
  <c r="G61" i="7"/>
  <c r="F61" i="7"/>
  <c r="E61" i="7"/>
  <c r="D61" i="7"/>
  <c r="N60" i="7"/>
  <c r="M60" i="7"/>
  <c r="L60" i="7"/>
  <c r="K60" i="7"/>
  <c r="J60" i="7"/>
  <c r="I60" i="7"/>
  <c r="H60" i="7"/>
  <c r="G60" i="7"/>
  <c r="F60" i="7"/>
  <c r="E60" i="7"/>
  <c r="D60" i="7"/>
  <c r="C57" i="7" s="1"/>
  <c r="N59" i="7"/>
  <c r="M59" i="7"/>
  <c r="L59" i="7"/>
  <c r="K59" i="7"/>
  <c r="J59" i="7"/>
  <c r="I59" i="7"/>
  <c r="H59" i="7"/>
  <c r="G59" i="7"/>
  <c r="F59" i="7"/>
  <c r="E59" i="7"/>
  <c r="D59" i="7"/>
  <c r="N57" i="7"/>
  <c r="M57" i="7"/>
  <c r="L57" i="7"/>
  <c r="K57" i="7"/>
  <c r="J57" i="7"/>
  <c r="I57" i="7"/>
  <c r="H57" i="7"/>
  <c r="G57" i="7"/>
  <c r="F57" i="7"/>
  <c r="E57" i="7"/>
  <c r="D57" i="7"/>
  <c r="N56" i="7"/>
  <c r="M56" i="7"/>
  <c r="L56" i="7"/>
  <c r="K56" i="7"/>
  <c r="J56" i="7"/>
  <c r="I56" i="7"/>
  <c r="H56" i="7"/>
  <c r="G56" i="7"/>
  <c r="F56" i="7"/>
  <c r="E56" i="7"/>
  <c r="D56" i="7"/>
  <c r="N55" i="7"/>
  <c r="M55" i="7"/>
  <c r="L55" i="7"/>
  <c r="K55" i="7"/>
  <c r="J55" i="7"/>
  <c r="I55" i="7"/>
  <c r="H55" i="7"/>
  <c r="G55" i="7"/>
  <c r="F55" i="7"/>
  <c r="E55" i="7"/>
  <c r="D55" i="7"/>
  <c r="N50" i="7"/>
  <c r="M50" i="7"/>
  <c r="L50" i="7"/>
  <c r="K50" i="7"/>
  <c r="J50" i="7"/>
  <c r="I50" i="7"/>
  <c r="H50" i="7"/>
  <c r="G50" i="7"/>
  <c r="F50" i="7"/>
  <c r="E50" i="7"/>
  <c r="D50" i="7"/>
  <c r="N51" i="7"/>
  <c r="M51" i="7"/>
  <c r="L51" i="7"/>
  <c r="K51" i="7"/>
  <c r="J51" i="7"/>
  <c r="I51" i="7"/>
  <c r="H51" i="7"/>
  <c r="G51" i="7"/>
  <c r="F51" i="7"/>
  <c r="E51" i="7"/>
  <c r="D51" i="7"/>
  <c r="N49" i="7"/>
  <c r="M49" i="7"/>
  <c r="L49" i="7"/>
  <c r="K49" i="7"/>
  <c r="J49" i="7"/>
  <c r="I49" i="7"/>
  <c r="H49" i="7"/>
  <c r="G49" i="7"/>
  <c r="F49" i="7"/>
  <c r="E49" i="7"/>
  <c r="D49" i="7"/>
  <c r="P3" i="7" l="1"/>
  <c r="R3" i="7"/>
  <c r="O3" i="7"/>
  <c r="O69" i="7"/>
  <c r="O68" i="7"/>
  <c r="O66" i="7"/>
  <c r="O70" i="7"/>
  <c r="O57" i="7"/>
  <c r="O67" i="7"/>
  <c r="O52" i="7"/>
  <c r="O23" i="7" s="1"/>
  <c r="P23" i="7" s="1"/>
  <c r="Q23" i="7" s="1"/>
  <c r="R23" i="7" s="1"/>
  <c r="S23" i="7" s="1"/>
  <c r="O55" i="7"/>
  <c r="O4" i="7" s="1"/>
  <c r="O51" i="7"/>
  <c r="O21" i="7" s="1"/>
  <c r="P21" i="7" s="1"/>
  <c r="Q21" i="7" s="1"/>
  <c r="R21" i="7" s="1"/>
  <c r="S21" i="7" s="1"/>
  <c r="O50" i="7"/>
  <c r="O56" i="7"/>
  <c r="O49" i="7"/>
  <c r="O19" i="7" s="1"/>
  <c r="O60" i="7"/>
  <c r="O61" i="7"/>
  <c r="O62" i="7"/>
  <c r="O59" i="7"/>
  <c r="O63" i="7"/>
  <c r="Q5" i="7"/>
  <c r="G23" i="11"/>
  <c r="F23" i="11"/>
  <c r="E23" i="11"/>
  <c r="D23" i="11"/>
  <c r="C23" i="11"/>
  <c r="G22" i="11"/>
  <c r="F22" i="11"/>
  <c r="E22" i="11"/>
  <c r="D22" i="11"/>
  <c r="C22" i="11"/>
  <c r="G21" i="11"/>
  <c r="F21" i="11"/>
  <c r="E21" i="11"/>
  <c r="D21" i="11"/>
  <c r="C21" i="11"/>
  <c r="M39" i="4"/>
  <c r="M38" i="4" s="1"/>
  <c r="G20" i="11" s="1"/>
  <c r="L39" i="4"/>
  <c r="L38" i="4" s="1"/>
  <c r="F20" i="11" s="1"/>
  <c r="K39" i="4"/>
  <c r="K38" i="4" s="1"/>
  <c r="E20" i="11" s="1"/>
  <c r="J39" i="4"/>
  <c r="J38" i="4" s="1"/>
  <c r="D20" i="11" s="1"/>
  <c r="I39" i="4"/>
  <c r="I38" i="4" s="1"/>
  <c r="C20" i="11" s="1"/>
  <c r="H39" i="4"/>
  <c r="G39" i="4"/>
  <c r="F39" i="4"/>
  <c r="E39" i="4"/>
  <c r="D39" i="4"/>
  <c r="C39" i="4"/>
  <c r="G19" i="11"/>
  <c r="F19" i="11"/>
  <c r="E19" i="11"/>
  <c r="D19" i="11"/>
  <c r="C19" i="11"/>
  <c r="G17" i="11"/>
  <c r="G18" i="11" s="1"/>
  <c r="F17" i="11"/>
  <c r="E17" i="11"/>
  <c r="D17" i="11"/>
  <c r="C17" i="11"/>
  <c r="C18" i="11" s="1"/>
  <c r="B17" i="11"/>
  <c r="G16" i="11"/>
  <c r="F16" i="11"/>
  <c r="E16" i="11"/>
  <c r="E18" i="11" s="1"/>
  <c r="D16" i="11"/>
  <c r="C16" i="11"/>
  <c r="B16" i="11"/>
  <c r="C7" i="11"/>
  <c r="C9" i="11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D2" i="7"/>
  <c r="E2" i="7" s="1"/>
  <c r="F2" i="7" s="1"/>
  <c r="G2" i="7" s="1"/>
  <c r="H2" i="7" s="1"/>
  <c r="I2" i="7" s="1"/>
  <c r="J2" i="7" s="1"/>
  <c r="K2" i="7" s="1"/>
  <c r="L2" i="7" s="1"/>
  <c r="M2" i="7" s="1"/>
  <c r="N2" i="7" s="1"/>
  <c r="Q11" i="2"/>
  <c r="P11" i="2"/>
  <c r="R11" i="2" s="1"/>
  <c r="Q10" i="2"/>
  <c r="P10" i="2"/>
  <c r="R10" i="2" s="1"/>
  <c r="Q9" i="2"/>
  <c r="P9" i="2"/>
  <c r="R9" i="2" s="1"/>
  <c r="Q4" i="2"/>
  <c r="R4" i="2" s="1"/>
  <c r="S4" i="2" s="1"/>
  <c r="T4" i="2" s="1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N7" i="6"/>
  <c r="M7" i="6"/>
  <c r="L7" i="6"/>
  <c r="K7" i="6"/>
  <c r="J7" i="6"/>
  <c r="I7" i="6"/>
  <c r="H7" i="6"/>
  <c r="G7" i="6"/>
  <c r="F7" i="6"/>
  <c r="E7" i="6"/>
  <c r="D7" i="6"/>
  <c r="C7" i="6"/>
  <c r="N5" i="6"/>
  <c r="N6" i="6" s="1"/>
  <c r="M5" i="6"/>
  <c r="M6" i="6" s="1"/>
  <c r="L5" i="6"/>
  <c r="L6" i="6" s="1"/>
  <c r="K5" i="6"/>
  <c r="K6" i="6" s="1"/>
  <c r="J5" i="6"/>
  <c r="J6" i="6" s="1"/>
  <c r="I5" i="6"/>
  <c r="I6" i="6" s="1"/>
  <c r="H5" i="6"/>
  <c r="H6" i="6" s="1"/>
  <c r="G5" i="6"/>
  <c r="G6" i="6" s="1"/>
  <c r="F5" i="6"/>
  <c r="F6" i="6" s="1"/>
  <c r="E5" i="6"/>
  <c r="E6" i="6" s="1"/>
  <c r="D5" i="6"/>
  <c r="D6" i="6" s="1"/>
  <c r="C5" i="6"/>
  <c r="C6" i="6" s="1"/>
  <c r="N4" i="6"/>
  <c r="M4" i="6"/>
  <c r="L4" i="6"/>
  <c r="K4" i="6"/>
  <c r="J4" i="6"/>
  <c r="I4" i="6"/>
  <c r="H4" i="6"/>
  <c r="G4" i="6"/>
  <c r="F4" i="6"/>
  <c r="E4" i="6"/>
  <c r="D4" i="6"/>
  <c r="C4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N32" i="2"/>
  <c r="M32" i="2"/>
  <c r="L32" i="2"/>
  <c r="K32" i="2"/>
  <c r="J32" i="2"/>
  <c r="I32" i="2"/>
  <c r="P32" i="2" s="1"/>
  <c r="H32" i="2"/>
  <c r="G32" i="2"/>
  <c r="F32" i="2"/>
  <c r="E32" i="2"/>
  <c r="D32" i="2"/>
  <c r="C32" i="2"/>
  <c r="P31" i="2"/>
  <c r="P30" i="2"/>
  <c r="P29" i="2"/>
  <c r="P5" i="2" s="1"/>
  <c r="E28" i="2"/>
  <c r="F28" i="2" s="1"/>
  <c r="G28" i="2" s="1"/>
  <c r="H28" i="2" s="1"/>
  <c r="I28" i="2" s="1"/>
  <c r="J28" i="2" s="1"/>
  <c r="K28" i="2" s="1"/>
  <c r="L28" i="2" s="1"/>
  <c r="M28" i="2" s="1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P25" i="2" s="1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P21" i="2" s="1"/>
  <c r="E20" i="2"/>
  <c r="F20" i="2" s="1"/>
  <c r="G20" i="2" s="1"/>
  <c r="H20" i="2" s="1"/>
  <c r="I20" i="2" s="1"/>
  <c r="J20" i="2" s="1"/>
  <c r="K20" i="2" s="1"/>
  <c r="L20" i="2" s="1"/>
  <c r="M20" i="2" s="1"/>
  <c r="E4" i="2"/>
  <c r="F4" i="2" s="1"/>
  <c r="G4" i="2" s="1"/>
  <c r="H4" i="2" s="1"/>
  <c r="I4" i="2" s="1"/>
  <c r="J4" i="2" s="1"/>
  <c r="K4" i="2" s="1"/>
  <c r="L4" i="2" s="1"/>
  <c r="M4" i="2" s="1"/>
  <c r="S5" i="7" l="1"/>
  <c r="S3" i="7" s="1"/>
  <c r="Q3" i="7"/>
  <c r="O20" i="7"/>
  <c r="O18" i="7" s="1"/>
  <c r="O24" i="7" s="1"/>
  <c r="O37" i="7"/>
  <c r="Q11" i="6"/>
  <c r="P4" i="7"/>
  <c r="P19" i="7"/>
  <c r="Q4" i="7"/>
  <c r="P22" i="2"/>
  <c r="P23" i="2"/>
  <c r="P24" i="2"/>
  <c r="F25" i="11"/>
  <c r="F27" i="11" s="1"/>
  <c r="C25" i="11"/>
  <c r="C27" i="11" s="1"/>
  <c r="G25" i="11"/>
  <c r="G27" i="11" s="1"/>
  <c r="D25" i="11"/>
  <c r="D27" i="11" s="1"/>
  <c r="F18" i="11"/>
  <c r="D18" i="11"/>
  <c r="E25" i="11"/>
  <c r="E27" i="11" s="1"/>
  <c r="P6" i="2"/>
  <c r="P7" i="2" s="1"/>
  <c r="Q5" i="2"/>
  <c r="T11" i="2"/>
  <c r="T10" i="2"/>
  <c r="T9" i="2"/>
  <c r="S11" i="2"/>
  <c r="S10" i="2"/>
  <c r="S9" i="2"/>
  <c r="P20" i="7" l="1"/>
  <c r="P18" i="7" s="1"/>
  <c r="P24" i="7" s="1"/>
  <c r="P37" i="7"/>
  <c r="R11" i="6"/>
  <c r="Q19" i="7"/>
  <c r="R4" i="7"/>
  <c r="G26" i="11"/>
  <c r="G29" i="11" s="1"/>
  <c r="G30" i="11" s="1"/>
  <c r="G32" i="11" s="1"/>
  <c r="P12" i="2"/>
  <c r="P8" i="2"/>
  <c r="R5" i="2"/>
  <c r="Q6" i="2"/>
  <c r="Q7" i="2" s="1"/>
  <c r="Q37" i="7" l="1"/>
  <c r="S11" i="6"/>
  <c r="Q20" i="7"/>
  <c r="Q18" i="7" s="1"/>
  <c r="Q24" i="7" s="1"/>
  <c r="R19" i="7"/>
  <c r="S4" i="7"/>
  <c r="Q12" i="2"/>
  <c r="Q8" i="2"/>
  <c r="R6" i="2"/>
  <c r="R7" i="2" s="1"/>
  <c r="S5" i="2"/>
  <c r="P18" i="2"/>
  <c r="P14" i="2" s="1"/>
  <c r="O28" i="7" l="1"/>
  <c r="O4" i="5"/>
  <c r="O40" i="7"/>
  <c r="O41" i="7" s="1"/>
  <c r="R37" i="7"/>
  <c r="T11" i="6"/>
  <c r="R20" i="7"/>
  <c r="R18" i="7" s="1"/>
  <c r="R24" i="7" s="1"/>
  <c r="S19" i="7"/>
  <c r="R8" i="2"/>
  <c r="R12" i="2"/>
  <c r="T5" i="2"/>
  <c r="S6" i="2"/>
  <c r="S7" i="2" s="1"/>
  <c r="Q18" i="2"/>
  <c r="Q14" i="2" s="1"/>
  <c r="P28" i="7" l="1"/>
  <c r="P40" i="7" s="1"/>
  <c r="P41" i="7" s="1"/>
  <c r="P4" i="5"/>
  <c r="S20" i="7"/>
  <c r="S18" i="7" s="1"/>
  <c r="S24" i="7" s="1"/>
  <c r="S37" i="7"/>
  <c r="U11" i="6"/>
  <c r="S8" i="2"/>
  <c r="S12" i="2"/>
  <c r="T6" i="2"/>
  <c r="T7" i="2" s="1"/>
  <c r="R18" i="2"/>
  <c r="R14" i="2" s="1"/>
  <c r="Q28" i="7" l="1"/>
  <c r="Q4" i="5"/>
  <c r="Q40" i="7"/>
  <c r="Q41" i="7" s="1"/>
  <c r="T12" i="2"/>
  <c r="T8" i="2"/>
  <c r="S18" i="2"/>
  <c r="S14" i="2" s="1"/>
  <c r="R28" i="7" l="1"/>
  <c r="R4" i="5"/>
  <c r="R40" i="7"/>
  <c r="R41" i="7" s="1"/>
  <c r="T18" i="2"/>
  <c r="T14" i="2" s="1"/>
  <c r="S28" i="7" l="1"/>
  <c r="S40" i="7" s="1"/>
  <c r="S41" i="7" s="1"/>
  <c r="S4" i="5"/>
</calcChain>
</file>

<file path=xl/sharedStrings.xml><?xml version="1.0" encoding="utf-8"?>
<sst xmlns="http://schemas.openxmlformats.org/spreadsheetml/2006/main" count="256" uniqueCount="173">
  <si>
    <t>TTM</t>
  </si>
  <si>
    <t>Sales +</t>
  </si>
  <si>
    <t>Expenses +</t>
  </si>
  <si>
    <t>Operating Profit</t>
  </si>
  <si>
    <t>OPM %</t>
  </si>
  <si>
    <t>Other Income +</t>
  </si>
  <si>
    <t>Interest</t>
  </si>
  <si>
    <t>Depreciation</t>
  </si>
  <si>
    <t>Profit before tax</t>
  </si>
  <si>
    <t>Tax %</t>
  </si>
  <si>
    <t>Net Profit +</t>
  </si>
  <si>
    <t>EPS in Rs</t>
  </si>
  <si>
    <t>Dividend Payout %</t>
  </si>
  <si>
    <t>Years</t>
  </si>
  <si>
    <t>Income Statements</t>
  </si>
  <si>
    <t>Horizontal Analysis</t>
  </si>
  <si>
    <t>Vertical Analysis</t>
  </si>
  <si>
    <t>YoY sales growth</t>
  </si>
  <si>
    <t>-</t>
  </si>
  <si>
    <t>Tata Motor Financial Analysis</t>
  </si>
  <si>
    <t>Expenses as of revenue</t>
  </si>
  <si>
    <t>Operating Profit as of revenue</t>
  </si>
  <si>
    <t>Interest as of revenue</t>
  </si>
  <si>
    <t>Profit before tax as of revenue</t>
  </si>
  <si>
    <t>Net profit as of revenue</t>
  </si>
  <si>
    <t>YoY Expenses growth</t>
  </si>
  <si>
    <t>YoY profit before tax growth</t>
  </si>
  <si>
    <t>YoY net profit growth</t>
  </si>
  <si>
    <t>Equity Capital</t>
  </si>
  <si>
    <t>Reserves</t>
  </si>
  <si>
    <t>Borrowings -</t>
  </si>
  <si>
    <t>Long term Borrowings</t>
  </si>
  <si>
    <t>Short term Borrowings</t>
  </si>
  <si>
    <t>Lease Liabilities</t>
  </si>
  <si>
    <t>Other Borrowings</t>
  </si>
  <si>
    <t>Other Liabilities -</t>
  </si>
  <si>
    <t>Non controlling int</t>
  </si>
  <si>
    <t>Trade Payables</t>
  </si>
  <si>
    <t>Advance from Customers</t>
  </si>
  <si>
    <t>Other liability items</t>
  </si>
  <si>
    <t>Total Liabilities</t>
  </si>
  <si>
    <t>Fixed Assets -</t>
  </si>
  <si>
    <t>Land</t>
  </si>
  <si>
    <t>Building</t>
  </si>
  <si>
    <t>Plant Machinery</t>
  </si>
  <si>
    <t>Equipments</t>
  </si>
  <si>
    <t>Computers</t>
  </si>
  <si>
    <t>Furniture n fittings</t>
  </si>
  <si>
    <t>Vehicles</t>
  </si>
  <si>
    <t>Intangible Assets</t>
  </si>
  <si>
    <t>Other fixed assets</t>
  </si>
  <si>
    <t>Gross Block</t>
  </si>
  <si>
    <t>Accumulated Depreciation</t>
  </si>
  <si>
    <t>CWIP</t>
  </si>
  <si>
    <t>Investments</t>
  </si>
  <si>
    <t>Other Assets -</t>
  </si>
  <si>
    <t>Inventories</t>
  </si>
  <si>
    <t>Trade receivables +</t>
  </si>
  <si>
    <t>Cash Equivalents</t>
  </si>
  <si>
    <t>Short term loans</t>
  </si>
  <si>
    <t>Other asset items</t>
  </si>
  <si>
    <t>Total Assets</t>
  </si>
  <si>
    <t>Balance Sheet Analysis</t>
  </si>
  <si>
    <t>Cash from Operating Activity -</t>
  </si>
  <si>
    <t>Profit from operations</t>
  </si>
  <si>
    <t>Receivables</t>
  </si>
  <si>
    <t>Inventory</t>
  </si>
  <si>
    <t>Payables</t>
  </si>
  <si>
    <t>Loans Advances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</si>
  <si>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</si>
  <si>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</si>
  <si>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</si>
  <si>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</si>
  <si>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</si>
  <si>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</si>
  <si>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</si>
  <si>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</si>
  <si>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</si>
  <si>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</si>
  <si>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</si>
  <si>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</si>
  <si>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</si>
  <si>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</si>
  <si>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</si>
  <si>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 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</si>
  <si>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</si>
  <si>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</si>
  <si>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</si>
  <si>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</si>
  <si>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</si>
  <si>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</si>
  <si>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</si>
  <si>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</si>
  <si>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Net Cash Flow</t>
  </si>
  <si>
    <t>Cash Flow Statements</t>
  </si>
  <si>
    <t>Fixed Asset Turnover</t>
  </si>
  <si>
    <t>Net Working Capital</t>
  </si>
  <si>
    <t>Net Working Capital/Sales</t>
  </si>
  <si>
    <t>Debt to Total Capital</t>
  </si>
  <si>
    <t>Ratio Analysis</t>
  </si>
  <si>
    <t>ROCE%</t>
  </si>
  <si>
    <t>ROE%</t>
  </si>
  <si>
    <t>Current Assets</t>
  </si>
  <si>
    <t>Current Liabilities</t>
  </si>
  <si>
    <t>Debt Distribution</t>
  </si>
  <si>
    <t>Risk Free Rate</t>
  </si>
  <si>
    <t xml:space="preserve">Beta </t>
  </si>
  <si>
    <t>Market Return</t>
  </si>
  <si>
    <t>Cost of Equity</t>
  </si>
  <si>
    <t>Market Risk Premium</t>
  </si>
  <si>
    <t>Income Tax</t>
  </si>
  <si>
    <t>x</t>
  </si>
  <si>
    <t>Depriciation Expenses</t>
  </si>
  <si>
    <t>Capital Expenditure</t>
  </si>
  <si>
    <t>Depriciation</t>
  </si>
  <si>
    <t>Net Borrowing</t>
  </si>
  <si>
    <t>FCFE</t>
  </si>
  <si>
    <t>Terminal Value</t>
  </si>
  <si>
    <t>Growth Rate (g)</t>
  </si>
  <si>
    <t>Present Value of FCFE</t>
  </si>
  <si>
    <t>PV of terminal value</t>
  </si>
  <si>
    <t>Equity Value</t>
  </si>
  <si>
    <t>Intrinsic Value/ Share</t>
  </si>
  <si>
    <t>Shares outstanding</t>
  </si>
  <si>
    <t>3,835,975,190 </t>
  </si>
  <si>
    <t>Fixed Assets </t>
  </si>
  <si>
    <t>Average Rates</t>
  </si>
  <si>
    <t>CMP</t>
  </si>
  <si>
    <t>Forecast</t>
  </si>
  <si>
    <t>Tax:</t>
  </si>
  <si>
    <t>EBITDA Margins</t>
  </si>
  <si>
    <t>Fixed Assets</t>
  </si>
  <si>
    <t>Plant</t>
  </si>
  <si>
    <t>Forecast (Average of Previous 5 Years)</t>
  </si>
  <si>
    <t>Short Term Borrowing</t>
  </si>
  <si>
    <t>Payable</t>
  </si>
  <si>
    <t>Other Liabilities</t>
  </si>
  <si>
    <t>Long Term Borrowing</t>
  </si>
  <si>
    <t>Liabilities</t>
  </si>
  <si>
    <t>Loans n Advances</t>
  </si>
  <si>
    <t>Liability +Equity</t>
  </si>
  <si>
    <t>Average Accounts Payable</t>
  </si>
  <si>
    <t>Payable Ratio</t>
  </si>
  <si>
    <t>DPO</t>
  </si>
  <si>
    <t>DSO</t>
  </si>
  <si>
    <t>Intrinsic Valuation</t>
  </si>
  <si>
    <t>Comparative Analysis</t>
  </si>
  <si>
    <t>Maruti Suzuki</t>
  </si>
  <si>
    <t>Mahindra</t>
  </si>
  <si>
    <t>Profitability Metrics</t>
  </si>
  <si>
    <t>Revenue Growth</t>
  </si>
  <si>
    <t>Net income Margins</t>
  </si>
  <si>
    <t>ROE</t>
  </si>
  <si>
    <t>Liquidity Metrics</t>
  </si>
  <si>
    <t xml:space="preserve">Current Ratio </t>
  </si>
  <si>
    <t>Quick Ratio</t>
  </si>
  <si>
    <t>Leverage Ratio</t>
  </si>
  <si>
    <t>Debt-Equity</t>
  </si>
  <si>
    <t>Interest Coverage</t>
  </si>
  <si>
    <t>Valuation Metrics</t>
  </si>
  <si>
    <t>EV/EBITDA</t>
  </si>
  <si>
    <t>EV/REVENUE</t>
  </si>
  <si>
    <t>P/E</t>
  </si>
  <si>
    <t>Market Metrics</t>
  </si>
  <si>
    <t>Market Share</t>
  </si>
  <si>
    <t>Prod/Sales Volume</t>
  </si>
  <si>
    <t>Industry-Specific metrics</t>
  </si>
  <si>
    <t>CapEx as % of Revenue</t>
  </si>
  <si>
    <t>R&amp;D as % of Revenue</t>
  </si>
  <si>
    <t>Tata Motors</t>
  </si>
  <si>
    <t>Hyundai</t>
  </si>
  <si>
    <t>ROCE</t>
  </si>
  <si>
    <t>Potential Companies to Merge / Acquire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</si>
</sst>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;@"/>
    <numFmt numFmtId="165" formatCode="0.00_);[Red]\(0.00\)"/>
    <numFmt numFmtId="166" formatCode="0.0000000%"/>
  </numFmts>
  <fonts count="2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b/>
      <sz val="11"/>
      <color rgb="FF22222F"/>
      <name val="Arial"/>
      <family val="2"/>
    </font>
    <font>
      <b/>
      <i/>
      <sz val="11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22222F"/>
      <name val="Aptos Narrow"/>
      <family val="2"/>
      <scheme val="minor"/>
    </font>
    <font>
      <sz val="11"/>
      <color rgb="FF22222F"/>
      <name val="Aptos Narrow"/>
      <family val="2"/>
      <scheme val="minor"/>
    </font>
    <font>
      <sz val="11"/>
      <color rgb="FFFF0000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theme="3" tint="0.499984740745262"/>
      <name val="Arial"/>
      <family val="2"/>
    </font>
    <font>
      <b/>
      <sz val="11"/>
      <color rgb="FF22222F"/>
      <name val="Aptos Narrow"/>
      <family val="2"/>
      <scheme val="minor"/>
    </font>
    <font>
      <b/>
      <sz val="11"/>
      <color theme="1" tint="4.9989318521683403E-2"/>
      <name val="Arial"/>
      <family val="2"/>
    </font>
    <font>
      <b/>
      <sz val="11"/>
      <color rgb="FFFF0000"/>
      <name val="Arial"/>
      <family val="2"/>
    </font>
    <font>
      <b/>
      <i/>
      <u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ptos Narrow"/>
      <family val="2"/>
      <scheme val="minor"/>
    </font>
    <font>
      <b/>
      <i/>
      <u/>
      <sz val="11"/>
      <color rgb="FF22222F"/>
      <name val="Arial"/>
      <family val="2"/>
    </font>
    <font>
      <b/>
      <sz val="11"/>
      <color theme="3" tint="0.249977111117893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/>
    <xf numFmtId="0" fontId="4" fillId="2" borderId="1" xfId="0" applyFont="1" applyFill="1" applyBorder="1" applyAlignment="1">
      <alignment horizontal="left" vertical="center" indent="1"/>
    </xf>
    <xf numFmtId="3" fontId="4" fillId="2" borderId="1" xfId="0" applyNumberFormat="1" applyFont="1" applyFill="1" applyBorder="1" applyAlignment="1">
      <alignment horizontal="right" vertical="center" wrapText="1" indent="1"/>
    </xf>
    <xf numFmtId="0" fontId="5" fillId="2" borderId="1" xfId="0" applyFont="1" applyFill="1" applyBorder="1" applyAlignment="1">
      <alignment horizontal="left" vertical="center" indent="1"/>
    </xf>
    <xf numFmtId="3" fontId="5" fillId="2" borderId="1" xfId="0" applyNumberFormat="1" applyFont="1" applyFill="1" applyBorder="1" applyAlignment="1">
      <alignment horizontal="right" vertical="center" wrapText="1" indent="1"/>
    </xf>
    <xf numFmtId="0" fontId="4" fillId="2" borderId="1" xfId="0" applyFont="1" applyFill="1" applyBorder="1" applyAlignment="1">
      <alignment horizontal="right" vertical="center" wrapText="1" inden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3" fillId="3" borderId="1" xfId="0" applyNumberFormat="1" applyFont="1" applyFill="1" applyBorder="1" applyAlignment="1">
      <alignment horizontal="center" vertical="center" wrapText="1"/>
    </xf>
    <xf numFmtId="17" fontId="6" fillId="3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/>
    </xf>
    <xf numFmtId="0" fontId="7" fillId="4" borderId="0" xfId="0" applyFont="1" applyFill="1"/>
    <xf numFmtId="0" fontId="7" fillId="0" borderId="0" xfId="0" applyFont="1"/>
    <xf numFmtId="10" fontId="8" fillId="0" borderId="0" xfId="0" applyNumberFormat="1" applyFont="1"/>
    <xf numFmtId="0" fontId="9" fillId="4" borderId="0" xfId="0" applyFont="1" applyFill="1"/>
    <xf numFmtId="10" fontId="1" fillId="0" borderId="0" xfId="0" applyNumberFormat="1" applyFont="1"/>
    <xf numFmtId="165" fontId="10" fillId="2" borderId="1" xfId="0" applyNumberFormat="1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right" vertical="center" wrapText="1" indent="1"/>
    </xf>
    <xf numFmtId="3" fontId="12" fillId="2" borderId="1" xfId="0" applyNumberFormat="1" applyFont="1" applyFill="1" applyBorder="1" applyAlignment="1">
      <alignment horizontal="right" vertical="center" wrapText="1" indent="1"/>
    </xf>
    <xf numFmtId="0" fontId="6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right" vertical="center" wrapText="1" indent="1"/>
    </xf>
    <xf numFmtId="3" fontId="6" fillId="2" borderId="1" xfId="0" applyNumberFormat="1" applyFont="1" applyFill="1" applyBorder="1" applyAlignment="1">
      <alignment horizontal="right" vertical="center" wrapText="1" indent="1"/>
    </xf>
    <xf numFmtId="0" fontId="0" fillId="0" borderId="0" xfId="0" applyAlignment="1">
      <alignment horizontal="center"/>
    </xf>
    <xf numFmtId="0" fontId="12" fillId="2" borderId="1" xfId="0" applyFont="1" applyFill="1" applyBorder="1" applyAlignment="1">
      <alignment horizontal="right" vertical="center" wrapText="1" indent="1"/>
    </xf>
    <xf numFmtId="0" fontId="6" fillId="2" borderId="1" xfId="0" applyFont="1" applyFill="1" applyBorder="1" applyAlignment="1">
      <alignment horizontal="left" vertical="center"/>
    </xf>
    <xf numFmtId="10" fontId="0" fillId="0" borderId="0" xfId="0" applyNumberFormat="1"/>
    <xf numFmtId="10" fontId="2" fillId="0" borderId="0" xfId="0" applyNumberFormat="1" applyFont="1"/>
    <xf numFmtId="3" fontId="0" fillId="0" borderId="0" xfId="0" applyNumberFormat="1"/>
    <xf numFmtId="0" fontId="0" fillId="2" borderId="1" xfId="0" applyFill="1" applyBorder="1"/>
    <xf numFmtId="3" fontId="14" fillId="2" borderId="1" xfId="0" applyNumberFormat="1" applyFont="1" applyFill="1" applyBorder="1" applyAlignment="1">
      <alignment horizontal="right" vertical="center" wrapText="1" indent="1"/>
    </xf>
    <xf numFmtId="0" fontId="14" fillId="2" borderId="1" xfId="0" applyFont="1" applyFill="1" applyBorder="1" applyAlignment="1">
      <alignment horizontal="left" vertical="center"/>
    </xf>
    <xf numFmtId="3" fontId="3" fillId="2" borderId="1" xfId="0" applyNumberFormat="1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right" vertical="center" wrapText="1" indent="1"/>
    </xf>
    <xf numFmtId="0" fontId="14" fillId="2" borderId="1" xfId="0" applyFont="1" applyFill="1" applyBorder="1" applyAlignment="1">
      <alignment horizontal="right" vertical="center" wrapText="1" indent="1"/>
    </xf>
    <xf numFmtId="17" fontId="13" fillId="5" borderId="1" xfId="0" applyNumberFormat="1" applyFont="1" applyFill="1" applyBorder="1" applyAlignment="1">
      <alignment horizontal="right" vertical="center" wrapText="1" indent="1"/>
    </xf>
    <xf numFmtId="0" fontId="3" fillId="2" borderId="1" xfId="0" applyFont="1" applyFill="1" applyBorder="1" applyAlignment="1">
      <alignment horizontal="left" vertical="center" indent="2"/>
    </xf>
    <xf numFmtId="0" fontId="12" fillId="2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 indent="1"/>
    </xf>
    <xf numFmtId="3" fontId="14" fillId="6" borderId="1" xfId="0" applyNumberFormat="1" applyFont="1" applyFill="1" applyBorder="1" applyAlignment="1">
      <alignment horizontal="right" vertical="center" wrapText="1" indent="1"/>
    </xf>
    <xf numFmtId="0" fontId="14" fillId="3" borderId="1" xfId="0" applyFont="1" applyFill="1" applyBorder="1" applyAlignment="1">
      <alignment horizontal="left" vertical="center" indent="1"/>
    </xf>
    <xf numFmtId="3" fontId="14" fillId="3" borderId="1" xfId="0" applyNumberFormat="1" applyFont="1" applyFill="1" applyBorder="1" applyAlignment="1">
      <alignment horizontal="right" vertical="center" wrapText="1" indent="1"/>
    </xf>
    <xf numFmtId="0" fontId="14" fillId="3" borderId="1" xfId="0" applyFont="1" applyFill="1" applyBorder="1" applyAlignment="1">
      <alignment horizontal="right" vertical="center" wrapText="1" indent="1"/>
    </xf>
    <xf numFmtId="0" fontId="7" fillId="0" borderId="0" xfId="0" applyFont="1" applyAlignment="1">
      <alignment horizontal="center"/>
    </xf>
    <xf numFmtId="0" fontId="7" fillId="7" borderId="0" xfId="0" applyFont="1" applyFill="1"/>
    <xf numFmtId="0" fontId="15" fillId="2" borderId="1" xfId="0" applyFont="1" applyFill="1" applyBorder="1" applyAlignment="1">
      <alignment horizontal="right" vertical="center" wrapText="1" indent="1"/>
    </xf>
    <xf numFmtId="0" fontId="12" fillId="2" borderId="1" xfId="0" applyFont="1" applyFill="1" applyBorder="1" applyAlignment="1">
      <alignment horizontal="left" vertical="center" indent="2"/>
    </xf>
    <xf numFmtId="10" fontId="10" fillId="2" borderId="1" xfId="0" applyNumberFormat="1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17" fillId="8" borderId="1" xfId="0" applyNumberFormat="1" applyFont="1" applyFill="1" applyBorder="1" applyAlignment="1">
      <alignment horizontal="center" vertical="center" wrapText="1"/>
    </xf>
    <xf numFmtId="164" fontId="3" fillId="8" borderId="1" xfId="0" applyNumberFormat="1" applyFont="1" applyFill="1" applyBorder="1" applyAlignment="1">
      <alignment horizontal="right" vertical="center" wrapText="1" indent="1"/>
    </xf>
    <xf numFmtId="3" fontId="18" fillId="2" borderId="1" xfId="0" applyNumberFormat="1" applyFont="1" applyFill="1" applyBorder="1" applyAlignment="1">
      <alignment horizontal="right" vertical="center" wrapText="1" indent="1"/>
    </xf>
    <xf numFmtId="17" fontId="13" fillId="8" borderId="1" xfId="0" applyNumberFormat="1" applyFont="1" applyFill="1" applyBorder="1" applyAlignment="1">
      <alignment horizontal="right" vertical="center" wrapText="1" indent="1"/>
    </xf>
    <xf numFmtId="3" fontId="6" fillId="6" borderId="1" xfId="0" applyNumberFormat="1" applyFont="1" applyFill="1" applyBorder="1" applyAlignment="1">
      <alignment horizontal="right" vertical="center" wrapText="1" indent="1"/>
    </xf>
    <xf numFmtId="3" fontId="6" fillId="3" borderId="1" xfId="0" applyNumberFormat="1" applyFont="1" applyFill="1" applyBorder="1" applyAlignment="1">
      <alignment horizontal="right" vertical="center" wrapText="1" indent="1"/>
    </xf>
    <xf numFmtId="10" fontId="10" fillId="6" borderId="1" xfId="0" applyNumberFormat="1" applyFont="1" applyFill="1" applyBorder="1" applyAlignment="1">
      <alignment horizontal="center" vertical="center" wrapText="1"/>
    </xf>
    <xf numFmtId="10" fontId="8" fillId="6" borderId="0" xfId="0" applyNumberFormat="1" applyFont="1" applyFill="1"/>
    <xf numFmtId="0" fontId="2" fillId="0" borderId="0" xfId="0" applyFont="1"/>
    <xf numFmtId="164" fontId="0" fillId="0" borderId="0" xfId="0" applyNumberFormat="1"/>
    <xf numFmtId="164" fontId="3" fillId="6" borderId="1" xfId="0" applyNumberFormat="1" applyFont="1" applyFill="1" applyBorder="1" applyAlignment="1">
      <alignment horizontal="right" vertical="center" wrapText="1" indent="1"/>
    </xf>
    <xf numFmtId="0" fontId="2" fillId="7" borderId="0" xfId="0" applyFont="1" applyFill="1"/>
    <xf numFmtId="164" fontId="2" fillId="9" borderId="0" xfId="0" applyNumberFormat="1" applyFont="1" applyFill="1"/>
    <xf numFmtId="165" fontId="10" fillId="6" borderId="1" xfId="0" applyNumberFormat="1" applyFont="1" applyFill="1" applyBorder="1" applyAlignment="1">
      <alignment horizontal="center" vertical="center" wrapText="1"/>
    </xf>
    <xf numFmtId="165" fontId="11" fillId="6" borderId="1" xfId="0" applyNumberFormat="1" applyFont="1" applyFill="1" applyBorder="1" applyAlignment="1">
      <alignment horizontal="center" vertical="center" wrapText="1"/>
    </xf>
    <xf numFmtId="0" fontId="7" fillId="6" borderId="0" xfId="0" applyFont="1" applyFill="1"/>
    <xf numFmtId="2" fontId="0" fillId="0" borderId="0" xfId="0" applyNumberFormat="1"/>
    <xf numFmtId="3" fontId="6" fillId="0" borderId="1" xfId="0" applyNumberFormat="1" applyFont="1" applyBorder="1" applyAlignment="1">
      <alignment horizontal="right" vertical="center" wrapText="1" indent="1"/>
    </xf>
    <xf numFmtId="17" fontId="6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right" vertical="center" wrapText="1" indent="1"/>
    </xf>
    <xf numFmtId="0" fontId="0" fillId="0" borderId="1" xfId="0" applyBorder="1"/>
    <xf numFmtId="10" fontId="0" fillId="10" borderId="1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166" fontId="0" fillId="10" borderId="1" xfId="0" applyNumberFormat="1" applyFill="1" applyBorder="1"/>
    <xf numFmtId="0" fontId="2" fillId="0" borderId="1" xfId="0" applyFont="1" applyBorder="1"/>
    <xf numFmtId="166" fontId="2" fillId="10" borderId="1" xfId="0" applyNumberFormat="1" applyFont="1" applyFill="1" applyBorder="1"/>
    <xf numFmtId="0" fontId="3" fillId="2" borderId="0" xfId="0" applyFont="1" applyFill="1" applyAlignment="1">
      <alignment horizontal="left" vertical="center"/>
    </xf>
    <xf numFmtId="0" fontId="6" fillId="6" borderId="1" xfId="0" applyFont="1" applyFill="1" applyBorder="1" applyAlignment="1">
      <alignment horizontal="left" vertical="center" indent="1"/>
    </xf>
    <xf numFmtId="2" fontId="2" fillId="0" borderId="0" xfId="0" applyNumberFormat="1" applyFont="1"/>
    <xf numFmtId="1" fontId="0" fillId="0" borderId="0" xfId="0" applyNumberFormat="1"/>
    <xf numFmtId="0" fontId="2" fillId="0" borderId="0" xfId="0" applyFont="1" applyAlignment="1">
      <alignment horizontal="right"/>
    </xf>
    <xf numFmtId="1" fontId="2" fillId="0" borderId="0" xfId="0" applyNumberFormat="1" applyFont="1"/>
    <xf numFmtId="3" fontId="20" fillId="2" borderId="1" xfId="0" applyNumberFormat="1" applyFont="1" applyFill="1" applyBorder="1" applyAlignment="1">
      <alignment horizontal="right" vertical="center" wrapText="1" indent="1"/>
    </xf>
    <xf numFmtId="3" fontId="21" fillId="2" borderId="1" xfId="0" applyNumberFormat="1" applyFont="1" applyFill="1" applyBorder="1" applyAlignment="1">
      <alignment horizontal="right" vertical="center" wrapText="1" indent="1"/>
    </xf>
    <xf numFmtId="0" fontId="20" fillId="2" borderId="1" xfId="0" applyFont="1" applyFill="1" applyBorder="1" applyAlignment="1">
      <alignment horizontal="right" vertical="center" wrapText="1" indent="1"/>
    </xf>
    <xf numFmtId="0" fontId="2" fillId="11" borderId="0" xfId="0" applyFont="1" applyFill="1"/>
    <xf numFmtId="0" fontId="22" fillId="0" borderId="0" xfId="0" applyFont="1"/>
    <xf numFmtId="2" fontId="22" fillId="0" borderId="0" xfId="0" applyNumberFormat="1" applyFont="1"/>
    <xf numFmtId="0" fontId="19" fillId="0" borderId="1" xfId="0" applyFont="1" applyBorder="1"/>
    <xf numFmtId="3" fontId="0" fillId="0" borderId="1" xfId="0" applyNumberFormat="1" applyBorder="1"/>
    <xf numFmtId="3" fontId="2" fillId="0" borderId="1" xfId="0" applyNumberFormat="1" applyFont="1" applyBorder="1"/>
    <xf numFmtId="0" fontId="23" fillId="2" borderId="0" xfId="0" applyFont="1" applyFill="1" applyAlignment="1">
      <alignment horizontal="left" vertical="center"/>
    </xf>
    <xf numFmtId="2" fontId="0" fillId="0" borderId="1" xfId="0" applyNumberFormat="1" applyBorder="1"/>
    <xf numFmtId="10" fontId="0" fillId="0" borderId="1" xfId="0" applyNumberFormat="1" applyBorder="1"/>
    <xf numFmtId="10" fontId="24" fillId="0" borderId="1" xfId="0" applyNumberFormat="1" applyFont="1" applyBorder="1"/>
    <xf numFmtId="0" fontId="3" fillId="2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indent="1"/>
    </xf>
    <xf numFmtId="0" fontId="0" fillId="0" borderId="0" xfId="0" applyAlignment="1">
      <alignment horizontal="left" indent="1"/>
    </xf>
    <xf numFmtId="10" fontId="24" fillId="0" borderId="0" xfId="0" applyNumberFormat="1" applyFont="1"/>
    <xf numFmtId="10" fontId="2" fillId="0" borderId="1" xfId="0" applyNumberFormat="1" applyFont="1" applyBorder="1"/>
    <xf numFmtId="0" fontId="10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10" fontId="0" fillId="0" borderId="2" xfId="0" applyNumberFormat="1" applyBorder="1"/>
    <xf numFmtId="3" fontId="2" fillId="0" borderId="0" xfId="0" applyNumberFormat="1" applyFont="1"/>
    <xf numFmtId="17" fontId="6" fillId="13" borderId="1" xfId="0" applyNumberFormat="1" applyFont="1" applyFill="1" applyBorder="1" applyAlignment="1">
      <alignment horizontal="center" vertical="center" wrapText="1"/>
    </xf>
    <xf numFmtId="164" fontId="6" fillId="13" borderId="1" xfId="0" applyNumberFormat="1" applyFont="1" applyFill="1" applyBorder="1" applyAlignment="1">
      <alignment horizontal="right" vertical="center" wrapText="1" indent="1"/>
    </xf>
    <xf numFmtId="3" fontId="3" fillId="2" borderId="0" xfId="0" applyNumberFormat="1" applyFont="1" applyFill="1" applyAlignment="1">
      <alignment horizontal="right" vertical="center" wrapText="1" inden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3" fontId="2" fillId="15" borderId="0" xfId="0" applyNumberFormat="1" applyFont="1" applyFill="1"/>
    <xf numFmtId="0" fontId="2" fillId="15" borderId="0" xfId="0" applyFont="1" applyFill="1"/>
    <xf numFmtId="0" fontId="0" fillId="0" borderId="2" xfId="0" applyBorder="1"/>
    <xf numFmtId="0" fontId="6" fillId="15" borderId="2" xfId="0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left" vertical="center" indent="1"/>
    </xf>
    <xf numFmtId="3" fontId="3" fillId="15" borderId="1" xfId="0" applyNumberFormat="1" applyFont="1" applyFill="1" applyBorder="1" applyAlignment="1">
      <alignment horizontal="right" vertical="center" wrapText="1" indent="1"/>
    </xf>
    <xf numFmtId="3" fontId="25" fillId="0" borderId="1" xfId="0" applyNumberFormat="1" applyFont="1" applyBorder="1"/>
    <xf numFmtId="3" fontId="2" fillId="12" borderId="0" xfId="0" applyNumberFormat="1" applyFont="1" applyFill="1"/>
    <xf numFmtId="0" fontId="6" fillId="0" borderId="1" xfId="0" applyFont="1" applyBorder="1" applyAlignment="1">
      <alignment horizontal="right" vertical="center" wrapText="1" indent="1"/>
    </xf>
    <xf numFmtId="0" fontId="26" fillId="16" borderId="1" xfId="0" applyFont="1" applyFill="1" applyBorder="1"/>
    <xf numFmtId="0" fontId="27" fillId="0" borderId="0" xfId="0" applyFont="1"/>
    <xf numFmtId="9" fontId="0" fillId="0" borderId="0" xfId="0" applyNumberFormat="1"/>
    <xf numFmtId="0" fontId="2" fillId="12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DC72-C3BE-47CC-BD9A-5D9CEEF40E16}">
  <dimension ref="A1:U32"/>
  <sheetViews>
    <sheetView zoomScale="88" zoomScaleNormal="88" workbookViewId="0">
      <selection activeCell="C32" sqref="C32"/>
    </sheetView>
  </sheetViews>
  <sheetFormatPr defaultRowHeight="14.4" x14ac:dyDescent="0.3"/>
  <cols>
    <col min="1" max="1" width="28.21875" bestFit="1" customWidth="1"/>
    <col min="2" max="7" width="11.21875" bestFit="1" customWidth="1"/>
    <col min="8" max="11" width="12.109375" bestFit="1" customWidth="1"/>
    <col min="12" max="14" width="11.21875" bestFit="1" customWidth="1"/>
    <col min="15" max="15" width="4.21875" bestFit="1" customWidth="1"/>
    <col min="16" max="16" width="14.6640625" bestFit="1" customWidth="1"/>
    <col min="17" max="20" width="9.5546875" bestFit="1" customWidth="1"/>
  </cols>
  <sheetData>
    <row r="1" spans="1:21" ht="15.6" x14ac:dyDescent="0.3">
      <c r="A1" s="17" t="s">
        <v>19</v>
      </c>
    </row>
    <row r="2" spans="1:21" ht="7.8" customHeight="1" x14ac:dyDescent="0.3"/>
    <row r="3" spans="1:21" x14ac:dyDescent="0.3">
      <c r="A3" s="14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30" t="s">
        <v>128</v>
      </c>
      <c r="Q3" s="130"/>
      <c r="R3" s="130"/>
      <c r="S3" s="130"/>
      <c r="T3" s="130"/>
    </row>
    <row r="4" spans="1:21" x14ac:dyDescent="0.3">
      <c r="A4" s="11" t="s">
        <v>13</v>
      </c>
      <c r="B4" s="12">
        <v>41346</v>
      </c>
      <c r="C4" s="12">
        <v>45365</v>
      </c>
      <c r="D4" s="12">
        <v>45366</v>
      </c>
      <c r="E4" s="12">
        <f>D4+1</f>
        <v>45367</v>
      </c>
      <c r="F4" s="12">
        <f t="shared" ref="F4:M4" si="0">E4+1</f>
        <v>45368</v>
      </c>
      <c r="G4" s="12">
        <f t="shared" si="0"/>
        <v>45369</v>
      </c>
      <c r="H4" s="58">
        <f t="shared" si="0"/>
        <v>45370</v>
      </c>
      <c r="I4" s="58">
        <f t="shared" si="0"/>
        <v>45371</v>
      </c>
      <c r="J4" s="58">
        <f t="shared" si="0"/>
        <v>45372</v>
      </c>
      <c r="K4" s="12">
        <f t="shared" si="0"/>
        <v>45373</v>
      </c>
      <c r="L4" s="12">
        <f t="shared" si="0"/>
        <v>45374</v>
      </c>
      <c r="M4" s="12">
        <f t="shared" si="0"/>
        <v>45375</v>
      </c>
      <c r="N4" s="13" t="s">
        <v>0</v>
      </c>
      <c r="P4" s="66">
        <v>2025</v>
      </c>
      <c r="Q4" s="66">
        <f>P4+1</f>
        <v>2026</v>
      </c>
      <c r="R4" s="66">
        <f t="shared" ref="R4:T4" si="1">Q4+1</f>
        <v>2027</v>
      </c>
      <c r="S4" s="66">
        <f t="shared" si="1"/>
        <v>2028</v>
      </c>
      <c r="T4" s="66">
        <f t="shared" si="1"/>
        <v>2029</v>
      </c>
    </row>
    <row r="5" spans="1:21" x14ac:dyDescent="0.3">
      <c r="A5" s="7" t="s">
        <v>1</v>
      </c>
      <c r="B5" s="19">
        <v>188793</v>
      </c>
      <c r="C5" s="19">
        <v>232834</v>
      </c>
      <c r="D5" s="19">
        <v>263159</v>
      </c>
      <c r="E5" s="19">
        <v>273046</v>
      </c>
      <c r="F5" s="19">
        <v>269693</v>
      </c>
      <c r="G5" s="19">
        <v>291550</v>
      </c>
      <c r="H5" s="19">
        <v>301938</v>
      </c>
      <c r="I5" s="19">
        <v>261068</v>
      </c>
      <c r="J5" s="19">
        <v>249795</v>
      </c>
      <c r="K5" s="19">
        <v>278454</v>
      </c>
      <c r="L5" s="19">
        <v>345967</v>
      </c>
      <c r="M5" s="19">
        <v>437928</v>
      </c>
      <c r="N5" s="19">
        <v>443739</v>
      </c>
      <c r="P5" s="74">
        <f>N5*P29</f>
        <v>39444.491797977964</v>
      </c>
      <c r="Q5" s="74">
        <f>P5*P29</f>
        <v>3506.2681738606498</v>
      </c>
      <c r="R5" s="74">
        <f>Q5*P29</f>
        <v>311.67638234493154</v>
      </c>
      <c r="S5" s="74">
        <f>R5*P29</f>
        <v>27.705287358172477</v>
      </c>
      <c r="T5" s="74">
        <f>S5*P29</f>
        <v>2.4627562147119293</v>
      </c>
    </row>
    <row r="6" spans="1:21" x14ac:dyDescent="0.3">
      <c r="A6" s="7" t="s">
        <v>2</v>
      </c>
      <c r="B6" s="19">
        <v>164197</v>
      </c>
      <c r="C6" s="19">
        <v>197980</v>
      </c>
      <c r="D6" s="19">
        <v>223920</v>
      </c>
      <c r="E6" s="19">
        <v>234650</v>
      </c>
      <c r="F6" s="19">
        <v>240104</v>
      </c>
      <c r="G6" s="19">
        <v>260093</v>
      </c>
      <c r="H6" s="19">
        <v>277274</v>
      </c>
      <c r="I6" s="19">
        <v>243081</v>
      </c>
      <c r="J6" s="19">
        <v>217507</v>
      </c>
      <c r="K6" s="19">
        <v>253734</v>
      </c>
      <c r="L6" s="19">
        <v>314151</v>
      </c>
      <c r="M6" s="19">
        <v>378389</v>
      </c>
      <c r="N6" s="19">
        <v>381634</v>
      </c>
      <c r="P6" s="74">
        <f>P5*P21</f>
        <v>34820.968779415911</v>
      </c>
      <c r="Q6" s="74">
        <f>Q5*P21</f>
        <v>3095.2776686685588</v>
      </c>
      <c r="R6" s="74">
        <f>R5*P21</f>
        <v>275.1429435191888</v>
      </c>
      <c r="S6" s="74">
        <f>S5*P21</f>
        <v>24.457786173660999</v>
      </c>
      <c r="T6" s="74">
        <f>T5*P21</f>
        <v>2.1740819403380591</v>
      </c>
    </row>
    <row r="7" spans="1:21" x14ac:dyDescent="0.3">
      <c r="A7" s="8" t="s">
        <v>3</v>
      </c>
      <c r="B7" s="20">
        <v>24596</v>
      </c>
      <c r="C7" s="20">
        <v>34853</v>
      </c>
      <c r="D7" s="20">
        <v>39239</v>
      </c>
      <c r="E7" s="20">
        <v>38395</v>
      </c>
      <c r="F7" s="20">
        <v>29589</v>
      </c>
      <c r="G7" s="20">
        <v>31458</v>
      </c>
      <c r="H7" s="20">
        <v>24664</v>
      </c>
      <c r="I7" s="20">
        <v>17987</v>
      </c>
      <c r="J7" s="20">
        <v>32287</v>
      </c>
      <c r="K7" s="20">
        <v>24720</v>
      </c>
      <c r="L7" s="20">
        <v>31816</v>
      </c>
      <c r="M7" s="20">
        <v>59538</v>
      </c>
      <c r="N7" s="56">
        <v>62105</v>
      </c>
      <c r="P7" s="74">
        <f>P5-P6</f>
        <v>4623.523018562053</v>
      </c>
      <c r="Q7" s="74">
        <f t="shared" ref="Q7:T7" si="2">Q5-Q6</f>
        <v>410.99050519209095</v>
      </c>
      <c r="R7" s="74">
        <f t="shared" si="2"/>
        <v>36.533438825742735</v>
      </c>
      <c r="S7" s="74">
        <f t="shared" si="2"/>
        <v>3.2475011845114778</v>
      </c>
      <c r="T7" s="74">
        <f t="shared" si="2"/>
        <v>0.28867427437387017</v>
      </c>
      <c r="U7" s="74"/>
    </row>
    <row r="8" spans="1:21" x14ac:dyDescent="0.3">
      <c r="A8" s="57" t="s">
        <v>4</v>
      </c>
      <c r="B8" s="54">
        <v>0.13</v>
      </c>
      <c r="C8" s="54">
        <v>0.15</v>
      </c>
      <c r="D8" s="54">
        <v>0.15</v>
      </c>
      <c r="E8" s="54">
        <v>0.14000000000000001</v>
      </c>
      <c r="F8" s="54">
        <v>0.11</v>
      </c>
      <c r="G8" s="54">
        <v>0.11</v>
      </c>
      <c r="H8" s="55">
        <v>0.08</v>
      </c>
      <c r="I8" s="55">
        <v>7.0000000000000007E-2</v>
      </c>
      <c r="J8" s="54">
        <v>0.13</v>
      </c>
      <c r="K8" s="55">
        <v>0.09</v>
      </c>
      <c r="L8" s="55">
        <v>0.09</v>
      </c>
      <c r="M8" s="64">
        <v>0.14000000000000001</v>
      </c>
      <c r="N8" s="64">
        <v>0.14000000000000001</v>
      </c>
      <c r="P8" s="74">
        <f>P7/P5*100</f>
        <v>11.7215935807774</v>
      </c>
      <c r="Q8" s="74">
        <f t="shared" ref="Q8:T8" si="3">Q7/Q5*100</f>
        <v>11.721593580777402</v>
      </c>
      <c r="R8" s="74">
        <f t="shared" si="3"/>
        <v>11.721593580777405</v>
      </c>
      <c r="S8" s="74">
        <f t="shared" si="3"/>
        <v>11.721593580777402</v>
      </c>
      <c r="T8" s="74">
        <f t="shared" si="3"/>
        <v>11.721593580777407</v>
      </c>
      <c r="U8" s="74"/>
    </row>
    <row r="9" spans="1:21" x14ac:dyDescent="0.3">
      <c r="A9" s="7" t="s">
        <v>5</v>
      </c>
      <c r="B9" s="19">
        <v>213</v>
      </c>
      <c r="C9" s="19">
        <v>-157</v>
      </c>
      <c r="D9" s="19">
        <v>714</v>
      </c>
      <c r="E9" s="19">
        <v>-2670</v>
      </c>
      <c r="F9" s="19">
        <v>1869</v>
      </c>
      <c r="G9" s="19">
        <v>5933</v>
      </c>
      <c r="H9" s="19">
        <v>-26686</v>
      </c>
      <c r="I9" s="19">
        <v>102</v>
      </c>
      <c r="J9" s="19">
        <v>-11118</v>
      </c>
      <c r="K9" s="19">
        <v>2424</v>
      </c>
      <c r="L9" s="19">
        <v>6664</v>
      </c>
      <c r="M9" s="19">
        <v>5673</v>
      </c>
      <c r="N9" s="56">
        <v>6477</v>
      </c>
      <c r="P9" s="74">
        <f>AVERAGE(L9:N9)</f>
        <v>6271.333333333333</v>
      </c>
      <c r="Q9" s="74">
        <f t="shared" ref="Q9:T11" si="4">AVERAGE(M9:O9)</f>
        <v>6075</v>
      </c>
      <c r="R9" s="74">
        <f t="shared" si="4"/>
        <v>6374.1666666666661</v>
      </c>
      <c r="S9" s="74">
        <f t="shared" si="4"/>
        <v>6173.1666666666661</v>
      </c>
      <c r="T9" s="74">
        <f t="shared" si="4"/>
        <v>6240.166666666667</v>
      </c>
      <c r="U9" s="74"/>
    </row>
    <row r="10" spans="1:21" x14ac:dyDescent="0.3">
      <c r="A10" s="7" t="s">
        <v>6</v>
      </c>
      <c r="B10" s="19">
        <v>3560</v>
      </c>
      <c r="C10" s="19">
        <v>4749</v>
      </c>
      <c r="D10" s="19">
        <v>4861</v>
      </c>
      <c r="E10" s="19">
        <v>4889</v>
      </c>
      <c r="F10" s="19">
        <v>4238</v>
      </c>
      <c r="G10" s="19">
        <v>4682</v>
      </c>
      <c r="H10" s="19">
        <v>5759</v>
      </c>
      <c r="I10" s="19">
        <v>7243</v>
      </c>
      <c r="J10" s="19">
        <v>8097</v>
      </c>
      <c r="K10" s="19">
        <v>9312</v>
      </c>
      <c r="L10" s="19">
        <v>10225</v>
      </c>
      <c r="M10" s="19">
        <v>9986</v>
      </c>
      <c r="N10" s="56">
        <v>9459</v>
      </c>
      <c r="P10" s="74">
        <f>AVERAGE(L10:N10)</f>
        <v>9890</v>
      </c>
      <c r="Q10" s="74">
        <f t="shared" si="4"/>
        <v>9722.5</v>
      </c>
      <c r="R10" s="74">
        <f t="shared" si="4"/>
        <v>9674.5</v>
      </c>
      <c r="S10" s="74">
        <f t="shared" si="4"/>
        <v>9806.25</v>
      </c>
      <c r="T10" s="74">
        <f t="shared" si="4"/>
        <v>9762.3333333333339</v>
      </c>
      <c r="U10" s="74"/>
    </row>
    <row r="11" spans="1:21" x14ac:dyDescent="0.3">
      <c r="A11" s="7" t="s">
        <v>7</v>
      </c>
      <c r="B11" s="19">
        <v>7601</v>
      </c>
      <c r="C11" s="19">
        <v>11078</v>
      </c>
      <c r="D11" s="19">
        <v>13389</v>
      </c>
      <c r="E11" s="19">
        <v>16711</v>
      </c>
      <c r="F11" s="19">
        <v>17905</v>
      </c>
      <c r="G11" s="19">
        <v>21554</v>
      </c>
      <c r="H11" s="19">
        <v>23591</v>
      </c>
      <c r="I11" s="19">
        <v>21425</v>
      </c>
      <c r="J11" s="19">
        <v>23547</v>
      </c>
      <c r="K11" s="19">
        <v>24836</v>
      </c>
      <c r="L11" s="19">
        <v>24860</v>
      </c>
      <c r="M11" s="19">
        <v>27270</v>
      </c>
      <c r="N11" s="56">
        <v>27211</v>
      </c>
      <c r="P11" s="74">
        <f t="shared" ref="P11" si="5">AVERAGE(L11:N11)</f>
        <v>26447</v>
      </c>
      <c r="Q11" s="74">
        <f t="shared" si="4"/>
        <v>27240.5</v>
      </c>
      <c r="R11" s="74">
        <f t="shared" si="4"/>
        <v>26829</v>
      </c>
      <c r="S11" s="74">
        <f t="shared" si="4"/>
        <v>26843.75</v>
      </c>
      <c r="T11" s="74">
        <f t="shared" si="4"/>
        <v>26838.833333333332</v>
      </c>
      <c r="U11" s="74"/>
    </row>
    <row r="12" spans="1:21" x14ac:dyDescent="0.3">
      <c r="A12" s="57" t="s">
        <v>8</v>
      </c>
      <c r="B12" s="20">
        <v>13647</v>
      </c>
      <c r="C12" s="20">
        <v>18869</v>
      </c>
      <c r="D12" s="20">
        <v>21703</v>
      </c>
      <c r="E12" s="20">
        <v>14126</v>
      </c>
      <c r="F12" s="20">
        <v>9315</v>
      </c>
      <c r="G12" s="20">
        <v>11155</v>
      </c>
      <c r="H12" s="20">
        <v>-31371</v>
      </c>
      <c r="I12" s="20">
        <v>-10580</v>
      </c>
      <c r="J12" s="20">
        <v>-10474</v>
      </c>
      <c r="K12" s="20">
        <v>-7003</v>
      </c>
      <c r="L12" s="20">
        <v>3394</v>
      </c>
      <c r="M12" s="20">
        <v>27955</v>
      </c>
      <c r="N12" s="56">
        <v>31912</v>
      </c>
      <c r="P12" s="74">
        <f>P7+P9-P10-P11</f>
        <v>-25442.143648104615</v>
      </c>
      <c r="Q12" s="74">
        <f t="shared" ref="Q12:T12" si="6">Q7+Q9-Q10-Q11</f>
        <v>-30477.00949480791</v>
      </c>
      <c r="R12" s="74">
        <f t="shared" si="6"/>
        <v>-30092.799894507592</v>
      </c>
      <c r="S12" s="74">
        <f t="shared" si="6"/>
        <v>-30473.585832148823</v>
      </c>
      <c r="T12" s="74">
        <f t="shared" si="6"/>
        <v>-30360.711325725624</v>
      </c>
      <c r="U12" s="74"/>
    </row>
    <row r="13" spans="1:21" x14ac:dyDescent="0.3">
      <c r="A13" s="7" t="s">
        <v>9</v>
      </c>
      <c r="B13" s="54">
        <v>0.28000000000000003</v>
      </c>
      <c r="C13" s="54">
        <v>0.25</v>
      </c>
      <c r="D13" s="54">
        <v>0.35</v>
      </c>
      <c r="E13" s="54">
        <v>0.21</v>
      </c>
      <c r="F13" s="54">
        <v>0.35</v>
      </c>
      <c r="G13" s="54">
        <v>0.39</v>
      </c>
      <c r="H13" s="54">
        <v>-0.08</v>
      </c>
      <c r="I13" s="54">
        <v>0.04</v>
      </c>
      <c r="J13" s="54">
        <v>0.24</v>
      </c>
      <c r="K13" s="54">
        <v>0.6</v>
      </c>
      <c r="L13" s="54">
        <v>0.21</v>
      </c>
      <c r="M13" s="54">
        <v>-0.14000000000000001</v>
      </c>
      <c r="N13" s="19"/>
      <c r="P13" s="33">
        <v>0.25</v>
      </c>
      <c r="Q13" s="33">
        <v>0.25</v>
      </c>
      <c r="R13" s="33">
        <v>0.25</v>
      </c>
      <c r="S13" s="33">
        <v>0.25</v>
      </c>
      <c r="T13" s="33">
        <v>0.25</v>
      </c>
      <c r="U13" s="74"/>
    </row>
    <row r="14" spans="1:21" x14ac:dyDescent="0.3">
      <c r="A14" s="57" t="s">
        <v>10</v>
      </c>
      <c r="B14" s="20">
        <v>9976</v>
      </c>
      <c r="C14" s="20">
        <v>14050</v>
      </c>
      <c r="D14" s="20">
        <v>14073</v>
      </c>
      <c r="E14" s="20">
        <v>11678</v>
      </c>
      <c r="F14" s="20">
        <v>7557</v>
      </c>
      <c r="G14" s="20">
        <v>9091</v>
      </c>
      <c r="H14" s="56">
        <v>-28724</v>
      </c>
      <c r="I14" s="56">
        <v>-11975</v>
      </c>
      <c r="J14" s="56">
        <v>-13395</v>
      </c>
      <c r="K14" s="56">
        <v>-11309</v>
      </c>
      <c r="L14" s="56">
        <v>2690</v>
      </c>
      <c r="M14" s="72">
        <v>31807</v>
      </c>
      <c r="N14" s="72">
        <v>34199</v>
      </c>
      <c r="P14" s="74">
        <f>P12-P18</f>
        <v>-19081.607736078462</v>
      </c>
      <c r="Q14" s="74">
        <f t="shared" ref="Q14:T14" si="7">Q12-Q18</f>
        <v>-22857.757121105933</v>
      </c>
      <c r="R14" s="74">
        <f t="shared" si="7"/>
        <v>-22569.599920880693</v>
      </c>
      <c r="S14" s="74">
        <f t="shared" si="7"/>
        <v>-22855.189374111618</v>
      </c>
      <c r="T14" s="74">
        <f t="shared" si="7"/>
        <v>-22770.533494294217</v>
      </c>
      <c r="U14" s="74"/>
    </row>
    <row r="15" spans="1:21" x14ac:dyDescent="0.3">
      <c r="A15" s="7" t="s">
        <v>11</v>
      </c>
      <c r="B15" s="19">
        <v>34.619999999999997</v>
      </c>
      <c r="C15" s="19">
        <v>48.46</v>
      </c>
      <c r="D15" s="19">
        <v>48.44</v>
      </c>
      <c r="E15" s="19">
        <v>40.11</v>
      </c>
      <c r="F15" s="19">
        <v>25.82</v>
      </c>
      <c r="G15" s="19">
        <v>31.13</v>
      </c>
      <c r="H15" s="19">
        <v>-99.84</v>
      </c>
      <c r="I15" s="19">
        <v>-39.08</v>
      </c>
      <c r="J15" s="19">
        <v>-40.51</v>
      </c>
      <c r="K15" s="19">
        <v>-34.46</v>
      </c>
      <c r="L15" s="19">
        <v>7.27</v>
      </c>
      <c r="M15" s="71">
        <v>94.47</v>
      </c>
      <c r="N15" s="71">
        <v>101.58</v>
      </c>
      <c r="P15" s="74"/>
      <c r="Q15" s="74"/>
      <c r="R15" s="74"/>
      <c r="S15" s="74"/>
      <c r="T15" s="74"/>
      <c r="U15" s="74"/>
    </row>
    <row r="16" spans="1:21" x14ac:dyDescent="0.3">
      <c r="A16" s="7" t="s">
        <v>12</v>
      </c>
      <c r="B16" s="54">
        <v>0.06</v>
      </c>
      <c r="C16" s="54">
        <v>0.05</v>
      </c>
      <c r="D16" s="54">
        <v>0</v>
      </c>
      <c r="E16" s="54">
        <v>0.01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0.32</v>
      </c>
      <c r="M16" s="54">
        <v>0.15</v>
      </c>
      <c r="N16" s="21"/>
      <c r="P16" s="74"/>
      <c r="Q16" s="74"/>
      <c r="R16" s="74"/>
      <c r="S16" s="74"/>
      <c r="T16" s="74"/>
      <c r="U16" s="74"/>
    </row>
    <row r="17" spans="1:21" x14ac:dyDescent="0.3">
      <c r="A17" s="9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P17" s="74"/>
      <c r="Q17" s="74"/>
      <c r="R17" s="74"/>
      <c r="S17" s="74"/>
      <c r="T17" s="74"/>
      <c r="U17" s="74"/>
    </row>
    <row r="18" spans="1:21" x14ac:dyDescent="0.3">
      <c r="O18" s="95" t="s">
        <v>129</v>
      </c>
      <c r="P18" s="96">
        <f>P12*P13</f>
        <v>-6360.5359120261537</v>
      </c>
      <c r="Q18" s="96">
        <f t="shared" ref="Q18:T18" si="8">Q12*Q13</f>
        <v>-7619.2523737019774</v>
      </c>
      <c r="R18" s="96">
        <f t="shared" si="8"/>
        <v>-7523.1999736268981</v>
      </c>
      <c r="S18" s="96">
        <f t="shared" si="8"/>
        <v>-7618.3964580372058</v>
      </c>
      <c r="T18" s="96">
        <f t="shared" si="8"/>
        <v>-7590.177831431406</v>
      </c>
      <c r="U18" s="74"/>
    </row>
    <row r="19" spans="1:21" x14ac:dyDescent="0.3">
      <c r="A19" s="14" t="s">
        <v>15</v>
      </c>
    </row>
    <row r="20" spans="1:21" x14ac:dyDescent="0.3">
      <c r="A20" s="11" t="s">
        <v>13</v>
      </c>
      <c r="B20" s="12">
        <v>45364</v>
      </c>
      <c r="C20" s="12">
        <v>45365</v>
      </c>
      <c r="D20" s="12">
        <v>45366</v>
      </c>
      <c r="E20" s="12">
        <f>D20+1</f>
        <v>45367</v>
      </c>
      <c r="F20" s="12">
        <f t="shared" ref="F20:M20" si="9">E20+1</f>
        <v>45368</v>
      </c>
      <c r="G20" s="12">
        <f t="shared" si="9"/>
        <v>45369</v>
      </c>
      <c r="H20" s="12">
        <f t="shared" si="9"/>
        <v>45370</v>
      </c>
      <c r="I20" s="12">
        <f t="shared" si="9"/>
        <v>45371</v>
      </c>
      <c r="J20" s="12">
        <f t="shared" si="9"/>
        <v>45372</v>
      </c>
      <c r="K20" s="12">
        <f t="shared" si="9"/>
        <v>45373</v>
      </c>
      <c r="L20" s="12">
        <f t="shared" si="9"/>
        <v>45374</v>
      </c>
      <c r="M20" s="12">
        <f t="shared" si="9"/>
        <v>45375</v>
      </c>
      <c r="N20" s="13" t="s">
        <v>0</v>
      </c>
      <c r="P20" s="94" t="s">
        <v>126</v>
      </c>
    </row>
    <row r="21" spans="1:21" x14ac:dyDescent="0.3">
      <c r="A21" t="s">
        <v>20</v>
      </c>
      <c r="B21" s="16">
        <f>B6/B5</f>
        <v>0.86971974596515755</v>
      </c>
      <c r="C21" s="16">
        <f t="shared" ref="C21:N21" si="10">C6/C5</f>
        <v>0.85030536777274801</v>
      </c>
      <c r="D21" s="16">
        <f t="shared" si="10"/>
        <v>0.85089242625180972</v>
      </c>
      <c r="E21" s="16">
        <f t="shared" si="10"/>
        <v>0.85937900573529735</v>
      </c>
      <c r="F21" s="16">
        <f t="shared" si="10"/>
        <v>0.89028636264196692</v>
      </c>
      <c r="G21" s="16">
        <f t="shared" si="10"/>
        <v>0.89210427027954042</v>
      </c>
      <c r="H21" s="16">
        <f t="shared" si="10"/>
        <v>0.91831435592737587</v>
      </c>
      <c r="I21" s="16">
        <f t="shared" si="10"/>
        <v>0.9311022415615855</v>
      </c>
      <c r="J21" s="16">
        <f t="shared" si="10"/>
        <v>0.87074200844692651</v>
      </c>
      <c r="K21" s="16">
        <f t="shared" si="10"/>
        <v>0.91122411601198039</v>
      </c>
      <c r="L21" s="16">
        <f t="shared" si="10"/>
        <v>0.90803747178199079</v>
      </c>
      <c r="M21" s="16">
        <f t="shared" si="10"/>
        <v>0.86404386109132092</v>
      </c>
      <c r="N21" s="16">
        <f t="shared" si="10"/>
        <v>0.86004160103123684</v>
      </c>
      <c r="P21" s="16">
        <f>AVERAGE(B21:N21)</f>
        <v>0.88278406419222599</v>
      </c>
    </row>
    <row r="22" spans="1:21" x14ac:dyDescent="0.3">
      <c r="A22" t="s">
        <v>21</v>
      </c>
      <c r="B22" s="16">
        <f>B7/B5</f>
        <v>0.13028025403484239</v>
      </c>
      <c r="C22" s="16">
        <f t="shared" ref="C22:N22" si="11">C7/C5</f>
        <v>0.14969033732186879</v>
      </c>
      <c r="D22" s="16">
        <f t="shared" si="11"/>
        <v>0.14910757374819025</v>
      </c>
      <c r="E22" s="16">
        <f t="shared" si="11"/>
        <v>0.14061733187814507</v>
      </c>
      <c r="F22" s="16">
        <f t="shared" si="11"/>
        <v>0.10971363735803302</v>
      </c>
      <c r="G22" s="16">
        <f t="shared" si="11"/>
        <v>0.10789915966386554</v>
      </c>
      <c r="H22" s="16">
        <f t="shared" si="11"/>
        <v>8.1685644072624186E-2</v>
      </c>
      <c r="I22" s="16">
        <f t="shared" si="11"/>
        <v>6.8897758438414516E-2</v>
      </c>
      <c r="J22" s="16">
        <f t="shared" si="11"/>
        <v>0.1292539882703817</v>
      </c>
      <c r="K22" s="16">
        <f t="shared" si="11"/>
        <v>8.8775883988019569E-2</v>
      </c>
      <c r="L22" s="16">
        <f t="shared" si="11"/>
        <v>9.1962528218009237E-2</v>
      </c>
      <c r="M22" s="16">
        <f t="shared" si="11"/>
        <v>0.13595385542828958</v>
      </c>
      <c r="N22" s="16">
        <f t="shared" si="11"/>
        <v>0.13995839896876316</v>
      </c>
      <c r="P22" s="16">
        <f t="shared" ref="P22:P25" si="12">AVERAGE(B22:N22)</f>
        <v>0.11721510395303437</v>
      </c>
    </row>
    <row r="23" spans="1:21" x14ac:dyDescent="0.3">
      <c r="A23" t="s">
        <v>22</v>
      </c>
      <c r="B23" s="16">
        <f>B10/B5</f>
        <v>1.8856631336966943E-2</v>
      </c>
      <c r="C23" s="16">
        <f t="shared" ref="C23:N23" si="13">C10/C5</f>
        <v>2.0396505664980202E-2</v>
      </c>
      <c r="D23" s="16">
        <f t="shared" si="13"/>
        <v>1.8471722418765841E-2</v>
      </c>
      <c r="E23" s="16">
        <f t="shared" si="13"/>
        <v>1.7905407879990919E-2</v>
      </c>
      <c r="F23" s="16">
        <f t="shared" si="13"/>
        <v>1.5714163882636925E-2</v>
      </c>
      <c r="G23" s="16">
        <f t="shared" si="13"/>
        <v>1.6058995026582062E-2</v>
      </c>
      <c r="H23" s="16">
        <f t="shared" si="13"/>
        <v>1.9073452165676397E-2</v>
      </c>
      <c r="I23" s="16">
        <f t="shared" si="13"/>
        <v>2.7743729603015306E-2</v>
      </c>
      <c r="J23" s="16">
        <f t="shared" si="13"/>
        <v>3.2414579955563565E-2</v>
      </c>
      <c r="K23" s="16">
        <f t="shared" si="13"/>
        <v>3.3441789308108344E-2</v>
      </c>
      <c r="L23" s="16">
        <f t="shared" si="13"/>
        <v>2.9554841935791564E-2</v>
      </c>
      <c r="M23" s="16">
        <f t="shared" si="13"/>
        <v>2.2802835169251568E-2</v>
      </c>
      <c r="N23" s="16">
        <f t="shared" si="13"/>
        <v>2.1316584749143077E-2</v>
      </c>
      <c r="P23" s="16">
        <f t="shared" si="12"/>
        <v>2.2596249161267127E-2</v>
      </c>
    </row>
    <row r="24" spans="1:21" x14ac:dyDescent="0.3">
      <c r="A24" t="s">
        <v>23</v>
      </c>
      <c r="B24" s="16">
        <f>B12/B5</f>
        <v>7.2285519060558384E-2</v>
      </c>
      <c r="C24" s="16">
        <f t="shared" ref="C24:N24" si="14">C12/C5</f>
        <v>8.1040569676250035E-2</v>
      </c>
      <c r="D24" s="16">
        <f t="shared" si="14"/>
        <v>8.2471053621574794E-2</v>
      </c>
      <c r="E24" s="16">
        <f t="shared" si="14"/>
        <v>5.1734872512323928E-2</v>
      </c>
      <c r="F24" s="16">
        <f t="shared" si="14"/>
        <v>3.4539272431987483E-2</v>
      </c>
      <c r="G24" s="16">
        <f t="shared" si="14"/>
        <v>3.8261018693191561E-2</v>
      </c>
      <c r="H24" s="18">
        <f t="shared" si="14"/>
        <v>-0.10389881366373228</v>
      </c>
      <c r="I24" s="18">
        <f t="shared" si="14"/>
        <v>-4.0525840011031607E-2</v>
      </c>
      <c r="J24" s="18">
        <f t="shared" si="14"/>
        <v>-4.193038291398947E-2</v>
      </c>
      <c r="K24" s="18">
        <f t="shared" si="14"/>
        <v>-2.5149575872495996E-2</v>
      </c>
      <c r="L24" s="16">
        <f t="shared" si="14"/>
        <v>9.8101842083204473E-3</v>
      </c>
      <c r="M24" s="16">
        <f t="shared" si="14"/>
        <v>6.383469428764546E-2</v>
      </c>
      <c r="N24" s="16">
        <f t="shared" si="14"/>
        <v>7.1916148907353192E-2</v>
      </c>
      <c r="P24" s="16">
        <f t="shared" si="12"/>
        <v>2.2645286225996611E-2</v>
      </c>
    </row>
    <row r="25" spans="1:21" x14ac:dyDescent="0.3">
      <c r="A25" t="s">
        <v>24</v>
      </c>
      <c r="B25" s="16">
        <f>B14/B5</f>
        <v>5.2840942195950064E-2</v>
      </c>
      <c r="C25" s="16">
        <f t="shared" ref="C25:N25" si="15">C14/C5</f>
        <v>6.0343420634443423E-2</v>
      </c>
      <c r="D25" s="16">
        <f t="shared" si="15"/>
        <v>5.3477175395863337E-2</v>
      </c>
      <c r="E25" s="16">
        <f t="shared" si="15"/>
        <v>4.2769350219376952E-2</v>
      </c>
      <c r="F25" s="16">
        <f t="shared" si="15"/>
        <v>2.8020749518897412E-2</v>
      </c>
      <c r="G25" s="16">
        <f t="shared" si="15"/>
        <v>3.1181615503344196E-2</v>
      </c>
      <c r="H25" s="18">
        <f t="shared" si="15"/>
        <v>-9.5132113215295855E-2</v>
      </c>
      <c r="I25" s="18">
        <f t="shared" si="15"/>
        <v>-4.5869275437816964E-2</v>
      </c>
      <c r="J25" s="18">
        <f t="shared" si="15"/>
        <v>-5.3623971656758543E-2</v>
      </c>
      <c r="K25" s="18">
        <f t="shared" si="15"/>
        <v>-4.0613530421541796E-2</v>
      </c>
      <c r="L25" s="16">
        <f t="shared" si="15"/>
        <v>7.7753080496116679E-3</v>
      </c>
      <c r="M25" s="65">
        <f t="shared" si="15"/>
        <v>7.2630660747885503E-2</v>
      </c>
      <c r="N25" s="65">
        <f t="shared" si="15"/>
        <v>7.7070079483660445E-2</v>
      </c>
      <c r="P25" s="16">
        <f t="shared" si="12"/>
        <v>1.4682339309047677E-2</v>
      </c>
    </row>
    <row r="27" spans="1:21" x14ac:dyDescent="0.3">
      <c r="A27" s="14" t="s">
        <v>16</v>
      </c>
    </row>
    <row r="28" spans="1:21" x14ac:dyDescent="0.3">
      <c r="A28" s="11" t="s">
        <v>13</v>
      </c>
      <c r="B28" s="12">
        <v>45364</v>
      </c>
      <c r="C28" s="12">
        <v>45365</v>
      </c>
      <c r="D28" s="12">
        <v>45366</v>
      </c>
      <c r="E28" s="12">
        <f>D28+1</f>
        <v>45367</v>
      </c>
      <c r="F28" s="12">
        <f t="shared" ref="F28:M28" si="16">E28+1</f>
        <v>45368</v>
      </c>
      <c r="G28" s="12">
        <f t="shared" si="16"/>
        <v>45369</v>
      </c>
      <c r="H28" s="12">
        <f t="shared" si="16"/>
        <v>45370</v>
      </c>
      <c r="I28" s="12">
        <f t="shared" si="16"/>
        <v>45371</v>
      </c>
      <c r="J28" s="12">
        <f t="shared" si="16"/>
        <v>45372</v>
      </c>
      <c r="K28" s="12">
        <f t="shared" si="16"/>
        <v>45373</v>
      </c>
      <c r="L28" s="12">
        <f t="shared" si="16"/>
        <v>45374</v>
      </c>
      <c r="M28" s="12">
        <f t="shared" si="16"/>
        <v>45375</v>
      </c>
      <c r="N28" s="13" t="s">
        <v>0</v>
      </c>
    </row>
    <row r="29" spans="1:21" x14ac:dyDescent="0.3">
      <c r="A29" t="s">
        <v>17</v>
      </c>
      <c r="B29" s="30" t="s">
        <v>18</v>
      </c>
      <c r="C29" s="16">
        <f>(C5-B5)/B5</f>
        <v>0.23327665750319132</v>
      </c>
      <c r="D29" s="16">
        <f t="shared" ref="D29:N29" si="17">(D5-C5)/C5</f>
        <v>0.1302430057465834</v>
      </c>
      <c r="E29" s="16">
        <f t="shared" si="17"/>
        <v>3.757044220414274E-2</v>
      </c>
      <c r="F29" s="16">
        <f t="shared" si="17"/>
        <v>-1.22799821275536E-2</v>
      </c>
      <c r="G29" s="16">
        <f t="shared" si="17"/>
        <v>8.1044001883623235E-2</v>
      </c>
      <c r="H29" s="16">
        <f t="shared" si="17"/>
        <v>3.5630252100840337E-2</v>
      </c>
      <c r="I29" s="16">
        <f t="shared" si="17"/>
        <v>-0.13535891474408654</v>
      </c>
      <c r="J29" s="16">
        <f t="shared" si="17"/>
        <v>-4.3180320835950789E-2</v>
      </c>
      <c r="K29" s="16">
        <f t="shared" si="17"/>
        <v>0.11473007866450489</v>
      </c>
      <c r="L29" s="16">
        <f t="shared" si="17"/>
        <v>0.24245656374122834</v>
      </c>
      <c r="M29" s="16">
        <f t="shared" si="17"/>
        <v>0.26580858868042329</v>
      </c>
      <c r="N29" s="16">
        <f t="shared" si="17"/>
        <v>1.3269304543212583E-2</v>
      </c>
      <c r="P29" s="16">
        <f>AVERAGE(I29:M29)</f>
        <v>8.8891199101223839E-2</v>
      </c>
    </row>
    <row r="30" spans="1:21" x14ac:dyDescent="0.3">
      <c r="A30" t="s">
        <v>25</v>
      </c>
      <c r="B30" s="30" t="s">
        <v>18</v>
      </c>
      <c r="C30" s="16">
        <f>(C6-B6)/B6</f>
        <v>0.20574675542184084</v>
      </c>
      <c r="D30" s="16">
        <f t="shared" ref="D30:N30" si="18">(D6-C6)/C6</f>
        <v>0.13102333569047378</v>
      </c>
      <c r="E30" s="16">
        <f t="shared" si="18"/>
        <v>4.7918899607002498E-2</v>
      </c>
      <c r="F30" s="16">
        <f t="shared" si="18"/>
        <v>2.324312806307266E-2</v>
      </c>
      <c r="G30" s="16">
        <f t="shared" si="18"/>
        <v>8.3251424382767461E-2</v>
      </c>
      <c r="H30" s="16">
        <f t="shared" si="18"/>
        <v>6.6057141099529787E-2</v>
      </c>
      <c r="I30" s="16">
        <f t="shared" si="18"/>
        <v>-0.12331845034153942</v>
      </c>
      <c r="J30" s="16">
        <f t="shared" si="18"/>
        <v>-0.10520772911087251</v>
      </c>
      <c r="K30" s="16">
        <f t="shared" si="18"/>
        <v>0.16655555913143025</v>
      </c>
      <c r="L30" s="16">
        <f t="shared" si="18"/>
        <v>0.23811156565537137</v>
      </c>
      <c r="M30" s="16">
        <f t="shared" si="18"/>
        <v>0.20448128447784664</v>
      </c>
      <c r="N30" s="16">
        <f t="shared" si="18"/>
        <v>8.5758306927526968E-3</v>
      </c>
      <c r="P30" s="16">
        <f>AVERAGE(I30:M30)</f>
        <v>7.612444596244726E-2</v>
      </c>
    </row>
    <row r="31" spans="1:21" x14ac:dyDescent="0.3">
      <c r="A31" t="s">
        <v>26</v>
      </c>
      <c r="B31" s="30" t="s">
        <v>18</v>
      </c>
      <c r="C31" s="16">
        <f>(C12-B12)/B12</f>
        <v>0.38264820106983222</v>
      </c>
      <c r="D31" s="16">
        <f t="shared" ref="D31:N31" si="19">(D12-C12)/C12</f>
        <v>0.15019343897397849</v>
      </c>
      <c r="E31" s="16">
        <f t="shared" si="19"/>
        <v>-0.34912224116481594</v>
      </c>
      <c r="F31" s="16">
        <f t="shared" si="19"/>
        <v>-0.34057765821888714</v>
      </c>
      <c r="G31" s="16">
        <f t="shared" si="19"/>
        <v>0.19753086419753085</v>
      </c>
      <c r="H31" s="16">
        <f t="shared" si="19"/>
        <v>-3.8122814881219185</v>
      </c>
      <c r="I31" s="16">
        <f t="shared" si="19"/>
        <v>-0.66274584807624881</v>
      </c>
      <c r="J31" s="16">
        <f t="shared" si="19"/>
        <v>-1.0018903591682419E-2</v>
      </c>
      <c r="K31" s="16">
        <f t="shared" si="19"/>
        <v>-0.3313920183311056</v>
      </c>
      <c r="L31" s="16">
        <f t="shared" si="19"/>
        <v>-1.4846494359560189</v>
      </c>
      <c r="M31" s="16">
        <f t="shared" si="19"/>
        <v>7.2365939893930467</v>
      </c>
      <c r="N31" s="16">
        <f t="shared" si="19"/>
        <v>0.14154891790377391</v>
      </c>
      <c r="P31" s="16">
        <f>AVERAGE(I31:M31)</f>
        <v>0.94955755668759811</v>
      </c>
    </row>
    <row r="32" spans="1:21" x14ac:dyDescent="0.3">
      <c r="A32" t="s">
        <v>27</v>
      </c>
      <c r="B32" s="30" t="s">
        <v>18</v>
      </c>
      <c r="C32" s="16">
        <f>C14/B14</f>
        <v>1.4083801122694466</v>
      </c>
      <c r="D32" s="16">
        <f t="shared" ref="D32:N32" si="20">D14/C14</f>
        <v>1.0016370106761565</v>
      </c>
      <c r="E32" s="16">
        <f t="shared" si="20"/>
        <v>0.8298159596390251</v>
      </c>
      <c r="F32" s="16">
        <f t="shared" si="20"/>
        <v>0.64711423188902206</v>
      </c>
      <c r="G32" s="16">
        <f t="shared" si="20"/>
        <v>1.2029906047373295</v>
      </c>
      <c r="H32" s="18">
        <f t="shared" si="20"/>
        <v>-3.1596084039159607</v>
      </c>
      <c r="I32" s="16">
        <f t="shared" si="20"/>
        <v>0.41689876061829828</v>
      </c>
      <c r="J32" s="16">
        <f t="shared" si="20"/>
        <v>1.1185803757828809</v>
      </c>
      <c r="K32" s="16">
        <f t="shared" si="20"/>
        <v>0.84427025009331835</v>
      </c>
      <c r="L32" s="18">
        <f t="shared" si="20"/>
        <v>-0.23786364842161112</v>
      </c>
      <c r="M32" s="16">
        <f t="shared" si="20"/>
        <v>11.824163568773233</v>
      </c>
      <c r="N32" s="16">
        <f t="shared" si="20"/>
        <v>1.0752035715408559</v>
      </c>
      <c r="P32" s="16">
        <f>AVERAGE(I32:M32)</f>
        <v>2.793209861369224</v>
      </c>
    </row>
  </sheetData>
  <mergeCells count="1">
    <mergeCell ref="P3:T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188A-41DC-49F1-BD8F-E2D21E1A9BBB}">
  <dimension ref="B1:U15"/>
  <sheetViews>
    <sheetView zoomScale="98" zoomScaleNormal="98" workbookViewId="0">
      <selection activeCell="J15" sqref="J15:U15"/>
    </sheetView>
  </sheetViews>
  <sheetFormatPr defaultRowHeight="14.4" x14ac:dyDescent="0.3"/>
  <cols>
    <col min="2" max="2" width="23.109375" bestFit="1" customWidth="1"/>
    <col min="16" max="16" width="1.109375" customWidth="1"/>
  </cols>
  <sheetData>
    <row r="1" spans="2:21" x14ac:dyDescent="0.3">
      <c r="B1" s="73" t="s">
        <v>99</v>
      </c>
    </row>
    <row r="2" spans="2:21" x14ac:dyDescent="0.3">
      <c r="B2" s="15"/>
    </row>
    <row r="3" spans="2:21" x14ac:dyDescent="0.3">
      <c r="B3" s="69" t="s">
        <v>13</v>
      </c>
      <c r="C3" s="70">
        <v>45364</v>
      </c>
      <c r="D3" s="70">
        <f>C3+1</f>
        <v>45365</v>
      </c>
      <c r="E3" s="70">
        <f t="shared" ref="E3:M3" si="0">D3+1</f>
        <v>45366</v>
      </c>
      <c r="F3" s="70">
        <f t="shared" si="0"/>
        <v>45367</v>
      </c>
      <c r="G3" s="70">
        <f t="shared" si="0"/>
        <v>45368</v>
      </c>
      <c r="H3" s="70">
        <f t="shared" si="0"/>
        <v>45369</v>
      </c>
      <c r="I3" s="70">
        <f t="shared" si="0"/>
        <v>45370</v>
      </c>
      <c r="J3" s="70">
        <f t="shared" si="0"/>
        <v>45371</v>
      </c>
      <c r="K3" s="70">
        <f t="shared" si="0"/>
        <v>45372</v>
      </c>
      <c r="L3" s="70">
        <f t="shared" si="0"/>
        <v>45373</v>
      </c>
      <c r="M3" s="70">
        <f t="shared" si="0"/>
        <v>45374</v>
      </c>
      <c r="N3" s="70">
        <f>M3+1</f>
        <v>45375</v>
      </c>
      <c r="O3" s="67" t="s">
        <v>0</v>
      </c>
      <c r="Q3">
        <v>25</v>
      </c>
      <c r="R3">
        <f>Q3+1</f>
        <v>26</v>
      </c>
      <c r="S3">
        <f t="shared" ref="S3:U3" si="1">R3+1</f>
        <v>27</v>
      </c>
      <c r="T3">
        <f t="shared" si="1"/>
        <v>28</v>
      </c>
      <c r="U3">
        <f t="shared" si="1"/>
        <v>29</v>
      </c>
    </row>
    <row r="4" spans="2:21" x14ac:dyDescent="0.3">
      <c r="B4" s="66" t="s">
        <v>95</v>
      </c>
      <c r="C4">
        <f>IS!B5/BS!C16</f>
        <v>3.4009403372243838</v>
      </c>
      <c r="D4">
        <f>IS!C5/BS!D16</f>
        <v>3.369912580327679</v>
      </c>
      <c r="E4">
        <f>IS!D5/BS!E16</f>
        <v>2.9742537777325695</v>
      </c>
      <c r="F4">
        <f>IS!E5/BS!F16</f>
        <v>2.5463108027454493</v>
      </c>
      <c r="G4">
        <f>IS!F5/BS!G16</f>
        <v>2.8109417993829733</v>
      </c>
      <c r="H4">
        <f>IS!G5/BS!H16</f>
        <v>2.4012881545785496</v>
      </c>
      <c r="I4">
        <f>IS!H5/BS!I16</f>
        <v>2.7144398295485193</v>
      </c>
      <c r="J4">
        <f>IS!I5/BS!J16</f>
        <v>2.0539230726867914</v>
      </c>
      <c r="K4" s="66">
        <f>IS!J5/BS!K16</f>
        <v>1.8008694523747728</v>
      </c>
      <c r="L4">
        <f>IS!K5/BS!L16</f>
        <v>2.0053581073782003</v>
      </c>
      <c r="M4">
        <f>IS!L5/BS!M16</f>
        <v>2.6193746214415508</v>
      </c>
      <c r="N4">
        <f>IS!M5/BS!N16</f>
        <v>3.6107350455538607</v>
      </c>
    </row>
    <row r="5" spans="2:21" x14ac:dyDescent="0.3">
      <c r="B5" s="66" t="s">
        <v>96</v>
      </c>
      <c r="C5" s="35">
        <f>BS!C30-BS!C10</f>
        <v>8623</v>
      </c>
      <c r="D5" s="35">
        <f>BS!D30-BS!D10</f>
        <v>13205</v>
      </c>
      <c r="E5" s="35">
        <f>BS!E30-BS!E10</f>
        <v>-2584</v>
      </c>
      <c r="F5" s="35">
        <f>BS!F30-BS!F10</f>
        <v>-8606</v>
      </c>
      <c r="G5" s="35">
        <f>BS!G30-BS!G10</f>
        <v>-13314</v>
      </c>
      <c r="H5" s="35">
        <f>BS!H30-BS!H10</f>
        <v>2119</v>
      </c>
      <c r="I5" s="35">
        <f>BS!I30-BS!I10</f>
        <v>7465</v>
      </c>
      <c r="J5" s="35">
        <f>BS!J30-BS!J10</f>
        <v>7960</v>
      </c>
      <c r="K5" s="35">
        <f>BS!K30-BS!K10</f>
        <v>13085</v>
      </c>
      <c r="L5" s="35">
        <f>BS!L30-BS!L10</f>
        <v>12524</v>
      </c>
      <c r="M5" s="35">
        <f>BS!M30-BS!M10</f>
        <v>6702</v>
      </c>
      <c r="N5" s="35">
        <f>BS!N30-BS!N10</f>
        <v>12226</v>
      </c>
    </row>
    <row r="6" spans="2:21" x14ac:dyDescent="0.3">
      <c r="B6" s="66" t="s">
        <v>97</v>
      </c>
      <c r="C6" s="33">
        <f>C5/IS!B5</f>
        <v>4.5674362926591557E-2</v>
      </c>
      <c r="D6" s="33">
        <f>D5/IS!C5</f>
        <v>5.6714225585610352E-2</v>
      </c>
      <c r="E6" s="33">
        <f>E5/IS!D5</f>
        <v>-9.8191587595332103E-3</v>
      </c>
      <c r="F6" s="33">
        <f>F5/IS!E5</f>
        <v>-3.1518498714502317E-2</v>
      </c>
      <c r="G6" s="33">
        <f>G5/IS!F5</f>
        <v>-4.9367243495381789E-2</v>
      </c>
      <c r="H6" s="33">
        <f>H5/IS!G5</f>
        <v>7.2680500771737265E-3</v>
      </c>
      <c r="I6" s="33">
        <f>I5/IS!H5</f>
        <v>2.4723618756168485E-2</v>
      </c>
      <c r="J6" s="33">
        <f>J5/IS!I5</f>
        <v>3.0490140499793157E-2</v>
      </c>
      <c r="K6" s="33">
        <f>K5/IS!J5</f>
        <v>5.2382954022298284E-2</v>
      </c>
      <c r="L6" s="33">
        <f>L5/IS!K5</f>
        <v>4.4976908214642272E-2</v>
      </c>
      <c r="M6" s="33">
        <f>M5/IS!L5</f>
        <v>1.9371789794980446E-2</v>
      </c>
      <c r="N6" s="33">
        <f>N5/IS!M5</f>
        <v>2.7917831241665296E-2</v>
      </c>
    </row>
    <row r="7" spans="2:21" x14ac:dyDescent="0.3">
      <c r="B7" s="66" t="s">
        <v>98</v>
      </c>
      <c r="C7" s="33">
        <f>BS!C5/(SUM(BS!C3:C5))</f>
        <v>0.58800477269493068</v>
      </c>
      <c r="D7" s="33">
        <f>BS!D5/(SUM(BS!D3:D5))</f>
        <v>0.48034789221044627</v>
      </c>
      <c r="E7" s="33">
        <f>BS!E5/(SUM(BS!E3:E5))</f>
        <v>0.56678883824072934</v>
      </c>
      <c r="F7" s="33">
        <f>BS!F5/(SUM(BS!F3:F5))</f>
        <v>0.46766276498192999</v>
      </c>
      <c r="G7" s="33">
        <f>BS!G5/(SUM(BS!G3:G5))</f>
        <v>0.57515402514158609</v>
      </c>
      <c r="H7" s="33">
        <f>BS!H5/(SUM(BS!H3:H5))</f>
        <v>0.48243282821160877</v>
      </c>
      <c r="I7" s="33">
        <f>BS!I5/(SUM(BS!I3:I5))</f>
        <v>0.63824735203241278</v>
      </c>
      <c r="J7" s="33">
        <f>BS!J5/(SUM(BS!J3:J5))</f>
        <v>0.66731907657260203</v>
      </c>
      <c r="K7" s="33">
        <f>BS!K5/(SUM(BS!K3:K5))</f>
        <v>0.72009545136742692</v>
      </c>
      <c r="L7" s="33">
        <f>BS!L5/(SUM(BS!L3:L5))</f>
        <v>0.76670854929061305</v>
      </c>
      <c r="M7" s="33">
        <f>BS!M5/(SUM(BS!M3:M5))</f>
        <v>0.74741828517290387</v>
      </c>
      <c r="N7" s="33">
        <f>BS!N5/(SUM(BS!N3:N5))</f>
        <v>0.55813300031220725</v>
      </c>
    </row>
    <row r="9" spans="2:21" x14ac:dyDescent="0.3">
      <c r="B9" s="66" t="s">
        <v>100</v>
      </c>
      <c r="C9" s="33">
        <f>(IS!B7-IS!B11)*(1-IS!B13)/SUM(BS!C3:C5)</f>
        <v>0.13394634002167416</v>
      </c>
      <c r="D9" s="33">
        <f>(IS!C7-IS!C11)*(1-IS!C13)/SUM(BS!D3:D5)</f>
        <v>0.14124209875956467</v>
      </c>
      <c r="E9" s="33">
        <f>(IS!D7-IS!D11)*(1-IS!D13)/SUM(BS!E3:E5)</f>
        <v>0.1293773869656277</v>
      </c>
      <c r="F9" s="33">
        <f>(IS!E7-IS!E11)*(1-IS!E13)/SUM(BS!F3:F5)</f>
        <v>0.11550218458385027</v>
      </c>
      <c r="G9" s="33">
        <f>(IS!F7-IS!F11)*(1-IS!F13)/SUM(BS!G3:G5)</f>
        <v>5.5570514978121849E-2</v>
      </c>
      <c r="H9" s="33">
        <f>(IS!G7-IS!G11)*(1-IS!G13)/SUM(BS!H3:H5)</f>
        <v>3.2766599051947627E-2</v>
      </c>
      <c r="I9" s="33">
        <f>(IS!H7-IS!H11)*(1-IS!H13)/SUM(BS!I3:I5)</f>
        <v>6.9661084193947858E-3</v>
      </c>
      <c r="J9" s="33">
        <f>(IS!I7-IS!I11)*(1-IS!I13)/SUM(BS!J3:J5)</f>
        <v>-1.7649720051978887E-2</v>
      </c>
      <c r="K9" s="33">
        <f>(IS!J7-IS!J11)*(1-IS!J13)/SUM(BS!K3:K5)</f>
        <v>3.3653193365015349E-2</v>
      </c>
      <c r="L9" s="33">
        <f>(IS!K7-IS!K11)*(1-IS!K13)/SUM(BS!L3:L5)</f>
        <v>-2.4291921888906342E-4</v>
      </c>
      <c r="M9" s="33">
        <f>(IS!L7-IS!L11)*(1-IS!L13)/SUM(BS!M3:M5)</f>
        <v>3.0625240337726758E-2</v>
      </c>
      <c r="N9" s="33">
        <f>(IS!M7-IS!M11)*(1-IS!M13)/SUM(BS!N3:N5)</f>
        <v>0.19141180143615363</v>
      </c>
    </row>
    <row r="10" spans="2:21" x14ac:dyDescent="0.3">
      <c r="B10" s="66" t="s">
        <v>101</v>
      </c>
      <c r="C10" s="33">
        <f>IS!B14/SUM(BS!C3+BS!C4)</f>
        <v>0.26505832026994713</v>
      </c>
      <c r="D10" s="33">
        <f>IS!C14/SUM(BS!D3+BS!D4)</f>
        <v>0.21416377050179866</v>
      </c>
      <c r="E10" s="33">
        <f>IS!D14/SUM(BS!E3+BS!E4)</f>
        <v>0.25013330489495572</v>
      </c>
      <c r="F10" s="33">
        <f>IS!E14/SUM(BS!F3+BS!F4)</f>
        <v>0.14791265579086027</v>
      </c>
      <c r="G10" s="33">
        <f>IS!F14/SUM(BS!G3+BS!G4)</f>
        <v>0.13015397333884468</v>
      </c>
      <c r="H10" s="33">
        <f>IS!G14/SUM(BS!H3+BS!H4)</f>
        <v>9.5265540512218638E-2</v>
      </c>
      <c r="I10" s="33">
        <f>IS!H14/SUM(BS!I3+BS!I4)</f>
        <v>-0.47730936040811578</v>
      </c>
      <c r="J10" s="33">
        <f>IS!I14/SUM(BS!J3+BS!J4)</f>
        <v>-0.19249007410265065</v>
      </c>
      <c r="K10" s="33">
        <f>IS!J14/SUM(BS!K3+BS!K4)</f>
        <v>-0.24245660397849658</v>
      </c>
      <c r="L10" s="33">
        <f>IS!K14/SUM(BS!L3+BS!L4)</f>
        <v>-0.25378694374004174</v>
      </c>
      <c r="M10" s="33">
        <f>IS!L14/SUM(BS!M3+BS!M4)</f>
        <v>5.9353073562508275E-2</v>
      </c>
      <c r="N10" s="33">
        <f>IS!M14/SUM(BS!N3+BS!N4)</f>
        <v>0.37456134152947551</v>
      </c>
    </row>
    <row r="11" spans="2:21" x14ac:dyDescent="0.3">
      <c r="B11" s="66" t="s">
        <v>142</v>
      </c>
      <c r="J11">
        <f>IS!I5/'Ratio Analysis'!C13</f>
        <v>3.3868076041918016</v>
      </c>
      <c r="K11">
        <f>IS!J5/'Ratio Analysis'!C13</f>
        <v>3.2405641652331618</v>
      </c>
      <c r="L11">
        <f>IS!K5/'Ratio Analysis'!E13</f>
        <v>3.6123449743137357</v>
      </c>
      <c r="M11">
        <f>IS!L5/'Ratio Analysis'!F13</f>
        <v>4.4881817238337396</v>
      </c>
      <c r="N11">
        <f>IS!M5/'Ratio Analysis'!G13</f>
        <v>5.6811789735872553</v>
      </c>
      <c r="O11">
        <f>IS!N5/'Ratio Analysis'!H13</f>
        <v>5.7565642675522808</v>
      </c>
      <c r="Q11" s="66">
        <f>IS!P5/'Ratio Analysis'!J13</f>
        <v>0.51170790044598058</v>
      </c>
      <c r="R11" s="66">
        <f>IS!Q5/'Ratio Analysis'!K13</f>
        <v>4.548632886021288E-2</v>
      </c>
      <c r="S11" s="66">
        <f>IS!R5/'Ratio Analysis'!L13</f>
        <v>4.0433343150969268E-3</v>
      </c>
      <c r="T11" s="66">
        <f>IS!S5/'Ratio Analysis'!M13</f>
        <v>3.5941683563609151E-4</v>
      </c>
      <c r="U11" s="66">
        <f>IS!T5/'Ratio Analysis'!N13</f>
        <v>3.194899349685965E-5</v>
      </c>
    </row>
    <row r="12" spans="2:21" x14ac:dyDescent="0.3">
      <c r="B12" s="66" t="s">
        <v>143</v>
      </c>
      <c r="J12">
        <v>136</v>
      </c>
      <c r="K12">
        <v>136</v>
      </c>
      <c r="L12">
        <v>136</v>
      </c>
      <c r="M12">
        <v>136</v>
      </c>
      <c r="N12">
        <v>136</v>
      </c>
      <c r="O12">
        <v>136</v>
      </c>
      <c r="P12">
        <v>136</v>
      </c>
      <c r="Q12">
        <v>136</v>
      </c>
      <c r="R12">
        <v>136</v>
      </c>
      <c r="S12">
        <v>136</v>
      </c>
      <c r="T12">
        <v>136</v>
      </c>
      <c r="U12">
        <v>136</v>
      </c>
    </row>
    <row r="13" spans="2:21" hidden="1" x14ac:dyDescent="0.3">
      <c r="B13" s="66" t="s">
        <v>141</v>
      </c>
      <c r="C13" s="35">
        <f>AVERAGE(BS!J12:N12)</f>
        <v>77083.8</v>
      </c>
      <c r="D13">
        <v>77084</v>
      </c>
      <c r="E13">
        <v>77084</v>
      </c>
      <c r="F13">
        <v>77084</v>
      </c>
      <c r="G13">
        <v>77084</v>
      </c>
      <c r="H13">
        <v>77084</v>
      </c>
      <c r="I13">
        <v>77084</v>
      </c>
      <c r="J13">
        <v>77084</v>
      </c>
      <c r="K13">
        <v>77084</v>
      </c>
      <c r="L13">
        <v>77084</v>
      </c>
      <c r="M13">
        <v>77084</v>
      </c>
      <c r="N13">
        <v>77084</v>
      </c>
      <c r="O13">
        <v>77084</v>
      </c>
      <c r="Q13">
        <v>77084</v>
      </c>
      <c r="R13">
        <v>77084</v>
      </c>
      <c r="S13">
        <v>77084</v>
      </c>
    </row>
    <row r="14" spans="2:21" x14ac:dyDescent="0.3">
      <c r="J14">
        <v>365</v>
      </c>
      <c r="K14">
        <v>365</v>
      </c>
      <c r="L14">
        <v>365</v>
      </c>
      <c r="M14">
        <v>365</v>
      </c>
      <c r="N14">
        <v>365</v>
      </c>
      <c r="O14">
        <v>365</v>
      </c>
      <c r="P14">
        <v>365</v>
      </c>
      <c r="Q14">
        <v>365</v>
      </c>
      <c r="R14">
        <v>365</v>
      </c>
      <c r="S14">
        <v>365</v>
      </c>
      <c r="T14">
        <v>365</v>
      </c>
      <c r="U14">
        <v>365</v>
      </c>
    </row>
    <row r="15" spans="2:21" x14ac:dyDescent="0.3">
      <c r="B15" s="66" t="s">
        <v>144</v>
      </c>
      <c r="J15">
        <v>19.5</v>
      </c>
      <c r="K15">
        <v>19.5</v>
      </c>
      <c r="L15">
        <v>19.5</v>
      </c>
      <c r="M15">
        <v>19.5</v>
      </c>
      <c r="N15">
        <v>19.5</v>
      </c>
      <c r="O15">
        <v>19.5</v>
      </c>
      <c r="P15">
        <v>19.5</v>
      </c>
      <c r="Q15">
        <v>19.5</v>
      </c>
      <c r="R15">
        <v>19.5</v>
      </c>
      <c r="S15">
        <v>19.5</v>
      </c>
      <c r="T15">
        <v>19.5</v>
      </c>
      <c r="U15">
        <v>19.5</v>
      </c>
    </row>
  </sheetData>
  <pageMargins left="0.7" right="0.7" top="0.75" bottom="0.75" header="0.3" footer="0.3"/>
  <ignoredErrors>
    <ignoredError sqref="C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81FE-12E1-4791-B050-11543E84B641}">
  <dimension ref="B1:O42"/>
  <sheetViews>
    <sheetView topLeftCell="A7" zoomScale="95" zoomScaleNormal="95" workbookViewId="0">
      <selection activeCell="C36" sqref="C36"/>
    </sheetView>
  </sheetViews>
  <sheetFormatPr defaultRowHeight="14.4" x14ac:dyDescent="0.3"/>
  <cols>
    <col min="1" max="1" width="3.6640625" customWidth="1"/>
    <col min="2" max="2" width="28.88671875" bestFit="1" customWidth="1"/>
    <col min="3" max="14" width="10" bestFit="1" customWidth="1"/>
    <col min="15" max="15" width="14.33203125" bestFit="1" customWidth="1"/>
  </cols>
  <sheetData>
    <row r="1" spans="2:15" x14ac:dyDescent="0.3">
      <c r="B1" s="15" t="s">
        <v>62</v>
      </c>
    </row>
    <row r="2" spans="2:15" x14ac:dyDescent="0.3">
      <c r="B2" s="10" t="s">
        <v>13</v>
      </c>
      <c r="C2" s="25">
        <v>45364</v>
      </c>
      <c r="D2" s="25">
        <f>C2+1</f>
        <v>45365</v>
      </c>
      <c r="E2" s="25">
        <f t="shared" ref="E2:N2" si="0">D2+1</f>
        <v>45366</v>
      </c>
      <c r="F2" s="25">
        <f t="shared" si="0"/>
        <v>45367</v>
      </c>
      <c r="G2" s="25">
        <f t="shared" si="0"/>
        <v>45368</v>
      </c>
      <c r="H2" s="25">
        <f t="shared" si="0"/>
        <v>45369</v>
      </c>
      <c r="I2" s="59">
        <f t="shared" si="0"/>
        <v>45370</v>
      </c>
      <c r="J2" s="59">
        <f t="shared" si="0"/>
        <v>45371</v>
      </c>
      <c r="K2" s="59">
        <f t="shared" si="0"/>
        <v>45372</v>
      </c>
      <c r="L2" s="68">
        <f t="shared" si="0"/>
        <v>45373</v>
      </c>
      <c r="M2" s="68">
        <f t="shared" si="0"/>
        <v>45374</v>
      </c>
      <c r="N2" s="68">
        <f t="shared" si="0"/>
        <v>45375</v>
      </c>
    </row>
    <row r="3" spans="2:15" x14ac:dyDescent="0.3">
      <c r="B3" s="27" t="s">
        <v>28</v>
      </c>
      <c r="C3" s="28">
        <v>638</v>
      </c>
      <c r="D3" s="28">
        <v>644</v>
      </c>
      <c r="E3" s="28">
        <v>644</v>
      </c>
      <c r="F3" s="28">
        <v>679</v>
      </c>
      <c r="G3" s="28">
        <v>679</v>
      </c>
      <c r="H3" s="28">
        <v>679</v>
      </c>
      <c r="I3" s="28">
        <v>679</v>
      </c>
      <c r="J3" s="28">
        <v>720</v>
      </c>
      <c r="K3" s="28">
        <v>766</v>
      </c>
      <c r="L3" s="28">
        <v>766</v>
      </c>
      <c r="M3" s="28">
        <v>766</v>
      </c>
      <c r="N3" s="28">
        <v>766</v>
      </c>
    </row>
    <row r="4" spans="2:15" x14ac:dyDescent="0.3">
      <c r="B4" s="2" t="s">
        <v>29</v>
      </c>
      <c r="C4" s="3">
        <v>36999</v>
      </c>
      <c r="D4" s="3">
        <v>64960</v>
      </c>
      <c r="E4" s="3">
        <v>55618</v>
      </c>
      <c r="F4" s="3">
        <v>78273</v>
      </c>
      <c r="G4" s="3">
        <v>57383</v>
      </c>
      <c r="H4" s="3">
        <v>94749</v>
      </c>
      <c r="I4" s="29">
        <v>59500</v>
      </c>
      <c r="J4" s="29">
        <v>61491</v>
      </c>
      <c r="K4" s="29">
        <v>54481</v>
      </c>
      <c r="L4" s="29">
        <v>43795</v>
      </c>
      <c r="M4" s="29">
        <v>44556</v>
      </c>
      <c r="N4" s="3">
        <v>84152</v>
      </c>
      <c r="O4" s="33"/>
    </row>
    <row r="5" spans="2:15" x14ac:dyDescent="0.3">
      <c r="B5" s="4" t="s">
        <v>30</v>
      </c>
      <c r="C5" s="5">
        <v>53716</v>
      </c>
      <c r="D5" s="5">
        <v>60642</v>
      </c>
      <c r="E5" s="5">
        <v>73610</v>
      </c>
      <c r="F5" s="5">
        <v>69360</v>
      </c>
      <c r="G5" s="5">
        <v>78604</v>
      </c>
      <c r="H5" s="5">
        <v>88950</v>
      </c>
      <c r="I5" s="5">
        <v>106175</v>
      </c>
      <c r="J5" s="5">
        <v>124788</v>
      </c>
      <c r="K5" s="5">
        <v>142131</v>
      </c>
      <c r="L5" s="5">
        <v>146449</v>
      </c>
      <c r="M5" s="5">
        <v>134113</v>
      </c>
      <c r="N5" s="5">
        <v>107262</v>
      </c>
      <c r="O5" s="33"/>
    </row>
    <row r="6" spans="2:15" x14ac:dyDescent="0.3">
      <c r="B6" s="23" t="s">
        <v>31</v>
      </c>
      <c r="C6" s="26">
        <v>32155</v>
      </c>
      <c r="D6" s="26">
        <v>45259</v>
      </c>
      <c r="E6" s="26">
        <v>56071</v>
      </c>
      <c r="F6" s="26">
        <v>50510</v>
      </c>
      <c r="G6" s="26">
        <v>60629</v>
      </c>
      <c r="H6" s="26">
        <v>61200</v>
      </c>
      <c r="I6" s="60">
        <v>70818</v>
      </c>
      <c r="J6" s="60">
        <v>83316</v>
      </c>
      <c r="K6" s="60">
        <v>93113</v>
      </c>
      <c r="L6" s="26">
        <v>97759</v>
      </c>
      <c r="M6" s="26">
        <v>88696</v>
      </c>
      <c r="N6" s="26">
        <v>62149</v>
      </c>
    </row>
    <row r="7" spans="2:15" x14ac:dyDescent="0.3">
      <c r="B7" s="23" t="s">
        <v>32</v>
      </c>
      <c r="C7" s="26">
        <v>11620</v>
      </c>
      <c r="D7" s="26">
        <v>9696</v>
      </c>
      <c r="E7" s="26">
        <v>13140</v>
      </c>
      <c r="F7" s="26">
        <v>11451</v>
      </c>
      <c r="G7" s="26">
        <v>13860</v>
      </c>
      <c r="H7" s="26">
        <v>16795</v>
      </c>
      <c r="I7" s="60">
        <v>20150</v>
      </c>
      <c r="J7" s="60">
        <v>16363</v>
      </c>
      <c r="K7" s="60">
        <v>42792</v>
      </c>
      <c r="L7" s="26">
        <v>41918</v>
      </c>
      <c r="M7" s="26">
        <v>36965</v>
      </c>
      <c r="N7" s="26">
        <v>36352</v>
      </c>
      <c r="O7" s="35"/>
    </row>
    <row r="8" spans="2:15" x14ac:dyDescent="0.3">
      <c r="B8" s="23" t="s">
        <v>33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173</v>
      </c>
      <c r="J8" s="3">
        <v>5977</v>
      </c>
      <c r="K8" s="3">
        <v>6226</v>
      </c>
      <c r="L8" s="3">
        <v>6772</v>
      </c>
      <c r="M8" s="3">
        <v>8453</v>
      </c>
      <c r="N8" s="3">
        <v>8762</v>
      </c>
      <c r="O8" s="35"/>
    </row>
    <row r="9" spans="2:15" x14ac:dyDescent="0.3">
      <c r="B9" s="23" t="s">
        <v>34</v>
      </c>
      <c r="C9" s="26">
        <v>9940</v>
      </c>
      <c r="D9" s="26">
        <v>5688</v>
      </c>
      <c r="E9" s="26">
        <v>4399</v>
      </c>
      <c r="F9" s="26">
        <v>7399</v>
      </c>
      <c r="G9" s="26">
        <v>4115</v>
      </c>
      <c r="H9" s="26">
        <v>10956</v>
      </c>
      <c r="I9" s="60">
        <v>15034</v>
      </c>
      <c r="J9" s="60">
        <v>19132</v>
      </c>
      <c r="K9" s="31">
        <v>0</v>
      </c>
      <c r="L9" s="31">
        <v>0</v>
      </c>
      <c r="M9" s="31">
        <v>0</v>
      </c>
      <c r="N9" s="31">
        <v>0</v>
      </c>
    </row>
    <row r="10" spans="2:15" x14ac:dyDescent="0.3">
      <c r="B10" s="27" t="s">
        <v>35</v>
      </c>
      <c r="C10" s="29">
        <v>76977</v>
      </c>
      <c r="D10" s="29">
        <v>92180</v>
      </c>
      <c r="E10" s="29">
        <v>107442</v>
      </c>
      <c r="F10" s="29">
        <v>114872</v>
      </c>
      <c r="G10" s="29">
        <v>135914</v>
      </c>
      <c r="H10" s="29">
        <v>142813</v>
      </c>
      <c r="I10" s="29">
        <v>139349</v>
      </c>
      <c r="J10" s="29">
        <v>133181</v>
      </c>
      <c r="K10" s="29">
        <v>144193</v>
      </c>
      <c r="L10" s="29">
        <v>138051</v>
      </c>
      <c r="M10" s="29">
        <v>155239</v>
      </c>
      <c r="N10" s="29">
        <v>177340</v>
      </c>
      <c r="O10" s="33"/>
    </row>
    <row r="11" spans="2:15" x14ac:dyDescent="0.3">
      <c r="B11" s="23" t="s">
        <v>36</v>
      </c>
      <c r="C11" s="6">
        <v>370</v>
      </c>
      <c r="D11" s="6">
        <v>421</v>
      </c>
      <c r="E11" s="6">
        <v>433</v>
      </c>
      <c r="F11" s="6">
        <v>433</v>
      </c>
      <c r="G11" s="6">
        <v>453</v>
      </c>
      <c r="H11" s="6">
        <v>525</v>
      </c>
      <c r="I11" s="6">
        <v>523</v>
      </c>
      <c r="J11" s="6">
        <v>814</v>
      </c>
      <c r="K11" s="3">
        <v>1573</v>
      </c>
      <c r="L11" s="3">
        <v>4271</v>
      </c>
      <c r="M11" s="3">
        <v>7278</v>
      </c>
      <c r="N11" s="3">
        <v>8176</v>
      </c>
    </row>
    <row r="12" spans="2:15" x14ac:dyDescent="0.3">
      <c r="B12" s="23" t="s">
        <v>37</v>
      </c>
      <c r="C12" s="3">
        <v>44912</v>
      </c>
      <c r="D12" s="3">
        <v>57316</v>
      </c>
      <c r="E12" s="3">
        <v>57407</v>
      </c>
      <c r="F12" s="3">
        <v>61562</v>
      </c>
      <c r="G12" s="3">
        <v>62533</v>
      </c>
      <c r="H12" s="3">
        <v>76940</v>
      </c>
      <c r="I12" s="3">
        <v>71691</v>
      </c>
      <c r="J12" s="3">
        <v>66398</v>
      </c>
      <c r="K12" s="3">
        <v>76040</v>
      </c>
      <c r="L12" s="3">
        <v>69750</v>
      </c>
      <c r="M12" s="3">
        <v>79252</v>
      </c>
      <c r="N12" s="3">
        <v>93979</v>
      </c>
    </row>
    <row r="13" spans="2:15" x14ac:dyDescent="0.3">
      <c r="B13" s="23" t="s">
        <v>38</v>
      </c>
      <c r="C13" s="3">
        <v>2067</v>
      </c>
      <c r="D13" s="3">
        <v>3119</v>
      </c>
      <c r="E13" s="3">
        <v>2289</v>
      </c>
      <c r="F13" s="3">
        <v>2165</v>
      </c>
      <c r="G13" s="3">
        <v>1711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2:15" x14ac:dyDescent="0.3">
      <c r="B14" s="23" t="s">
        <v>39</v>
      </c>
      <c r="C14" s="3">
        <v>29627</v>
      </c>
      <c r="D14" s="3">
        <v>31325</v>
      </c>
      <c r="E14" s="3">
        <v>47313</v>
      </c>
      <c r="F14" s="3">
        <v>50712</v>
      </c>
      <c r="G14" s="3">
        <v>71218</v>
      </c>
      <c r="H14" s="3">
        <v>65349</v>
      </c>
      <c r="I14" s="3">
        <v>67135</v>
      </c>
      <c r="J14" s="3">
        <v>65969</v>
      </c>
      <c r="K14" s="3">
        <v>66579</v>
      </c>
      <c r="L14" s="3">
        <v>64030</v>
      </c>
      <c r="M14" s="3">
        <v>68710</v>
      </c>
      <c r="N14" s="3">
        <v>75186</v>
      </c>
    </row>
    <row r="15" spans="2:15" x14ac:dyDescent="0.3">
      <c r="B15" s="27" t="s">
        <v>40</v>
      </c>
      <c r="C15" s="29">
        <v>168330</v>
      </c>
      <c r="D15" s="29">
        <v>218426</v>
      </c>
      <c r="E15" s="29">
        <v>237315</v>
      </c>
      <c r="F15" s="29">
        <v>263184</v>
      </c>
      <c r="G15" s="29">
        <v>272580</v>
      </c>
      <c r="H15" s="29">
        <v>327192</v>
      </c>
      <c r="I15" s="29">
        <v>305703</v>
      </c>
      <c r="J15" s="29">
        <v>320179</v>
      </c>
      <c r="K15" s="29">
        <v>341570</v>
      </c>
      <c r="L15" s="29">
        <v>329061</v>
      </c>
      <c r="M15" s="29">
        <v>334674</v>
      </c>
      <c r="N15" s="29">
        <v>369521</v>
      </c>
      <c r="O15" s="87"/>
    </row>
    <row r="16" spans="2:15" x14ac:dyDescent="0.3">
      <c r="B16" s="27" t="s">
        <v>41</v>
      </c>
      <c r="C16" s="29">
        <v>55512</v>
      </c>
      <c r="D16" s="29">
        <v>69092</v>
      </c>
      <c r="E16" s="29">
        <v>88479</v>
      </c>
      <c r="F16" s="29">
        <v>107232</v>
      </c>
      <c r="G16" s="29">
        <v>95944</v>
      </c>
      <c r="H16" s="29">
        <v>121414</v>
      </c>
      <c r="I16" s="29">
        <v>111234</v>
      </c>
      <c r="J16" s="62">
        <v>127107</v>
      </c>
      <c r="K16" s="62">
        <v>138708</v>
      </c>
      <c r="L16" s="62">
        <v>138855</v>
      </c>
      <c r="M16" s="62">
        <v>132080</v>
      </c>
      <c r="N16" s="62">
        <v>121285</v>
      </c>
      <c r="O16" s="34"/>
    </row>
    <row r="17" spans="2:15" x14ac:dyDescent="0.3">
      <c r="B17" s="23" t="s">
        <v>42</v>
      </c>
      <c r="C17" s="3">
        <v>1959</v>
      </c>
      <c r="D17" s="3">
        <v>2296</v>
      </c>
      <c r="E17" s="3">
        <v>2513</v>
      </c>
      <c r="F17" s="3">
        <v>7185</v>
      </c>
      <c r="G17" s="3">
        <v>6762</v>
      </c>
      <c r="H17" s="3">
        <v>7339</v>
      </c>
      <c r="I17" s="3">
        <v>7286</v>
      </c>
      <c r="J17" s="3">
        <v>7675</v>
      </c>
      <c r="K17" s="3">
        <v>7819</v>
      </c>
      <c r="L17" s="3">
        <v>7760</v>
      </c>
      <c r="M17" s="3">
        <v>8045</v>
      </c>
      <c r="N17" s="3">
        <v>7930</v>
      </c>
      <c r="O17" s="33"/>
    </row>
    <row r="18" spans="2:15" x14ac:dyDescent="0.3">
      <c r="B18" s="23" t="s">
        <v>43</v>
      </c>
      <c r="C18" s="3">
        <v>8323</v>
      </c>
      <c r="D18" s="3">
        <v>11010</v>
      </c>
      <c r="E18" s="3">
        <v>13396</v>
      </c>
      <c r="F18" s="3">
        <v>12343</v>
      </c>
      <c r="G18" s="3">
        <v>12164</v>
      </c>
      <c r="H18" s="3">
        <v>16552</v>
      </c>
      <c r="I18" s="3">
        <v>22938</v>
      </c>
      <c r="J18" s="3">
        <v>32665</v>
      </c>
      <c r="K18" s="3">
        <v>35537</v>
      </c>
      <c r="L18" s="3">
        <v>36466</v>
      </c>
      <c r="M18" s="3">
        <v>38674</v>
      </c>
      <c r="N18" s="3">
        <v>40584</v>
      </c>
      <c r="O18" s="33"/>
    </row>
    <row r="19" spans="2:15" x14ac:dyDescent="0.3">
      <c r="B19" s="23" t="s">
        <v>44</v>
      </c>
      <c r="C19" s="3">
        <v>63478</v>
      </c>
      <c r="D19" s="3">
        <v>79505</v>
      </c>
      <c r="E19" s="3">
        <v>88943</v>
      </c>
      <c r="F19" s="3">
        <v>80063</v>
      </c>
      <c r="G19" s="3">
        <v>79976</v>
      </c>
      <c r="H19" s="3">
        <v>100226</v>
      </c>
      <c r="I19" s="3">
        <v>109415</v>
      </c>
      <c r="J19" s="3">
        <v>124158</v>
      </c>
      <c r="K19" s="3">
        <v>138868</v>
      </c>
      <c r="L19" s="3">
        <v>148585</v>
      </c>
      <c r="M19" s="3">
        <v>153672</v>
      </c>
      <c r="N19" s="3">
        <v>151878</v>
      </c>
      <c r="O19" s="33"/>
    </row>
    <row r="20" spans="2:15" x14ac:dyDescent="0.3">
      <c r="B20" s="23" t="s">
        <v>45</v>
      </c>
      <c r="C20" s="6">
        <v>0</v>
      </c>
      <c r="D20" s="6">
        <v>0</v>
      </c>
      <c r="E20" s="6">
        <v>482</v>
      </c>
      <c r="F20" s="6">
        <v>498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33"/>
    </row>
    <row r="21" spans="2:15" x14ac:dyDescent="0.3">
      <c r="B21" s="23" t="s">
        <v>46</v>
      </c>
      <c r="C21" s="6">
        <v>928</v>
      </c>
      <c r="D21" s="3">
        <v>1126</v>
      </c>
      <c r="E21" s="3">
        <v>1364</v>
      </c>
      <c r="F21" s="3">
        <v>1634</v>
      </c>
      <c r="G21" s="3">
        <v>1767</v>
      </c>
      <c r="H21" s="3">
        <v>1943</v>
      </c>
      <c r="I21" s="3">
        <v>2335</v>
      </c>
      <c r="J21" s="3">
        <v>3054</v>
      </c>
      <c r="K21" s="3">
        <v>3172</v>
      </c>
      <c r="L21" s="3">
        <v>3383</v>
      </c>
      <c r="M21" s="3">
        <v>3499</v>
      </c>
      <c r="N21" s="3">
        <v>3667</v>
      </c>
      <c r="O21" s="33"/>
    </row>
    <row r="22" spans="2:15" x14ac:dyDescent="0.3">
      <c r="B22" s="23" t="s">
        <v>47</v>
      </c>
      <c r="C22" s="6">
        <v>710</v>
      </c>
      <c r="D22" s="3">
        <v>1011</v>
      </c>
      <c r="E22" s="3">
        <v>1149</v>
      </c>
      <c r="F22" s="3">
        <v>1241</v>
      </c>
      <c r="G22" s="3">
        <v>1401</v>
      </c>
      <c r="H22" s="3">
        <v>1430</v>
      </c>
      <c r="I22" s="3">
        <v>1626</v>
      </c>
      <c r="J22" s="3">
        <v>1890</v>
      </c>
      <c r="K22" s="3">
        <v>1956</v>
      </c>
      <c r="L22" s="3">
        <v>1984</v>
      </c>
      <c r="M22" s="3">
        <v>2084</v>
      </c>
      <c r="N22" s="3">
        <v>2029</v>
      </c>
      <c r="O22" s="33"/>
    </row>
    <row r="23" spans="2:15" x14ac:dyDescent="0.3">
      <c r="B23" s="23" t="s">
        <v>48</v>
      </c>
      <c r="C23" s="6">
        <v>251</v>
      </c>
      <c r="D23" s="6">
        <v>270</v>
      </c>
      <c r="E23" s="6">
        <v>280</v>
      </c>
      <c r="F23" s="6">
        <v>280</v>
      </c>
      <c r="G23" s="6">
        <v>291</v>
      </c>
      <c r="H23" s="6">
        <v>353</v>
      </c>
      <c r="I23" s="6">
        <v>387</v>
      </c>
      <c r="J23" s="6">
        <v>601</v>
      </c>
      <c r="K23" s="6">
        <v>845</v>
      </c>
      <c r="L23" s="6">
        <v>725</v>
      </c>
      <c r="M23" s="6">
        <v>788</v>
      </c>
      <c r="N23" s="6">
        <v>956</v>
      </c>
      <c r="O23" s="33"/>
    </row>
    <row r="24" spans="2:15" x14ac:dyDescent="0.3">
      <c r="B24" s="23" t="s">
        <v>49</v>
      </c>
      <c r="C24" s="3">
        <v>7423</v>
      </c>
      <c r="D24" s="3">
        <v>8994</v>
      </c>
      <c r="E24" s="3">
        <v>9580</v>
      </c>
      <c r="F24" s="3">
        <v>58951</v>
      </c>
      <c r="G24" s="3">
        <v>54932</v>
      </c>
      <c r="H24" s="3">
        <v>77870</v>
      </c>
      <c r="I24" s="3">
        <v>80480</v>
      </c>
      <c r="J24" s="3">
        <v>91157</v>
      </c>
      <c r="K24" s="3">
        <v>114809</v>
      </c>
      <c r="L24" s="3">
        <v>114323</v>
      </c>
      <c r="M24" s="3">
        <v>112538</v>
      </c>
      <c r="N24" s="3">
        <v>116714</v>
      </c>
      <c r="O24" s="33"/>
    </row>
    <row r="25" spans="2:15" x14ac:dyDescent="0.3">
      <c r="B25" s="23" t="s">
        <v>50</v>
      </c>
      <c r="C25" s="3">
        <v>24161</v>
      </c>
      <c r="D25" s="3">
        <v>33694</v>
      </c>
      <c r="E25" s="3">
        <v>45196</v>
      </c>
      <c r="F25" s="3">
        <v>6746</v>
      </c>
      <c r="G25" s="3">
        <v>6219</v>
      </c>
      <c r="H25" s="3">
        <v>7497</v>
      </c>
      <c r="I25" s="3">
        <v>8049</v>
      </c>
      <c r="J25" s="3">
        <v>9380</v>
      </c>
      <c r="K25" s="3">
        <v>10686</v>
      </c>
      <c r="L25" s="3">
        <v>10870</v>
      </c>
      <c r="M25" s="3">
        <v>11841</v>
      </c>
      <c r="N25" s="3">
        <v>10724</v>
      </c>
      <c r="O25" s="33"/>
    </row>
    <row r="26" spans="2:15" x14ac:dyDescent="0.3">
      <c r="B26" s="24" t="s">
        <v>51</v>
      </c>
      <c r="C26" s="5">
        <v>107234</v>
      </c>
      <c r="D26" s="5">
        <v>137907</v>
      </c>
      <c r="E26" s="5">
        <v>162904</v>
      </c>
      <c r="F26" s="5">
        <v>168941</v>
      </c>
      <c r="G26" s="5">
        <v>163512</v>
      </c>
      <c r="H26" s="5">
        <v>213209</v>
      </c>
      <c r="I26" s="5">
        <v>232517</v>
      </c>
      <c r="J26" s="5">
        <v>270579</v>
      </c>
      <c r="K26" s="5">
        <v>313692</v>
      </c>
      <c r="L26" s="5">
        <v>324096</v>
      </c>
      <c r="M26" s="5">
        <v>331141</v>
      </c>
      <c r="N26" s="5">
        <v>334482</v>
      </c>
      <c r="O26" s="33"/>
    </row>
    <row r="27" spans="2:15" x14ac:dyDescent="0.3">
      <c r="B27" s="32" t="s">
        <v>52</v>
      </c>
      <c r="C27" s="29">
        <v>51723</v>
      </c>
      <c r="D27" s="29">
        <v>68815</v>
      </c>
      <c r="E27" s="29">
        <v>74424</v>
      </c>
      <c r="F27" s="29">
        <v>61709</v>
      </c>
      <c r="G27" s="29">
        <v>67568</v>
      </c>
      <c r="H27" s="29">
        <v>91795</v>
      </c>
      <c r="I27" s="29">
        <v>121283</v>
      </c>
      <c r="J27" s="29">
        <v>143471</v>
      </c>
      <c r="K27" s="29">
        <v>174985</v>
      </c>
      <c r="L27" s="29">
        <v>185241</v>
      </c>
      <c r="M27" s="29">
        <v>199062</v>
      </c>
      <c r="N27" s="29">
        <v>213197</v>
      </c>
      <c r="O27" s="33"/>
    </row>
    <row r="28" spans="2:15" x14ac:dyDescent="0.3">
      <c r="B28" s="2" t="s">
        <v>53</v>
      </c>
      <c r="C28" s="3">
        <v>18454</v>
      </c>
      <c r="D28" s="3">
        <v>33263</v>
      </c>
      <c r="E28" s="3">
        <v>28640</v>
      </c>
      <c r="F28" s="3">
        <v>25919</v>
      </c>
      <c r="G28" s="3">
        <v>33699</v>
      </c>
      <c r="H28" s="3">
        <v>40034</v>
      </c>
      <c r="I28" s="3">
        <v>31884</v>
      </c>
      <c r="J28" s="3">
        <v>35622</v>
      </c>
      <c r="K28" s="3">
        <v>20964</v>
      </c>
      <c r="L28" s="3">
        <v>10251</v>
      </c>
      <c r="M28" s="3">
        <v>14274</v>
      </c>
      <c r="N28" s="3">
        <v>35698</v>
      </c>
    </row>
    <row r="29" spans="2:15" x14ac:dyDescent="0.3">
      <c r="B29" s="2" t="s">
        <v>54</v>
      </c>
      <c r="C29" s="3">
        <v>8765</v>
      </c>
      <c r="D29" s="3">
        <v>10687</v>
      </c>
      <c r="E29" s="3">
        <v>15337</v>
      </c>
      <c r="F29" s="3">
        <v>23767</v>
      </c>
      <c r="G29" s="3">
        <v>20338</v>
      </c>
      <c r="H29" s="3">
        <v>20813</v>
      </c>
      <c r="I29" s="29">
        <v>15771</v>
      </c>
      <c r="J29" s="29">
        <v>16308</v>
      </c>
      <c r="K29" s="29">
        <v>24620</v>
      </c>
      <c r="L29" s="3">
        <v>29380</v>
      </c>
      <c r="M29" s="3">
        <v>26379</v>
      </c>
      <c r="N29" s="3">
        <v>22971</v>
      </c>
    </row>
    <row r="30" spans="2:15" x14ac:dyDescent="0.3">
      <c r="B30" s="27" t="s">
        <v>55</v>
      </c>
      <c r="C30" s="29">
        <v>85600</v>
      </c>
      <c r="D30" s="29">
        <v>105385</v>
      </c>
      <c r="E30" s="29">
        <v>104858</v>
      </c>
      <c r="F30" s="29">
        <v>106266</v>
      </c>
      <c r="G30" s="29">
        <v>122600</v>
      </c>
      <c r="H30" s="29">
        <v>144932</v>
      </c>
      <c r="I30" s="29">
        <v>146814</v>
      </c>
      <c r="J30" s="29">
        <v>141141</v>
      </c>
      <c r="K30" s="29">
        <v>157278</v>
      </c>
      <c r="L30" s="29">
        <v>150575</v>
      </c>
      <c r="M30" s="29">
        <v>161941</v>
      </c>
      <c r="N30" s="29">
        <v>189566</v>
      </c>
    </row>
    <row r="31" spans="2:15" x14ac:dyDescent="0.3">
      <c r="B31" s="23" t="s">
        <v>56</v>
      </c>
      <c r="C31" s="3">
        <v>21037</v>
      </c>
      <c r="D31" s="3">
        <v>27271</v>
      </c>
      <c r="E31" s="3">
        <v>29272</v>
      </c>
      <c r="F31" s="3">
        <v>32656</v>
      </c>
      <c r="G31" s="3">
        <v>35085</v>
      </c>
      <c r="H31" s="3">
        <v>42138</v>
      </c>
      <c r="I31" s="29">
        <v>39014</v>
      </c>
      <c r="J31" s="29">
        <v>37457</v>
      </c>
      <c r="K31" s="29">
        <v>36089</v>
      </c>
      <c r="L31" s="3">
        <v>35240</v>
      </c>
      <c r="M31" s="3">
        <v>40755</v>
      </c>
      <c r="N31" s="3">
        <v>47788</v>
      </c>
    </row>
    <row r="32" spans="2:15" x14ac:dyDescent="0.3">
      <c r="B32" s="23" t="s">
        <v>57</v>
      </c>
      <c r="C32" s="3">
        <v>10960</v>
      </c>
      <c r="D32" s="3">
        <v>10574</v>
      </c>
      <c r="E32" s="3">
        <v>12579</v>
      </c>
      <c r="F32" s="3">
        <v>13571</v>
      </c>
      <c r="G32" s="3">
        <v>14076</v>
      </c>
      <c r="H32" s="3">
        <v>19893</v>
      </c>
      <c r="I32" s="3">
        <v>18996</v>
      </c>
      <c r="J32" s="3">
        <v>11173</v>
      </c>
      <c r="K32" s="3">
        <v>12679</v>
      </c>
      <c r="L32" s="3">
        <v>12442</v>
      </c>
      <c r="M32" s="3">
        <v>15738</v>
      </c>
      <c r="N32" s="3">
        <v>16952</v>
      </c>
    </row>
    <row r="33" spans="2:14" x14ac:dyDescent="0.3">
      <c r="B33" s="23" t="s">
        <v>58</v>
      </c>
      <c r="C33" s="3">
        <v>21115</v>
      </c>
      <c r="D33" s="3">
        <v>29712</v>
      </c>
      <c r="E33" s="3">
        <v>32116</v>
      </c>
      <c r="F33" s="3">
        <v>30460</v>
      </c>
      <c r="G33" s="3">
        <v>36078</v>
      </c>
      <c r="H33" s="3">
        <v>34614</v>
      </c>
      <c r="I33" s="3">
        <v>32649</v>
      </c>
      <c r="J33" s="3">
        <v>33727</v>
      </c>
      <c r="K33" s="3">
        <v>46792</v>
      </c>
      <c r="L33" s="3">
        <v>40669</v>
      </c>
      <c r="M33" s="3">
        <v>37016</v>
      </c>
      <c r="N33" s="3">
        <v>45807</v>
      </c>
    </row>
    <row r="34" spans="2:14" x14ac:dyDescent="0.3">
      <c r="B34" s="23" t="s">
        <v>59</v>
      </c>
      <c r="C34" s="3">
        <v>7041</v>
      </c>
      <c r="D34" s="3">
        <v>9344</v>
      </c>
      <c r="E34" s="3">
        <v>6190</v>
      </c>
      <c r="F34" s="6">
        <v>0</v>
      </c>
      <c r="G34" s="6">
        <v>0</v>
      </c>
      <c r="H34" s="6">
        <v>966</v>
      </c>
      <c r="I34" s="28">
        <v>974</v>
      </c>
      <c r="J34" s="6">
        <v>39</v>
      </c>
      <c r="K34" s="28">
        <v>142</v>
      </c>
      <c r="L34" s="6">
        <v>47</v>
      </c>
      <c r="M34" s="6">
        <v>119</v>
      </c>
      <c r="N34" s="6">
        <v>168</v>
      </c>
    </row>
    <row r="35" spans="2:14" x14ac:dyDescent="0.3">
      <c r="B35" s="23" t="s">
        <v>60</v>
      </c>
      <c r="C35" s="3">
        <v>25448</v>
      </c>
      <c r="D35" s="3">
        <v>28484</v>
      </c>
      <c r="E35" s="3">
        <v>24701</v>
      </c>
      <c r="F35" s="3">
        <v>29579</v>
      </c>
      <c r="G35" s="3">
        <v>37361</v>
      </c>
      <c r="H35" s="3">
        <v>47321</v>
      </c>
      <c r="I35" s="3">
        <v>55182</v>
      </c>
      <c r="J35" s="3">
        <v>58746</v>
      </c>
      <c r="K35" s="3">
        <v>61576</v>
      </c>
      <c r="L35" s="3">
        <v>62177</v>
      </c>
      <c r="M35" s="3">
        <v>68313</v>
      </c>
      <c r="N35" s="3">
        <v>78851</v>
      </c>
    </row>
    <row r="36" spans="2:14" x14ac:dyDescent="0.3">
      <c r="B36" s="27" t="s">
        <v>61</v>
      </c>
      <c r="C36" s="29">
        <v>168330</v>
      </c>
      <c r="D36" s="29">
        <v>218426</v>
      </c>
      <c r="E36" s="29">
        <v>237315</v>
      </c>
      <c r="F36" s="29">
        <v>263184</v>
      </c>
      <c r="G36" s="29">
        <v>272580</v>
      </c>
      <c r="H36" s="29">
        <v>327192</v>
      </c>
      <c r="I36" s="29">
        <v>305703</v>
      </c>
      <c r="J36" s="29">
        <v>320179</v>
      </c>
      <c r="K36" s="29">
        <v>341570</v>
      </c>
      <c r="L36" s="29">
        <v>329061</v>
      </c>
      <c r="M36" s="29">
        <v>334674</v>
      </c>
      <c r="N36" s="29">
        <v>369521</v>
      </c>
    </row>
    <row r="37" spans="2:14" x14ac:dyDescent="0.3">
      <c r="L37" s="35"/>
      <c r="N37" s="35"/>
    </row>
    <row r="38" spans="2:14" x14ac:dyDescent="0.3">
      <c r="B38" s="85" t="s">
        <v>113</v>
      </c>
      <c r="I38" s="35">
        <f>I36-J36+I39</f>
        <v>9115</v>
      </c>
      <c r="J38" s="35">
        <f t="shared" ref="J38:M38" si="1">J36-K36+J39</f>
        <v>34</v>
      </c>
      <c r="K38" s="35">
        <f t="shared" si="1"/>
        <v>36056</v>
      </c>
      <c r="L38" s="35">
        <f t="shared" si="1"/>
        <v>19223</v>
      </c>
      <c r="M38" s="35">
        <f t="shared" si="1"/>
        <v>-9987</v>
      </c>
      <c r="N38" s="35"/>
    </row>
    <row r="39" spans="2:14" x14ac:dyDescent="0.3">
      <c r="B39" s="85" t="s">
        <v>114</v>
      </c>
      <c r="C39">
        <f>IS!B11</f>
        <v>7601</v>
      </c>
      <c r="D39">
        <f>IS!C11</f>
        <v>11078</v>
      </c>
      <c r="E39">
        <f>IS!D11</f>
        <v>13389</v>
      </c>
      <c r="F39">
        <f>IS!E11</f>
        <v>16711</v>
      </c>
      <c r="G39">
        <f>IS!F11</f>
        <v>17905</v>
      </c>
      <c r="H39">
        <f>IS!G11</f>
        <v>21554</v>
      </c>
      <c r="I39">
        <f>IS!H11</f>
        <v>23591</v>
      </c>
      <c r="J39">
        <f>IS!I11</f>
        <v>21425</v>
      </c>
      <c r="K39">
        <f>IS!J11</f>
        <v>23547</v>
      </c>
      <c r="L39">
        <f>IS!K11</f>
        <v>24836</v>
      </c>
      <c r="M39">
        <f>IS!L11</f>
        <v>24860</v>
      </c>
    </row>
    <row r="42" spans="2:14" x14ac:dyDescent="0.3">
      <c r="B42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FA1C9-6376-4C29-A185-266C1AC6892C}">
  <dimension ref="B1:U70"/>
  <sheetViews>
    <sheetView tabSelected="1" zoomScale="70" zoomScaleNormal="70" workbookViewId="0">
      <selection activeCell="J21" sqref="J21"/>
    </sheetView>
  </sheetViews>
  <sheetFormatPr defaultRowHeight="14.4" x14ac:dyDescent="0.3"/>
  <cols>
    <col min="1" max="1" width="4.88671875" customWidth="1"/>
    <col min="2" max="2" width="24.44140625" bestFit="1" customWidth="1"/>
    <col min="3" max="3" width="9.21875" bestFit="1" customWidth="1"/>
    <col min="6" max="6" width="9.21875" bestFit="1" customWidth="1"/>
    <col min="8" max="14" width="9.21875" bestFit="1" customWidth="1"/>
    <col min="15" max="15" width="12.6640625" bestFit="1" customWidth="1"/>
    <col min="16" max="16" width="13.77734375" bestFit="1" customWidth="1"/>
    <col min="17" max="17" width="12.6640625" bestFit="1" customWidth="1"/>
    <col min="18" max="19" width="13.77734375" bestFit="1" customWidth="1"/>
  </cols>
  <sheetData>
    <row r="1" spans="2:21" x14ac:dyDescent="0.3">
      <c r="O1" s="131" t="s">
        <v>133</v>
      </c>
      <c r="P1" s="131"/>
      <c r="Q1" s="131"/>
      <c r="R1" s="131"/>
      <c r="S1" s="131"/>
    </row>
    <row r="2" spans="2:21" x14ac:dyDescent="0.3">
      <c r="B2" s="113" t="s">
        <v>13</v>
      </c>
      <c r="C2" s="114">
        <v>45364</v>
      </c>
      <c r="D2" s="114">
        <f>C2+1</f>
        <v>45365</v>
      </c>
      <c r="E2" s="114">
        <f t="shared" ref="E2:M2" si="0">D2+1</f>
        <v>45366</v>
      </c>
      <c r="F2" s="114">
        <f t="shared" si="0"/>
        <v>45367</v>
      </c>
      <c r="G2" s="114">
        <f t="shared" si="0"/>
        <v>45368</v>
      </c>
      <c r="H2" s="114">
        <f t="shared" si="0"/>
        <v>45369</v>
      </c>
      <c r="I2" s="114">
        <f t="shared" si="0"/>
        <v>45370</v>
      </c>
      <c r="J2" s="114">
        <f t="shared" si="0"/>
        <v>45371</v>
      </c>
      <c r="K2" s="114">
        <f t="shared" si="0"/>
        <v>45372</v>
      </c>
      <c r="L2" s="114">
        <f t="shared" si="0"/>
        <v>45373</v>
      </c>
      <c r="M2" s="114">
        <f t="shared" si="0"/>
        <v>45374</v>
      </c>
      <c r="N2" s="114">
        <f>M2+1</f>
        <v>45375</v>
      </c>
      <c r="O2" s="83">
        <v>25</v>
      </c>
      <c r="P2" s="126">
        <v>26</v>
      </c>
      <c r="Q2" s="83">
        <v>27</v>
      </c>
      <c r="R2" s="83">
        <v>28</v>
      </c>
      <c r="S2" s="83">
        <v>29</v>
      </c>
      <c r="U2" s="74"/>
    </row>
    <row r="3" spans="2:21" x14ac:dyDescent="0.3">
      <c r="B3" s="27" t="s">
        <v>125</v>
      </c>
      <c r="C3" s="75">
        <f>SUM(C4:C12)-C13+C14+C15</f>
        <v>82729</v>
      </c>
      <c r="D3" s="75">
        <f t="shared" ref="D3:S3" si="1">SUM(D4:D12)-D13+D14+D15</f>
        <v>113041</v>
      </c>
      <c r="E3" s="75">
        <f t="shared" si="1"/>
        <v>132456</v>
      </c>
      <c r="F3" s="75">
        <f t="shared" si="1"/>
        <v>156918</v>
      </c>
      <c r="G3" s="75">
        <f t="shared" si="1"/>
        <v>149981</v>
      </c>
      <c r="H3" s="75">
        <f t="shared" si="1"/>
        <v>182262</v>
      </c>
      <c r="I3" s="75">
        <f t="shared" si="1"/>
        <v>158888</v>
      </c>
      <c r="J3" s="75">
        <f t="shared" si="1"/>
        <v>179039</v>
      </c>
      <c r="K3" s="75">
        <f t="shared" si="1"/>
        <v>184291</v>
      </c>
      <c r="L3" s="75">
        <f t="shared" si="1"/>
        <v>178486</v>
      </c>
      <c r="M3" s="75">
        <f t="shared" si="1"/>
        <v>172732</v>
      </c>
      <c r="N3" s="75">
        <f t="shared" si="1"/>
        <v>179954</v>
      </c>
      <c r="O3" s="75">
        <f t="shared" si="1"/>
        <v>200038.00168504566</v>
      </c>
      <c r="P3" s="75">
        <f t="shared" si="1"/>
        <v>208561.05426690762</v>
      </c>
      <c r="Q3" s="75">
        <f t="shared" si="1"/>
        <v>206710.82064822293</v>
      </c>
      <c r="R3" s="75">
        <f t="shared" si="1"/>
        <v>213476.04500532045</v>
      </c>
      <c r="S3" s="75">
        <f t="shared" si="1"/>
        <v>215609.92977713008</v>
      </c>
    </row>
    <row r="4" spans="2:21" x14ac:dyDescent="0.3">
      <c r="B4" s="23" t="s">
        <v>42</v>
      </c>
      <c r="C4" s="3">
        <v>1959</v>
      </c>
      <c r="D4" s="3">
        <v>2296</v>
      </c>
      <c r="E4" s="3">
        <v>2513</v>
      </c>
      <c r="F4" s="3">
        <v>7185</v>
      </c>
      <c r="G4" s="3">
        <v>6762</v>
      </c>
      <c r="H4" s="3">
        <v>7339</v>
      </c>
      <c r="I4" s="3">
        <v>7286</v>
      </c>
      <c r="J4" s="3">
        <v>7675</v>
      </c>
      <c r="K4" s="3">
        <v>7819</v>
      </c>
      <c r="L4" s="3">
        <v>7760</v>
      </c>
      <c r="M4" s="3">
        <v>8045</v>
      </c>
      <c r="N4" s="3">
        <v>7930</v>
      </c>
      <c r="O4" s="78">
        <f>N4*O55</f>
        <v>8068.0434850456804</v>
      </c>
      <c r="P4" s="78">
        <f>O4*O55</f>
        <v>8208.4899970476727</v>
      </c>
      <c r="Q4" s="78">
        <f>P4*O55</f>
        <v>8351.3813673068234</v>
      </c>
      <c r="R4" s="78">
        <f>Q4*O55</f>
        <v>8496.7601553129516</v>
      </c>
      <c r="S4" s="78">
        <f>R4*O55</f>
        <v>8644.6696614209814</v>
      </c>
    </row>
    <row r="5" spans="2:21" x14ac:dyDescent="0.3">
      <c r="B5" s="23" t="s">
        <v>43</v>
      </c>
      <c r="C5" s="3">
        <v>8323</v>
      </c>
      <c r="D5" s="3">
        <v>11010</v>
      </c>
      <c r="E5" s="3">
        <v>13396</v>
      </c>
      <c r="F5" s="3">
        <v>12343</v>
      </c>
      <c r="G5" s="3">
        <v>12164</v>
      </c>
      <c r="H5" s="3">
        <v>16552</v>
      </c>
      <c r="I5" s="3">
        <v>22938</v>
      </c>
      <c r="J5" s="3">
        <v>32665</v>
      </c>
      <c r="K5" s="3">
        <v>35537</v>
      </c>
      <c r="L5" s="3">
        <v>36466</v>
      </c>
      <c r="M5" s="3">
        <v>38674</v>
      </c>
      <c r="N5" s="3">
        <v>40584</v>
      </c>
      <c r="O5" s="78">
        <f>N5*P56</f>
        <v>45843.686399999999</v>
      </c>
      <c r="P5" s="78">
        <f>O5*Q56</f>
        <v>51785.028157439992</v>
      </c>
      <c r="Q5" s="78">
        <f>O5*R56</f>
        <v>51785.028157439992</v>
      </c>
      <c r="R5" s="78">
        <f>P5*S56</f>
        <v>58496.367806644215</v>
      </c>
      <c r="S5" s="78">
        <f>Q5*T56</f>
        <v>58496.367806644215</v>
      </c>
    </row>
    <row r="6" spans="2:21" x14ac:dyDescent="0.3">
      <c r="B6" s="23" t="s">
        <v>44</v>
      </c>
      <c r="C6" s="3">
        <v>63478</v>
      </c>
      <c r="D6" s="3">
        <v>79505</v>
      </c>
      <c r="E6" s="3">
        <v>88943</v>
      </c>
      <c r="F6" s="3">
        <v>80063</v>
      </c>
      <c r="G6" s="3">
        <v>79976</v>
      </c>
      <c r="H6" s="3">
        <v>100226</v>
      </c>
      <c r="I6" s="3">
        <v>109415</v>
      </c>
      <c r="J6" s="3">
        <v>124158</v>
      </c>
      <c r="K6" s="3">
        <v>138868</v>
      </c>
      <c r="L6" s="3">
        <v>148585</v>
      </c>
      <c r="M6" s="3">
        <v>153672</v>
      </c>
      <c r="N6" s="3">
        <v>151878</v>
      </c>
      <c r="O6" s="3">
        <f>N6*P57</f>
        <v>162387.95759999999</v>
      </c>
      <c r="P6" s="3">
        <f>O6*Q57</f>
        <v>173625.20426591998</v>
      </c>
      <c r="Q6" s="3">
        <f>P6*R57</f>
        <v>185640.06840112162</v>
      </c>
      <c r="R6" s="3">
        <f>Q6*S57</f>
        <v>198486.36113447923</v>
      </c>
      <c r="S6" s="3">
        <f>R6*T57</f>
        <v>212221.61732498519</v>
      </c>
    </row>
    <row r="7" spans="2:21" x14ac:dyDescent="0.3">
      <c r="B7" s="23" t="s">
        <v>45</v>
      </c>
      <c r="C7" s="6">
        <v>0</v>
      </c>
      <c r="D7" s="6">
        <v>0</v>
      </c>
      <c r="E7" s="6">
        <v>482</v>
      </c>
      <c r="F7" s="6">
        <v>498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2:21" x14ac:dyDescent="0.3">
      <c r="B8" s="23" t="s">
        <v>46</v>
      </c>
      <c r="C8" s="6">
        <v>928</v>
      </c>
      <c r="D8" s="3">
        <v>1126</v>
      </c>
      <c r="E8" s="3">
        <v>1364</v>
      </c>
      <c r="F8" s="3">
        <v>1634</v>
      </c>
      <c r="G8" s="3">
        <v>1767</v>
      </c>
      <c r="H8" s="3">
        <v>1943</v>
      </c>
      <c r="I8" s="3">
        <v>2335</v>
      </c>
      <c r="J8" s="3">
        <v>3054</v>
      </c>
      <c r="K8" s="3">
        <v>3172</v>
      </c>
      <c r="L8" s="3">
        <v>3383</v>
      </c>
      <c r="M8" s="3">
        <v>3499</v>
      </c>
      <c r="N8" s="3">
        <v>3667</v>
      </c>
      <c r="O8" s="3">
        <f t="shared" ref="O8:S12" si="2">N8*P59</f>
        <v>4030.3996999999999</v>
      </c>
      <c r="P8" s="3">
        <f t="shared" si="2"/>
        <v>4429.8123102700001</v>
      </c>
      <c r="Q8" s="3">
        <f t="shared" si="2"/>
        <v>4868.8067102177574</v>
      </c>
      <c r="R8" s="3">
        <f t="shared" si="2"/>
        <v>5351.3054552003368</v>
      </c>
      <c r="S8" s="3">
        <f t="shared" si="2"/>
        <v>5881.6198258106897</v>
      </c>
    </row>
    <row r="9" spans="2:21" x14ac:dyDescent="0.3">
      <c r="B9" s="23" t="s">
        <v>47</v>
      </c>
      <c r="C9" s="6">
        <v>710</v>
      </c>
      <c r="D9" s="3">
        <v>1011</v>
      </c>
      <c r="E9" s="3">
        <v>1149</v>
      </c>
      <c r="F9" s="3">
        <v>1241</v>
      </c>
      <c r="G9" s="3">
        <v>1401</v>
      </c>
      <c r="H9" s="3">
        <v>1430</v>
      </c>
      <c r="I9" s="3">
        <v>1626</v>
      </c>
      <c r="J9" s="3">
        <v>1890</v>
      </c>
      <c r="K9" s="3">
        <v>1956</v>
      </c>
      <c r="L9" s="3">
        <v>1984</v>
      </c>
      <c r="M9" s="3">
        <v>2084</v>
      </c>
      <c r="N9" s="3">
        <v>2029</v>
      </c>
      <c r="O9" s="3">
        <f t="shared" si="2"/>
        <v>2124.5659000000001</v>
      </c>
      <c r="P9" s="78">
        <f t="shared" si="2"/>
        <v>2224.63295389</v>
      </c>
      <c r="Q9" s="78">
        <f t="shared" si="2"/>
        <v>2329.4131660182188</v>
      </c>
      <c r="R9" s="78">
        <f t="shared" si="2"/>
        <v>2439.1285261376765</v>
      </c>
      <c r="S9" s="78">
        <f t="shared" si="2"/>
        <v>2554.0114797187607</v>
      </c>
    </row>
    <row r="10" spans="2:21" x14ac:dyDescent="0.3">
      <c r="B10" s="23" t="s">
        <v>48</v>
      </c>
      <c r="C10" s="6">
        <v>251</v>
      </c>
      <c r="D10" s="6">
        <v>270</v>
      </c>
      <c r="E10" s="6">
        <v>280</v>
      </c>
      <c r="F10" s="6">
        <v>280</v>
      </c>
      <c r="G10" s="6">
        <v>291</v>
      </c>
      <c r="H10" s="6">
        <v>353</v>
      </c>
      <c r="I10" s="6">
        <v>387</v>
      </c>
      <c r="J10" s="6">
        <v>601</v>
      </c>
      <c r="K10" s="6">
        <v>845</v>
      </c>
      <c r="L10" s="6">
        <v>725</v>
      </c>
      <c r="M10" s="6">
        <v>788</v>
      </c>
      <c r="N10" s="6">
        <v>956</v>
      </c>
      <c r="O10" s="6">
        <f t="shared" si="2"/>
        <v>1169.5704000000001</v>
      </c>
      <c r="P10" s="6">
        <f t="shared" si="2"/>
        <v>1430.8524273600001</v>
      </c>
      <c r="Q10" s="6">
        <f t="shared" si="2"/>
        <v>1750.5048596322242</v>
      </c>
      <c r="R10" s="6">
        <f t="shared" si="2"/>
        <v>2141.5676452740631</v>
      </c>
      <c r="S10" s="6">
        <f t="shared" si="2"/>
        <v>2619.993857228289</v>
      </c>
    </row>
    <row r="11" spans="2:21" x14ac:dyDescent="0.3">
      <c r="B11" s="23" t="s">
        <v>50</v>
      </c>
      <c r="C11" s="3">
        <v>24161</v>
      </c>
      <c r="D11" s="3">
        <v>33694</v>
      </c>
      <c r="E11" s="3">
        <v>45196</v>
      </c>
      <c r="F11" s="3">
        <v>6746</v>
      </c>
      <c r="G11" s="3">
        <v>6219</v>
      </c>
      <c r="H11" s="3">
        <v>7497</v>
      </c>
      <c r="I11" s="3">
        <v>8049</v>
      </c>
      <c r="J11" s="3">
        <v>9380</v>
      </c>
      <c r="K11" s="3">
        <v>10686</v>
      </c>
      <c r="L11" s="3">
        <v>10870</v>
      </c>
      <c r="M11" s="3">
        <v>11841</v>
      </c>
      <c r="N11" s="3">
        <v>10724</v>
      </c>
      <c r="O11" s="3">
        <f t="shared" si="2"/>
        <v>11403.901599999999</v>
      </c>
      <c r="P11" s="3">
        <f t="shared" si="2"/>
        <v>12126.908961439998</v>
      </c>
      <c r="Q11" s="3">
        <f t="shared" si="2"/>
        <v>12895.754989595292</v>
      </c>
      <c r="R11" s="3">
        <f t="shared" si="2"/>
        <v>13713.345855935633</v>
      </c>
      <c r="S11" s="3">
        <f t="shared" si="2"/>
        <v>14582.77198320195</v>
      </c>
    </row>
    <row r="12" spans="2:21" x14ac:dyDescent="0.3">
      <c r="B12" s="23" t="s">
        <v>49</v>
      </c>
      <c r="C12" s="3">
        <v>7423</v>
      </c>
      <c r="D12" s="3">
        <v>8994</v>
      </c>
      <c r="E12" s="3">
        <v>9580</v>
      </c>
      <c r="F12" s="3">
        <v>58951</v>
      </c>
      <c r="G12" s="3">
        <v>54932</v>
      </c>
      <c r="H12" s="3">
        <v>77870</v>
      </c>
      <c r="I12" s="3">
        <v>80480</v>
      </c>
      <c r="J12" s="3">
        <v>91157</v>
      </c>
      <c r="K12" s="3">
        <v>114809</v>
      </c>
      <c r="L12" s="3">
        <v>114323</v>
      </c>
      <c r="M12" s="3">
        <v>112538</v>
      </c>
      <c r="N12" s="3">
        <v>116714</v>
      </c>
      <c r="O12" s="3">
        <f t="shared" si="2"/>
        <v>126272.8766</v>
      </c>
      <c r="P12" s="3">
        <f t="shared" si="2"/>
        <v>136614.62519354001</v>
      </c>
      <c r="Q12" s="3">
        <f t="shared" si="2"/>
        <v>147803.36299689094</v>
      </c>
      <c r="R12" s="3">
        <f t="shared" si="2"/>
        <v>159908.45842633632</v>
      </c>
      <c r="S12" s="3">
        <f t="shared" si="2"/>
        <v>173004.96117145327</v>
      </c>
    </row>
    <row r="13" spans="2:21" x14ac:dyDescent="0.3">
      <c r="B13" s="116" t="s">
        <v>52</v>
      </c>
      <c r="C13" s="39">
        <v>51723</v>
      </c>
      <c r="D13" s="39">
        <v>68815</v>
      </c>
      <c r="E13" s="39">
        <v>74424</v>
      </c>
      <c r="F13" s="39">
        <v>61709</v>
      </c>
      <c r="G13" s="39">
        <v>67568</v>
      </c>
      <c r="H13" s="39">
        <v>91795</v>
      </c>
      <c r="I13" s="39">
        <v>121283</v>
      </c>
      <c r="J13" s="39">
        <v>143471</v>
      </c>
      <c r="K13" s="39">
        <v>174985</v>
      </c>
      <c r="L13" s="39">
        <v>185241</v>
      </c>
      <c r="M13" s="39">
        <v>199062</v>
      </c>
      <c r="N13" s="39">
        <v>213197</v>
      </c>
      <c r="O13" s="3">
        <f>N13+IS!P11</f>
        <v>239644</v>
      </c>
      <c r="P13" s="3">
        <f>O13+IS!Q11</f>
        <v>266884.5</v>
      </c>
      <c r="Q13" s="3">
        <f>P13+IS!R11</f>
        <v>293713.5</v>
      </c>
      <c r="R13" s="3">
        <f>Q13+IS!S11</f>
        <v>320557.25</v>
      </c>
      <c r="S13" s="3">
        <f>R13+IS!T11</f>
        <v>347396.08333333331</v>
      </c>
    </row>
    <row r="14" spans="2:21" x14ac:dyDescent="0.3">
      <c r="B14" s="117" t="s">
        <v>53</v>
      </c>
      <c r="C14" s="39">
        <v>18454</v>
      </c>
      <c r="D14" s="39">
        <v>33263</v>
      </c>
      <c r="E14" s="39">
        <v>28640</v>
      </c>
      <c r="F14" s="39">
        <v>25919</v>
      </c>
      <c r="G14" s="39">
        <v>33699</v>
      </c>
      <c r="H14" s="39">
        <v>40034</v>
      </c>
      <c r="I14" s="39">
        <v>31884</v>
      </c>
      <c r="J14" s="39">
        <v>35622</v>
      </c>
      <c r="K14" s="39">
        <v>20964</v>
      </c>
      <c r="L14" s="39">
        <v>10251</v>
      </c>
      <c r="M14" s="39">
        <v>14274</v>
      </c>
      <c r="N14" s="39">
        <v>35698</v>
      </c>
      <c r="O14" s="39">
        <v>45000</v>
      </c>
      <c r="P14" s="26">
        <v>45000</v>
      </c>
      <c r="Q14" s="26">
        <v>45000</v>
      </c>
      <c r="R14" s="26">
        <v>45000</v>
      </c>
      <c r="S14" s="26">
        <v>45000</v>
      </c>
    </row>
    <row r="15" spans="2:21" x14ac:dyDescent="0.3">
      <c r="B15" s="117" t="s">
        <v>54</v>
      </c>
      <c r="C15" s="39">
        <v>8765</v>
      </c>
      <c r="D15" s="39">
        <v>10687</v>
      </c>
      <c r="E15" s="39">
        <v>15337</v>
      </c>
      <c r="F15" s="39">
        <v>23767</v>
      </c>
      <c r="G15" s="39">
        <v>20338</v>
      </c>
      <c r="H15" s="39">
        <v>20813</v>
      </c>
      <c r="I15" s="39">
        <v>15771</v>
      </c>
      <c r="J15" s="39">
        <v>16308</v>
      </c>
      <c r="K15" s="39">
        <v>24620</v>
      </c>
      <c r="L15" s="39">
        <v>29380</v>
      </c>
      <c r="M15" s="39">
        <v>26379</v>
      </c>
      <c r="N15" s="39">
        <v>22971</v>
      </c>
      <c r="O15" s="39">
        <v>33381</v>
      </c>
      <c r="P15" s="26">
        <v>40000</v>
      </c>
      <c r="Q15" s="26">
        <v>40000</v>
      </c>
      <c r="R15" s="26">
        <v>40000</v>
      </c>
      <c r="S15" s="26">
        <v>40000</v>
      </c>
    </row>
    <row r="16" spans="2:21" x14ac:dyDescent="0.3">
      <c r="B16" s="78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 x14ac:dyDescent="0.3">
      <c r="B17" s="78"/>
      <c r="C17" s="99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29"/>
      <c r="S17" s="83"/>
    </row>
    <row r="18" spans="2:19" x14ac:dyDescent="0.3">
      <c r="B18" s="27" t="s">
        <v>102</v>
      </c>
      <c r="C18" s="29">
        <f>SUM(C19:C23)</f>
        <v>86434</v>
      </c>
      <c r="D18" s="29">
        <f t="shared" ref="D18:S18" si="3">SUM(D19:D23)</f>
        <v>106832</v>
      </c>
      <c r="E18" s="29">
        <f t="shared" si="3"/>
        <v>106336</v>
      </c>
      <c r="F18" s="29">
        <f t="shared" si="3"/>
        <v>108338</v>
      </c>
      <c r="G18" s="29">
        <f t="shared" si="3"/>
        <v>124416</v>
      </c>
      <c r="H18" s="29">
        <f t="shared" si="3"/>
        <v>148032</v>
      </c>
      <c r="I18" s="29">
        <f t="shared" si="3"/>
        <v>149461</v>
      </c>
      <c r="J18" s="29">
        <f t="shared" si="3"/>
        <v>144456</v>
      </c>
      <c r="K18" s="29">
        <f t="shared" si="3"/>
        <v>161656</v>
      </c>
      <c r="L18" s="29">
        <f t="shared" si="3"/>
        <v>155111</v>
      </c>
      <c r="M18" s="29">
        <f t="shared" si="3"/>
        <v>167235</v>
      </c>
      <c r="N18" s="29">
        <f t="shared" si="3"/>
        <v>195116</v>
      </c>
      <c r="O18" s="29">
        <f t="shared" si="3"/>
        <v>247405.8427914182</v>
      </c>
      <c r="P18" s="29">
        <f t="shared" si="3"/>
        <v>211080.18944216956</v>
      </c>
      <c r="Q18" s="29">
        <f t="shared" si="3"/>
        <v>221860.99990253427</v>
      </c>
      <c r="R18" s="29">
        <f t="shared" si="3"/>
        <v>236590.27166729336</v>
      </c>
      <c r="S18" s="29">
        <f t="shared" si="3"/>
        <v>252695.94926870236</v>
      </c>
    </row>
    <row r="19" spans="2:19" x14ac:dyDescent="0.3">
      <c r="B19" s="23" t="s">
        <v>56</v>
      </c>
      <c r="C19" s="3">
        <v>21037</v>
      </c>
      <c r="D19" s="3">
        <v>27271</v>
      </c>
      <c r="E19" s="3">
        <v>29272</v>
      </c>
      <c r="F19" s="3">
        <v>32656</v>
      </c>
      <c r="G19" s="3">
        <v>35085</v>
      </c>
      <c r="H19" s="3">
        <v>42138</v>
      </c>
      <c r="I19" s="29">
        <v>39014</v>
      </c>
      <c r="J19" s="29">
        <v>37457</v>
      </c>
      <c r="K19" s="29">
        <v>36089</v>
      </c>
      <c r="L19" s="3">
        <v>35240</v>
      </c>
      <c r="M19" s="3">
        <v>40755</v>
      </c>
      <c r="N19" s="3">
        <v>47788</v>
      </c>
      <c r="O19" s="78">
        <f>N19*O49</f>
        <v>49977.74438806453</v>
      </c>
      <c r="P19" s="78">
        <f>O19*O49</f>
        <v>52267.827365001998</v>
      </c>
      <c r="Q19" s="78">
        <f>P19*O49</f>
        <v>54662.846651200183</v>
      </c>
      <c r="R19" s="78">
        <f>Q19*O49</f>
        <v>57167.610644045613</v>
      </c>
      <c r="S19" s="78">
        <f>R19*O49</f>
        <v>59787.148071576725</v>
      </c>
    </row>
    <row r="20" spans="2:19" x14ac:dyDescent="0.3">
      <c r="B20" s="23" t="s">
        <v>57</v>
      </c>
      <c r="C20" s="3">
        <v>10960</v>
      </c>
      <c r="D20" s="3">
        <v>10574</v>
      </c>
      <c r="E20" s="3">
        <v>12579</v>
      </c>
      <c r="F20" s="3">
        <v>13571</v>
      </c>
      <c r="G20" s="3">
        <v>14076</v>
      </c>
      <c r="H20" s="3">
        <v>19893</v>
      </c>
      <c r="I20" s="3">
        <v>18996</v>
      </c>
      <c r="J20" s="3">
        <v>11173</v>
      </c>
      <c r="K20" s="3">
        <v>12679</v>
      </c>
      <c r="L20" s="3">
        <v>12442</v>
      </c>
      <c r="M20" s="3">
        <v>15738</v>
      </c>
      <c r="N20" s="3">
        <v>16952</v>
      </c>
      <c r="O20" s="127">
        <f>IS!P5*'Ratio Analysis'!J14/'Ratio Analysis'!Q14</f>
        <v>39444.491797977964</v>
      </c>
      <c r="P20" s="127">
        <f>IS!Q5*'Ratio Analysis'!K14/'Ratio Analysis'!R14</f>
        <v>3506.2681738606493</v>
      </c>
      <c r="Q20" s="127">
        <f>IS!R5*'Ratio Analysis'!L14/'Ratio Analysis'!S14</f>
        <v>311.67638234493154</v>
      </c>
      <c r="R20" s="127">
        <f>IS!S5*'Ratio Analysis'!M14/'Ratio Analysis'!T14</f>
        <v>27.705287358172477</v>
      </c>
      <c r="S20" s="127">
        <f>IS!T5*'Ratio Analysis'!N14/'Ratio Analysis'!U14</f>
        <v>2.4627562147119293</v>
      </c>
    </row>
    <row r="21" spans="2:19" x14ac:dyDescent="0.3">
      <c r="B21" s="23" t="s">
        <v>58</v>
      </c>
      <c r="C21" s="3">
        <v>21115</v>
      </c>
      <c r="D21" s="3">
        <v>29712</v>
      </c>
      <c r="E21" s="3">
        <v>32116</v>
      </c>
      <c r="F21" s="3">
        <v>30460</v>
      </c>
      <c r="G21" s="3">
        <v>36078</v>
      </c>
      <c r="H21" s="3">
        <v>34614</v>
      </c>
      <c r="I21" s="3">
        <v>32649</v>
      </c>
      <c r="J21" s="3">
        <v>33727</v>
      </c>
      <c r="K21" s="3">
        <v>46792</v>
      </c>
      <c r="L21" s="3">
        <v>40669</v>
      </c>
      <c r="M21" s="3">
        <v>37016</v>
      </c>
      <c r="N21" s="3">
        <v>45807</v>
      </c>
      <c r="O21" s="78">
        <f>N21*O51</f>
        <v>49812.423034902618</v>
      </c>
      <c r="P21" s="78">
        <f>O21*O51</f>
        <v>54168.085415069683</v>
      </c>
      <c r="Q21" s="78">
        <f>P21*O51</f>
        <v>58904.612519619048</v>
      </c>
      <c r="R21" s="78">
        <f>Q21*O51</f>
        <v>64055.307650234354</v>
      </c>
      <c r="S21" s="78">
        <f>R21*O51</f>
        <v>69656.386192160746</v>
      </c>
    </row>
    <row r="22" spans="2:19" x14ac:dyDescent="0.3">
      <c r="B22" s="85" t="s">
        <v>139</v>
      </c>
      <c r="C22" s="115">
        <v>7874</v>
      </c>
      <c r="D22" s="115">
        <v>10791</v>
      </c>
      <c r="E22" s="115">
        <v>7668</v>
      </c>
      <c r="F22" s="115">
        <v>2072</v>
      </c>
      <c r="G22" s="115">
        <v>1816</v>
      </c>
      <c r="H22" s="115">
        <v>4066</v>
      </c>
      <c r="I22" s="115">
        <v>3620</v>
      </c>
      <c r="J22" s="115">
        <v>3353</v>
      </c>
      <c r="K22" s="115">
        <v>4520</v>
      </c>
      <c r="L22" s="115">
        <v>4583</v>
      </c>
      <c r="M22" s="115">
        <v>5413</v>
      </c>
      <c r="N22" s="115">
        <v>5718</v>
      </c>
      <c r="O22" s="115">
        <v>23399</v>
      </c>
      <c r="P22" s="31">
        <v>10000</v>
      </c>
      <c r="Q22" s="31">
        <v>10000</v>
      </c>
      <c r="R22" s="31">
        <v>10000</v>
      </c>
      <c r="S22" s="31">
        <v>10000</v>
      </c>
    </row>
    <row r="23" spans="2:19" x14ac:dyDescent="0.3">
      <c r="B23" s="23" t="s">
        <v>60</v>
      </c>
      <c r="C23" s="3">
        <v>25448</v>
      </c>
      <c r="D23" s="3">
        <v>28484</v>
      </c>
      <c r="E23" s="3">
        <v>24701</v>
      </c>
      <c r="F23" s="3">
        <v>29579</v>
      </c>
      <c r="G23" s="3">
        <v>37361</v>
      </c>
      <c r="H23" s="3">
        <v>47321</v>
      </c>
      <c r="I23" s="3">
        <v>55182</v>
      </c>
      <c r="J23" s="3">
        <v>58746</v>
      </c>
      <c r="K23" s="3">
        <v>61576</v>
      </c>
      <c r="L23" s="3">
        <v>62177</v>
      </c>
      <c r="M23" s="3">
        <v>68313</v>
      </c>
      <c r="N23" s="3">
        <v>78851</v>
      </c>
      <c r="O23" s="3">
        <f>N23*O52</f>
        <v>84772.18357047312</v>
      </c>
      <c r="P23" s="78">
        <f>O23*O52</f>
        <v>91138.008488237218</v>
      </c>
      <c r="Q23" s="78">
        <f>P23*O52</f>
        <v>97981.864349370109</v>
      </c>
      <c r="R23" s="78">
        <f>Q23*O52</f>
        <v>105339.64808565521</v>
      </c>
      <c r="S23" s="101">
        <f>R23*O52</f>
        <v>113249.95224875018</v>
      </c>
    </row>
    <row r="24" spans="2:19" x14ac:dyDescent="0.3">
      <c r="B24" s="83" t="s">
        <v>61</v>
      </c>
      <c r="C24" s="124">
        <f>C18+C3</f>
        <v>169163</v>
      </c>
      <c r="D24" s="124">
        <f t="shared" ref="D24:S24" si="4">D18+D3</f>
        <v>219873</v>
      </c>
      <c r="E24" s="124">
        <f t="shared" si="4"/>
        <v>238792</v>
      </c>
      <c r="F24" s="124">
        <f t="shared" si="4"/>
        <v>265256</v>
      </c>
      <c r="G24" s="124">
        <f t="shared" si="4"/>
        <v>274397</v>
      </c>
      <c r="H24" s="124">
        <f t="shared" si="4"/>
        <v>330294</v>
      </c>
      <c r="I24" s="124">
        <f t="shared" si="4"/>
        <v>308349</v>
      </c>
      <c r="J24" s="124">
        <f t="shared" si="4"/>
        <v>323495</v>
      </c>
      <c r="K24" s="124">
        <f t="shared" si="4"/>
        <v>345947</v>
      </c>
      <c r="L24" s="124">
        <f t="shared" si="4"/>
        <v>333597</v>
      </c>
      <c r="M24" s="124">
        <f t="shared" si="4"/>
        <v>339967</v>
      </c>
      <c r="N24" s="124">
        <f t="shared" si="4"/>
        <v>375070</v>
      </c>
      <c r="O24" s="124">
        <f t="shared" si="4"/>
        <v>447443.84447646386</v>
      </c>
      <c r="P24" s="124">
        <f t="shared" si="4"/>
        <v>419641.24370907719</v>
      </c>
      <c r="Q24" s="124">
        <f t="shared" si="4"/>
        <v>428571.82055075723</v>
      </c>
      <c r="R24" s="124">
        <f t="shared" si="4"/>
        <v>450066.31667261384</v>
      </c>
      <c r="S24" s="124">
        <f t="shared" si="4"/>
        <v>468305.87904583244</v>
      </c>
    </row>
    <row r="25" spans="2:19" x14ac:dyDescent="0.3">
      <c r="B25" s="120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2:19" x14ac:dyDescent="0.3">
      <c r="B26" s="121" t="s">
        <v>138</v>
      </c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9"/>
      <c r="P26" s="119"/>
      <c r="Q26" s="119"/>
      <c r="R26" s="119"/>
      <c r="S26" s="119"/>
    </row>
    <row r="27" spans="2:19" x14ac:dyDescent="0.3">
      <c r="B27" s="27" t="s">
        <v>28</v>
      </c>
      <c r="C27" s="28">
        <v>638</v>
      </c>
      <c r="D27" s="28">
        <v>644</v>
      </c>
      <c r="E27" s="28">
        <v>644</v>
      </c>
      <c r="F27" s="28">
        <v>679</v>
      </c>
      <c r="G27" s="28">
        <v>679</v>
      </c>
      <c r="H27" s="28">
        <v>679</v>
      </c>
      <c r="I27" s="28">
        <v>679</v>
      </c>
      <c r="J27" s="28">
        <v>720</v>
      </c>
      <c r="K27" s="28">
        <v>766</v>
      </c>
      <c r="L27" s="28">
        <v>766</v>
      </c>
      <c r="M27" s="28">
        <v>766</v>
      </c>
      <c r="N27" s="28">
        <v>766</v>
      </c>
      <c r="O27" s="28">
        <v>736</v>
      </c>
      <c r="P27" s="28">
        <v>736</v>
      </c>
      <c r="Q27" s="28">
        <v>736</v>
      </c>
      <c r="R27" s="28">
        <v>736</v>
      </c>
      <c r="S27" s="28">
        <v>736</v>
      </c>
    </row>
    <row r="28" spans="2:19" x14ac:dyDescent="0.3">
      <c r="B28" s="27" t="s">
        <v>29</v>
      </c>
      <c r="C28" s="3">
        <v>36999</v>
      </c>
      <c r="D28" s="3">
        <v>64960</v>
      </c>
      <c r="E28" s="3">
        <v>55618</v>
      </c>
      <c r="F28" s="3">
        <v>78273</v>
      </c>
      <c r="G28" s="3">
        <v>57383</v>
      </c>
      <c r="H28" s="3">
        <v>94749</v>
      </c>
      <c r="I28" s="29">
        <v>59500</v>
      </c>
      <c r="J28" s="29">
        <v>61491</v>
      </c>
      <c r="K28" s="29">
        <v>54481</v>
      </c>
      <c r="L28" s="29">
        <v>43795</v>
      </c>
      <c r="M28" s="29">
        <v>44556</v>
      </c>
      <c r="N28" s="3">
        <v>84152</v>
      </c>
      <c r="O28" s="112">
        <f>N28+IS!P14</f>
        <v>65070.392263921538</v>
      </c>
      <c r="P28" s="112">
        <f>O28+IS!Q14</f>
        <v>42212.635142815605</v>
      </c>
      <c r="Q28" s="112">
        <f>P28+IS!R14</f>
        <v>19643.035221934912</v>
      </c>
      <c r="R28" s="112">
        <f>Q28+IS!S14</f>
        <v>-3212.1541521767067</v>
      </c>
      <c r="S28" s="112">
        <f>R28+IS!T14</f>
        <v>-25982.687646470924</v>
      </c>
    </row>
    <row r="29" spans="2:19" hidden="1" x14ac:dyDescent="0.3">
      <c r="B29" s="4" t="s">
        <v>30</v>
      </c>
      <c r="C29" s="5">
        <v>53716</v>
      </c>
      <c r="D29" s="5">
        <v>60642</v>
      </c>
      <c r="E29" s="5">
        <v>73610</v>
      </c>
      <c r="F29" s="5">
        <v>69360</v>
      </c>
      <c r="G29" s="5">
        <v>78604</v>
      </c>
      <c r="H29" s="5">
        <v>88950</v>
      </c>
      <c r="I29" s="5">
        <v>106175</v>
      </c>
      <c r="J29" s="5">
        <v>124788</v>
      </c>
      <c r="K29" s="5">
        <v>142131</v>
      </c>
      <c r="L29" s="5">
        <v>146449</v>
      </c>
      <c r="M29" s="5">
        <v>134113</v>
      </c>
      <c r="N29" s="5">
        <v>107262</v>
      </c>
      <c r="O29" s="66"/>
      <c r="P29" s="66"/>
      <c r="Q29" s="66"/>
      <c r="R29" s="66"/>
      <c r="S29" s="66"/>
    </row>
    <row r="30" spans="2:19" x14ac:dyDescent="0.3">
      <c r="B30" s="23" t="s">
        <v>31</v>
      </c>
      <c r="C30" s="26">
        <v>32155</v>
      </c>
      <c r="D30" s="26">
        <v>45259</v>
      </c>
      <c r="E30" s="26">
        <v>56071</v>
      </c>
      <c r="F30" s="26">
        <v>50510</v>
      </c>
      <c r="G30" s="26">
        <v>60629</v>
      </c>
      <c r="H30" s="26">
        <v>61200</v>
      </c>
      <c r="I30" s="60">
        <v>70818</v>
      </c>
      <c r="J30" s="60">
        <v>83316</v>
      </c>
      <c r="K30" s="60">
        <v>93113</v>
      </c>
      <c r="L30" s="26">
        <v>97759</v>
      </c>
      <c r="M30" s="26">
        <v>88696</v>
      </c>
      <c r="N30" s="26">
        <v>62149</v>
      </c>
      <c r="O30" s="66">
        <f>N30*P70</f>
        <v>61552.369599999998</v>
      </c>
      <c r="P30" s="66">
        <f t="shared" ref="P30:S30" si="5">O30*Q70</f>
        <v>60961.466851839992</v>
      </c>
      <c r="Q30" s="66">
        <f t="shared" si="5"/>
        <v>60376.236770062322</v>
      </c>
      <c r="R30" s="66">
        <f t="shared" si="5"/>
        <v>59796.62489706972</v>
      </c>
      <c r="S30" s="66">
        <f t="shared" si="5"/>
        <v>59222.577298057848</v>
      </c>
    </row>
    <row r="31" spans="2:19" x14ac:dyDescent="0.3">
      <c r="B31" s="32" t="s">
        <v>32</v>
      </c>
      <c r="C31" s="26">
        <v>11620</v>
      </c>
      <c r="D31" s="26">
        <v>9696</v>
      </c>
      <c r="E31" s="26">
        <v>13140</v>
      </c>
      <c r="F31" s="26">
        <v>11451</v>
      </c>
      <c r="G31" s="26">
        <v>13860</v>
      </c>
      <c r="H31" s="26">
        <v>16795</v>
      </c>
      <c r="I31" s="60">
        <v>20150</v>
      </c>
      <c r="J31" s="60">
        <v>16363</v>
      </c>
      <c r="K31" s="60">
        <v>42792</v>
      </c>
      <c r="L31" s="26">
        <v>41918</v>
      </c>
      <c r="M31" s="26">
        <v>36965</v>
      </c>
      <c r="N31" s="26">
        <v>36352</v>
      </c>
      <c r="O31" s="66">
        <f>N31*P67</f>
        <v>45599.948799999998</v>
      </c>
      <c r="P31" s="66">
        <f t="shared" ref="P31:S31" si="6">O31*Q67</f>
        <v>57200.575774719997</v>
      </c>
      <c r="Q31" s="66">
        <f t="shared" si="6"/>
        <v>71752.402251808759</v>
      </c>
      <c r="R31" s="66">
        <f t="shared" si="6"/>
        <v>90006.21338466891</v>
      </c>
      <c r="S31" s="66">
        <f t="shared" si="6"/>
        <v>112903.79406972868</v>
      </c>
    </row>
    <row r="32" spans="2:19" x14ac:dyDescent="0.3">
      <c r="B32" s="23" t="s">
        <v>33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173</v>
      </c>
      <c r="J32" s="3">
        <v>5977</v>
      </c>
      <c r="K32" s="3">
        <v>6226</v>
      </c>
      <c r="L32" s="3">
        <v>6772</v>
      </c>
      <c r="M32" s="3">
        <v>8453</v>
      </c>
      <c r="N32" s="3">
        <v>8762</v>
      </c>
      <c r="O32" s="66">
        <v>10000</v>
      </c>
      <c r="P32" s="66">
        <v>10000</v>
      </c>
      <c r="Q32" s="66">
        <v>10000</v>
      </c>
      <c r="R32" s="66">
        <v>10000</v>
      </c>
      <c r="S32" s="66">
        <v>10000</v>
      </c>
    </row>
    <row r="33" spans="2:19" x14ac:dyDescent="0.3">
      <c r="B33" s="32" t="s">
        <v>34</v>
      </c>
      <c r="C33" s="26">
        <v>9940</v>
      </c>
      <c r="D33" s="26">
        <v>5688</v>
      </c>
      <c r="E33" s="26">
        <v>4399</v>
      </c>
      <c r="F33" s="26">
        <v>7399</v>
      </c>
      <c r="G33" s="26">
        <v>4115</v>
      </c>
      <c r="H33" s="26">
        <v>10956</v>
      </c>
      <c r="I33" s="60">
        <v>15034</v>
      </c>
      <c r="J33" s="60">
        <v>19132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</row>
    <row r="34" spans="2:19" hidden="1" x14ac:dyDescent="0.3">
      <c r="B34" s="27" t="s">
        <v>35</v>
      </c>
      <c r="C34" s="39">
        <v>76977</v>
      </c>
      <c r="D34" s="39">
        <v>92180</v>
      </c>
      <c r="E34" s="39">
        <v>107442</v>
      </c>
      <c r="F34" s="39">
        <v>114872</v>
      </c>
      <c r="G34" s="39">
        <v>135914</v>
      </c>
      <c r="H34" s="39">
        <v>142813</v>
      </c>
      <c r="I34" s="39">
        <v>139349</v>
      </c>
      <c r="J34" s="39">
        <v>133181</v>
      </c>
      <c r="K34" s="39">
        <v>144193</v>
      </c>
      <c r="L34" s="39">
        <v>138051</v>
      </c>
      <c r="M34" s="39">
        <v>155239</v>
      </c>
      <c r="N34" s="39">
        <v>177340</v>
      </c>
      <c r="O34" s="66"/>
      <c r="P34" s="66"/>
      <c r="Q34" s="66"/>
      <c r="R34" s="66"/>
      <c r="S34" s="66"/>
    </row>
    <row r="35" spans="2:19" x14ac:dyDescent="0.3">
      <c r="B35" s="122" t="s">
        <v>103</v>
      </c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19"/>
      <c r="P35" s="119"/>
      <c r="Q35" s="119"/>
      <c r="R35" s="119"/>
      <c r="S35" s="119"/>
    </row>
    <row r="36" spans="2:19" x14ac:dyDescent="0.3">
      <c r="B36" s="23" t="s">
        <v>36</v>
      </c>
      <c r="C36" s="6">
        <v>370</v>
      </c>
      <c r="D36" s="6">
        <v>421</v>
      </c>
      <c r="E36" s="6">
        <v>433</v>
      </c>
      <c r="F36" s="6">
        <v>433</v>
      </c>
      <c r="G36" s="6">
        <v>453</v>
      </c>
      <c r="H36" s="6">
        <v>525</v>
      </c>
      <c r="I36" s="6">
        <v>523</v>
      </c>
      <c r="J36" s="6">
        <v>814</v>
      </c>
      <c r="K36" s="3">
        <v>1573</v>
      </c>
      <c r="L36" s="3">
        <v>4271</v>
      </c>
      <c r="M36" s="3">
        <v>7278</v>
      </c>
      <c r="N36" s="3">
        <v>8176</v>
      </c>
      <c r="O36" s="66">
        <v>9000</v>
      </c>
      <c r="P36" s="66">
        <v>9000</v>
      </c>
      <c r="Q36" s="66">
        <v>9000</v>
      </c>
      <c r="R36" s="66">
        <v>9000</v>
      </c>
      <c r="S36" s="66">
        <v>9000</v>
      </c>
    </row>
    <row r="37" spans="2:19" x14ac:dyDescent="0.3">
      <c r="B37" s="32" t="s">
        <v>37</v>
      </c>
      <c r="C37" s="3">
        <v>44912</v>
      </c>
      <c r="D37" s="3">
        <v>57316</v>
      </c>
      <c r="E37" s="3">
        <v>57407</v>
      </c>
      <c r="F37" s="3">
        <v>61562</v>
      </c>
      <c r="G37" s="3">
        <v>62533</v>
      </c>
      <c r="H37" s="3">
        <v>76940</v>
      </c>
      <c r="I37" s="3">
        <v>71691</v>
      </c>
      <c r="J37" s="3">
        <v>66398</v>
      </c>
      <c r="K37" s="3">
        <v>76040</v>
      </c>
      <c r="L37" s="3">
        <v>69750</v>
      </c>
      <c r="M37" s="3">
        <v>79252</v>
      </c>
      <c r="N37" s="3">
        <v>93979</v>
      </c>
      <c r="O37" s="66">
        <f>IS!P5*'Ratio Analysis'!Q12/'Ratio Analysis'!Q14</f>
        <v>14697.125711027405</v>
      </c>
      <c r="P37" s="66">
        <f>IS!Q5*'Ratio Analysis'!R12/'Ratio Analysis'!R14</f>
        <v>1306.445127794653</v>
      </c>
      <c r="Q37" s="66">
        <f>IS!R5*'Ratio Analysis'!S12/'Ratio Analysis'!S14</f>
        <v>116.13147396961834</v>
      </c>
      <c r="R37" s="66">
        <f>IS!S5*'Ratio Analysis'!T12/'Ratio Analysis'!T14</f>
        <v>10.323065974551938</v>
      </c>
      <c r="S37" s="66">
        <f>IS!T5*'Ratio Analysis'!U12/'Ratio Analysis'!U14</f>
        <v>0.91762971287896544</v>
      </c>
    </row>
    <row r="38" spans="2:19" x14ac:dyDescent="0.3">
      <c r="B38" s="23" t="s">
        <v>38</v>
      </c>
      <c r="C38" s="3">
        <v>2067</v>
      </c>
      <c r="D38" s="3">
        <v>3119</v>
      </c>
      <c r="E38" s="3">
        <v>2289</v>
      </c>
      <c r="F38" s="3">
        <v>2165</v>
      </c>
      <c r="G38" s="3">
        <v>1711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2:19" x14ac:dyDescent="0.3">
      <c r="B39" s="32" t="s">
        <v>39</v>
      </c>
      <c r="C39" s="3">
        <v>29627</v>
      </c>
      <c r="D39" s="3">
        <v>31325</v>
      </c>
      <c r="E39" s="3">
        <v>47313</v>
      </c>
      <c r="F39" s="3">
        <v>50712</v>
      </c>
      <c r="G39" s="3">
        <v>71218</v>
      </c>
      <c r="H39" s="3">
        <v>65349</v>
      </c>
      <c r="I39" s="3">
        <v>67135</v>
      </c>
      <c r="J39" s="3">
        <v>65969</v>
      </c>
      <c r="K39" s="3">
        <v>66579</v>
      </c>
      <c r="L39" s="3">
        <v>64030</v>
      </c>
      <c r="M39" s="3">
        <v>68710</v>
      </c>
      <c r="N39" s="3">
        <v>75186</v>
      </c>
      <c r="O39" s="66">
        <f>N39*P69</f>
        <v>77005.501199999999</v>
      </c>
      <c r="P39" s="66">
        <f t="shared" ref="P39:S39" si="7">O39*Q69</f>
        <v>78869.034329040005</v>
      </c>
      <c r="Q39" s="66">
        <f t="shared" si="7"/>
        <v>80777.664959802773</v>
      </c>
      <c r="R39" s="66">
        <f t="shared" si="7"/>
        <v>82732.484451829994</v>
      </c>
      <c r="S39" s="66">
        <f t="shared" si="7"/>
        <v>84734.610575564278</v>
      </c>
    </row>
    <row r="40" spans="2:19" x14ac:dyDescent="0.3">
      <c r="B40" s="27" t="s">
        <v>40</v>
      </c>
      <c r="C40" s="125">
        <f>C30+C31+C33+C36+C37+C38+C39+C28+C27+C32</f>
        <v>168328</v>
      </c>
      <c r="D40" s="125">
        <f t="shared" ref="D40:N40" si="8">D30+D31+D33+D36+D37+D38+D39+D28+D27+D32</f>
        <v>218428</v>
      </c>
      <c r="E40" s="125">
        <f t="shared" si="8"/>
        <v>237314</v>
      </c>
      <c r="F40" s="125">
        <f t="shared" si="8"/>
        <v>263184</v>
      </c>
      <c r="G40" s="125">
        <f t="shared" si="8"/>
        <v>272581</v>
      </c>
      <c r="H40" s="125">
        <f t="shared" si="8"/>
        <v>327193</v>
      </c>
      <c r="I40" s="125">
        <f t="shared" si="8"/>
        <v>305703</v>
      </c>
      <c r="J40" s="125">
        <f t="shared" si="8"/>
        <v>320180</v>
      </c>
      <c r="K40" s="125">
        <f t="shared" si="8"/>
        <v>341570</v>
      </c>
      <c r="L40" s="125">
        <f t="shared" si="8"/>
        <v>329061</v>
      </c>
      <c r="M40" s="125">
        <f t="shared" si="8"/>
        <v>334676</v>
      </c>
      <c r="N40" s="125">
        <f t="shared" si="8"/>
        <v>369522</v>
      </c>
      <c r="O40" s="125">
        <f t="shared" ref="O40" si="9">O30+O31+O33+O36+O37+O38+O39+O28+O27+O32</f>
        <v>283661.33757494896</v>
      </c>
      <c r="P40" s="125">
        <f t="shared" ref="P40" si="10">P30+P31+P33+P36+P37+P38+P39+P28+P27+P32</f>
        <v>260286.15722621023</v>
      </c>
      <c r="Q40" s="125">
        <f t="shared" ref="Q40" si="11">Q30+Q31+Q33+Q36+Q37+Q38+Q39+Q28+Q27+Q32</f>
        <v>252401.47067757836</v>
      </c>
      <c r="R40" s="125">
        <f t="shared" ref="R40" si="12">R30+R31+R33+R36+R37+R38+R39+R28+R27+R32</f>
        <v>249069.49164736649</v>
      </c>
      <c r="S40" s="125">
        <f t="shared" ref="S40" si="13">S30+S31+S33+S36+S37+S38+S39+S28+S27+S32</f>
        <v>250615.21192659278</v>
      </c>
    </row>
    <row r="41" spans="2:19" x14ac:dyDescent="0.3">
      <c r="C41" s="112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112"/>
      <c r="O41" s="112">
        <f>O24-O40</f>
        <v>163782.50690151489</v>
      </c>
      <c r="P41" s="112">
        <f t="shared" ref="P41:S41" si="14">P24-P40</f>
        <v>159355.08648286696</v>
      </c>
      <c r="Q41" s="112">
        <f t="shared" si="14"/>
        <v>176170.34987317887</v>
      </c>
      <c r="R41" s="112">
        <f t="shared" si="14"/>
        <v>200996.82502524735</v>
      </c>
      <c r="S41" s="112">
        <f t="shared" si="14"/>
        <v>217690.66711923966</v>
      </c>
    </row>
    <row r="42" spans="2:19" x14ac:dyDescent="0.3">
      <c r="B42" s="66" t="s">
        <v>140</v>
      </c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</row>
    <row r="43" spans="2:19" x14ac:dyDescent="0.3"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66"/>
      <c r="P43" s="66"/>
      <c r="Q43" s="66"/>
      <c r="R43" s="66"/>
      <c r="S43" s="66"/>
    </row>
    <row r="44" spans="2:19" x14ac:dyDescent="0.3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</row>
    <row r="46" spans="2:19" x14ac:dyDescent="0.3">
      <c r="B46" s="100" t="s">
        <v>15</v>
      </c>
    </row>
    <row r="47" spans="2:19" x14ac:dyDescent="0.3">
      <c r="B47" s="100"/>
    </row>
    <row r="48" spans="2:19" x14ac:dyDescent="0.3">
      <c r="B48" s="83" t="s">
        <v>102</v>
      </c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</row>
    <row r="49" spans="2:20" x14ac:dyDescent="0.3">
      <c r="B49" s="2" t="s">
        <v>56</v>
      </c>
      <c r="C49" s="78"/>
      <c r="D49" s="102">
        <f t="shared" ref="D49:N49" si="15">D19/C19</f>
        <v>1.2963350287588535</v>
      </c>
      <c r="E49" s="102">
        <f t="shared" si="15"/>
        <v>1.0733746470609806</v>
      </c>
      <c r="F49" s="102">
        <f t="shared" si="15"/>
        <v>1.1156053566548236</v>
      </c>
      <c r="G49" s="102">
        <f t="shared" si="15"/>
        <v>1.0743814306712396</v>
      </c>
      <c r="H49" s="102">
        <f t="shared" si="15"/>
        <v>1.2010260795211629</v>
      </c>
      <c r="I49" s="102">
        <f t="shared" si="15"/>
        <v>0.92586264179600364</v>
      </c>
      <c r="J49" s="102">
        <f t="shared" si="15"/>
        <v>0.96009124929512479</v>
      </c>
      <c r="K49" s="102">
        <f t="shared" si="15"/>
        <v>0.96347812157941104</v>
      </c>
      <c r="L49" s="102">
        <f t="shared" si="15"/>
        <v>0.97647482612430381</v>
      </c>
      <c r="M49" s="102">
        <f t="shared" si="15"/>
        <v>1.1564982973893303</v>
      </c>
      <c r="N49" s="102">
        <f t="shared" si="15"/>
        <v>1.1725677830940988</v>
      </c>
      <c r="O49" s="103">
        <f>AVERAGE(J49:N49)</f>
        <v>1.0458220554964537</v>
      </c>
    </row>
    <row r="50" spans="2:20" x14ac:dyDescent="0.3">
      <c r="B50" s="104" t="s">
        <v>65</v>
      </c>
      <c r="C50" s="78"/>
      <c r="D50" s="102">
        <f t="shared" ref="D50:N50" si="16">D20/C20</f>
        <v>0.96478102189781023</v>
      </c>
      <c r="E50" s="102">
        <f t="shared" si="16"/>
        <v>1.1896160393417818</v>
      </c>
      <c r="F50" s="102">
        <f t="shared" si="16"/>
        <v>1.0788615947213609</v>
      </c>
      <c r="G50" s="102">
        <f t="shared" si="16"/>
        <v>1.0372117014221502</v>
      </c>
      <c r="H50" s="102">
        <f t="shared" si="16"/>
        <v>1.4132566069906223</v>
      </c>
      <c r="I50" s="102">
        <f t="shared" si="16"/>
        <v>0.95490876187603679</v>
      </c>
      <c r="J50" s="102">
        <f t="shared" si="16"/>
        <v>0.5881764582017267</v>
      </c>
      <c r="K50" s="102">
        <f t="shared" si="16"/>
        <v>1.1347892240221964</v>
      </c>
      <c r="L50" s="102">
        <f t="shared" si="16"/>
        <v>0.98130767410679076</v>
      </c>
      <c r="M50" s="102">
        <f t="shared" si="16"/>
        <v>1.2649091785886513</v>
      </c>
      <c r="N50" s="102">
        <f t="shared" si="16"/>
        <v>1.0771381369932647</v>
      </c>
      <c r="O50" s="103">
        <f>AVERAGE(J50:N50)</f>
        <v>1.0092641343825259</v>
      </c>
    </row>
    <row r="51" spans="2:20" x14ac:dyDescent="0.3">
      <c r="B51" s="105" t="s">
        <v>58</v>
      </c>
      <c r="C51" s="78"/>
      <c r="D51" s="102">
        <f t="shared" ref="D51:N51" si="17">D21/C21</f>
        <v>1.407151314231589</v>
      </c>
      <c r="E51" s="102">
        <f t="shared" si="17"/>
        <v>1.0809100700053851</v>
      </c>
      <c r="F51" s="102">
        <f t="shared" si="17"/>
        <v>0.94843691617885162</v>
      </c>
      <c r="G51" s="102">
        <f t="shared" si="17"/>
        <v>1.1844386080105056</v>
      </c>
      <c r="H51" s="102">
        <f t="shared" si="17"/>
        <v>0.95942125394977551</v>
      </c>
      <c r="I51" s="102">
        <f t="shared" si="17"/>
        <v>0.94323106257583633</v>
      </c>
      <c r="J51" s="102">
        <f t="shared" si="17"/>
        <v>1.0330178565959141</v>
      </c>
      <c r="K51" s="102">
        <f t="shared" si="17"/>
        <v>1.3873751000681946</v>
      </c>
      <c r="L51" s="102">
        <f t="shared" si="17"/>
        <v>0.86914429817062744</v>
      </c>
      <c r="M51" s="102">
        <f t="shared" si="17"/>
        <v>0.91017728490988226</v>
      </c>
      <c r="N51" s="102">
        <f t="shared" si="17"/>
        <v>1.2374918953965852</v>
      </c>
      <c r="O51" s="103">
        <f>AVERAGE(J51:N51)</f>
        <v>1.0874412870282406</v>
      </c>
    </row>
    <row r="52" spans="2:20" x14ac:dyDescent="0.3">
      <c r="B52" s="105" t="s">
        <v>60</v>
      </c>
      <c r="C52" s="78"/>
      <c r="D52" s="102">
        <f t="shared" ref="D52:N52" si="18">D23/C23</f>
        <v>1.1193021062558943</v>
      </c>
      <c r="E52" s="102">
        <f t="shared" si="18"/>
        <v>0.86718859710714791</v>
      </c>
      <c r="F52" s="102">
        <f t="shared" si="18"/>
        <v>1.1974818833245617</v>
      </c>
      <c r="G52" s="102">
        <f t="shared" si="18"/>
        <v>1.263092058555056</v>
      </c>
      <c r="H52" s="102">
        <f t="shared" si="18"/>
        <v>1.2665881534220176</v>
      </c>
      <c r="I52" s="102">
        <f t="shared" si="18"/>
        <v>1.1661207497728281</v>
      </c>
      <c r="J52" s="102">
        <f t="shared" si="18"/>
        <v>1.0645862781341742</v>
      </c>
      <c r="K52" s="102">
        <f t="shared" si="18"/>
        <v>1.0481734926633304</v>
      </c>
      <c r="L52" s="102">
        <f t="shared" si="18"/>
        <v>1.0097602962193062</v>
      </c>
      <c r="M52" s="102">
        <f t="shared" si="18"/>
        <v>1.098686009296042</v>
      </c>
      <c r="N52" s="102">
        <f t="shared" si="18"/>
        <v>1.1542605360619502</v>
      </c>
      <c r="O52" s="103">
        <f>AVERAGE(J52:N52)</f>
        <v>1.0750933224749606</v>
      </c>
    </row>
    <row r="53" spans="2:20" x14ac:dyDescent="0.3">
      <c r="B53" s="106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107"/>
    </row>
    <row r="54" spans="2:20" x14ac:dyDescent="0.3">
      <c r="B54" s="83" t="s">
        <v>131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</row>
    <row r="55" spans="2:20" x14ac:dyDescent="0.3">
      <c r="B55" s="78" t="s">
        <v>42</v>
      </c>
      <c r="C55" s="78"/>
      <c r="D55" s="78">
        <f t="shared" ref="D55:N55" si="19">D4/C4</f>
        <v>1.1720265441551811</v>
      </c>
      <c r="E55" s="78">
        <f t="shared" si="19"/>
        <v>1.0945121951219512</v>
      </c>
      <c r="F55" s="78">
        <f t="shared" si="19"/>
        <v>2.8591325109430961</v>
      </c>
      <c r="G55" s="78">
        <f t="shared" si="19"/>
        <v>0.94112734864300629</v>
      </c>
      <c r="H55" s="78">
        <f t="shared" si="19"/>
        <v>1.085329784087548</v>
      </c>
      <c r="I55" s="78">
        <f t="shared" si="19"/>
        <v>0.9927783076713449</v>
      </c>
      <c r="J55" s="78">
        <f t="shared" si="19"/>
        <v>1.053390063134779</v>
      </c>
      <c r="K55" s="78">
        <f t="shared" si="19"/>
        <v>1.0187622149837134</v>
      </c>
      <c r="L55" s="78">
        <f t="shared" si="19"/>
        <v>0.99245427804067021</v>
      </c>
      <c r="M55" s="78">
        <f t="shared" si="19"/>
        <v>1.0367268041237114</v>
      </c>
      <c r="N55" s="78">
        <f t="shared" si="19"/>
        <v>0.98570540708514609</v>
      </c>
      <c r="O55" s="103">
        <f t="shared" ref="O55:O63" si="20">AVERAGE(J55:N55)</f>
        <v>1.0174077534736041</v>
      </c>
      <c r="P55" s="108">
        <v>1.0174000000000001</v>
      </c>
      <c r="Q55" s="108">
        <v>1.0174000000000001</v>
      </c>
      <c r="R55" s="108">
        <v>1.0174000000000001</v>
      </c>
      <c r="S55" s="108">
        <v>1.0174000000000001</v>
      </c>
      <c r="T55" s="108">
        <v>1.0174000000000001</v>
      </c>
    </row>
    <row r="56" spans="2:20" x14ac:dyDescent="0.3">
      <c r="B56" s="78" t="s">
        <v>43</v>
      </c>
      <c r="C56" s="78"/>
      <c r="D56" s="78">
        <f t="shared" ref="D56:N56" si="21">D5/C5</f>
        <v>1.322840321999279</v>
      </c>
      <c r="E56" s="78">
        <f t="shared" si="21"/>
        <v>1.2167120799273388</v>
      </c>
      <c r="F56" s="78">
        <f t="shared" si="21"/>
        <v>0.92139444610331445</v>
      </c>
      <c r="G56" s="78">
        <f t="shared" si="21"/>
        <v>0.98549785303410842</v>
      </c>
      <c r="H56" s="78">
        <f t="shared" si="21"/>
        <v>1.3607365998026966</v>
      </c>
      <c r="I56" s="78">
        <f t="shared" si="21"/>
        <v>1.3858144030932817</v>
      </c>
      <c r="J56" s="78">
        <f t="shared" si="21"/>
        <v>1.424056151364548</v>
      </c>
      <c r="K56" s="78">
        <f t="shared" si="21"/>
        <v>1.0879228532067962</v>
      </c>
      <c r="L56" s="78">
        <f t="shared" si="21"/>
        <v>1.0261417677350366</v>
      </c>
      <c r="M56" s="78">
        <f t="shared" si="21"/>
        <v>1.0605495530082818</v>
      </c>
      <c r="N56" s="78">
        <f t="shared" si="21"/>
        <v>1.049387185189016</v>
      </c>
      <c r="O56" s="103">
        <f t="shared" si="20"/>
        <v>1.1296115021007356</v>
      </c>
      <c r="P56" s="108">
        <v>1.1295999999999999</v>
      </c>
      <c r="Q56" s="108">
        <v>1.1295999999999999</v>
      </c>
      <c r="R56" s="108">
        <v>1.1295999999999999</v>
      </c>
      <c r="S56" s="108">
        <v>1.1295999999999999</v>
      </c>
      <c r="T56" s="108">
        <v>1.1295999999999999</v>
      </c>
    </row>
    <row r="57" spans="2:20" x14ac:dyDescent="0.3">
      <c r="B57" s="78" t="s">
        <v>132</v>
      </c>
      <c r="C57" s="78">
        <f>D60</f>
        <v>1.4239436619718311</v>
      </c>
      <c r="D57" s="78">
        <f t="shared" ref="D57:N57" si="22">D6/C6</f>
        <v>1.2524811745801696</v>
      </c>
      <c r="E57" s="78">
        <f t="shared" si="22"/>
        <v>1.118709515124835</v>
      </c>
      <c r="F57" s="78">
        <f t="shared" si="22"/>
        <v>0.90016077712692399</v>
      </c>
      <c r="G57" s="78">
        <f t="shared" si="22"/>
        <v>0.99891335573236073</v>
      </c>
      <c r="H57" s="78">
        <f t="shared" si="22"/>
        <v>1.2532009602880865</v>
      </c>
      <c r="I57" s="78">
        <f t="shared" si="22"/>
        <v>1.0916827968790532</v>
      </c>
      <c r="J57" s="78">
        <f t="shared" si="22"/>
        <v>1.1347438651007631</v>
      </c>
      <c r="K57" s="78">
        <f t="shared" si="22"/>
        <v>1.1184780682678523</v>
      </c>
      <c r="L57" s="78">
        <f t="shared" si="22"/>
        <v>1.0699729239277587</v>
      </c>
      <c r="M57" s="78">
        <f t="shared" si="22"/>
        <v>1.0342362957229869</v>
      </c>
      <c r="N57" s="78">
        <f t="shared" si="22"/>
        <v>0.9883257847883804</v>
      </c>
      <c r="O57" s="103">
        <f>AVERAGE(J57:N57)</f>
        <v>1.0691513875615484</v>
      </c>
      <c r="P57" s="108">
        <v>1.0691999999999999</v>
      </c>
      <c r="Q57" s="108">
        <v>1.0691999999999999</v>
      </c>
      <c r="R57" s="108">
        <v>1.0691999999999999</v>
      </c>
      <c r="S57" s="108">
        <v>1.0691999999999999</v>
      </c>
      <c r="T57" s="108">
        <v>1.0691999999999999</v>
      </c>
    </row>
    <row r="58" spans="2:20" x14ac:dyDescent="0.3">
      <c r="B58" s="78" t="s">
        <v>45</v>
      </c>
      <c r="C58" s="78"/>
      <c r="D58" s="78">
        <v>0</v>
      </c>
      <c r="E58" s="78">
        <v>0</v>
      </c>
      <c r="F58" s="78">
        <v>0</v>
      </c>
      <c r="G58" s="78">
        <v>0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  <c r="M58" s="78">
        <v>0</v>
      </c>
      <c r="N58" s="78">
        <v>0</v>
      </c>
      <c r="O58" s="103">
        <f t="shared" si="20"/>
        <v>0</v>
      </c>
      <c r="P58" s="108">
        <v>0</v>
      </c>
      <c r="Q58" s="108">
        <v>0</v>
      </c>
      <c r="R58" s="108">
        <v>0</v>
      </c>
      <c r="S58" s="108">
        <v>0</v>
      </c>
      <c r="T58" s="108">
        <v>0</v>
      </c>
    </row>
    <row r="59" spans="2:20" x14ac:dyDescent="0.3">
      <c r="B59" s="78" t="s">
        <v>46</v>
      </c>
      <c r="C59" s="78"/>
      <c r="D59" s="78">
        <f t="shared" ref="D59:N59" si="23">D8/C8</f>
        <v>1.2133620689655173</v>
      </c>
      <c r="E59" s="78">
        <f t="shared" si="23"/>
        <v>1.2113676731793961</v>
      </c>
      <c r="F59" s="78">
        <f t="shared" si="23"/>
        <v>1.1979472140762464</v>
      </c>
      <c r="G59" s="78">
        <f t="shared" si="23"/>
        <v>1.0813953488372092</v>
      </c>
      <c r="H59" s="78">
        <f t="shared" si="23"/>
        <v>1.0996038483305037</v>
      </c>
      <c r="I59" s="78">
        <f t="shared" si="23"/>
        <v>1.2017498713329902</v>
      </c>
      <c r="J59" s="78">
        <f t="shared" si="23"/>
        <v>1.3079229122055676</v>
      </c>
      <c r="K59" s="78">
        <f t="shared" si="23"/>
        <v>1.0386378519973805</v>
      </c>
      <c r="L59" s="78">
        <f t="shared" si="23"/>
        <v>1.0665195460277428</v>
      </c>
      <c r="M59" s="78">
        <f t="shared" si="23"/>
        <v>1.0342890925214308</v>
      </c>
      <c r="N59" s="78">
        <f t="shared" si="23"/>
        <v>1.0480137182052014</v>
      </c>
      <c r="O59" s="103">
        <f t="shared" si="20"/>
        <v>1.0990766241914645</v>
      </c>
      <c r="P59" s="108">
        <v>1.0991</v>
      </c>
      <c r="Q59" s="108">
        <v>1.0991</v>
      </c>
      <c r="R59" s="108">
        <v>1.0991</v>
      </c>
      <c r="S59" s="108">
        <v>1.0991</v>
      </c>
      <c r="T59" s="108">
        <v>1.0991</v>
      </c>
    </row>
    <row r="60" spans="2:20" x14ac:dyDescent="0.3">
      <c r="B60" s="109" t="s">
        <v>47</v>
      </c>
      <c r="C60" s="78"/>
      <c r="D60" s="78">
        <f t="shared" ref="D60:N60" si="24">D9/C9</f>
        <v>1.4239436619718311</v>
      </c>
      <c r="E60" s="78">
        <f t="shared" si="24"/>
        <v>1.1364985163204748</v>
      </c>
      <c r="F60" s="78">
        <f t="shared" si="24"/>
        <v>1.0800696257615319</v>
      </c>
      <c r="G60" s="78">
        <f t="shared" si="24"/>
        <v>1.1289282836422241</v>
      </c>
      <c r="H60" s="78">
        <f t="shared" si="24"/>
        <v>1.0206995003568879</v>
      </c>
      <c r="I60" s="78">
        <f t="shared" si="24"/>
        <v>1.137062937062937</v>
      </c>
      <c r="J60" s="78">
        <f t="shared" si="24"/>
        <v>1.1623616236162362</v>
      </c>
      <c r="K60" s="78">
        <f t="shared" si="24"/>
        <v>1.034920634920635</v>
      </c>
      <c r="L60" s="78">
        <f t="shared" si="24"/>
        <v>1.0143149284253579</v>
      </c>
      <c r="M60" s="78">
        <f t="shared" si="24"/>
        <v>1.0504032258064515</v>
      </c>
      <c r="N60" s="78">
        <f t="shared" si="24"/>
        <v>0.97360844529750479</v>
      </c>
      <c r="O60" s="103">
        <f t="shared" si="20"/>
        <v>1.0471217716132371</v>
      </c>
      <c r="P60" s="108">
        <v>1.0470999999999999</v>
      </c>
      <c r="Q60" s="108">
        <v>1.0470999999999999</v>
      </c>
      <c r="R60" s="108">
        <v>1.0470999999999999</v>
      </c>
      <c r="S60" s="108">
        <v>1.0470999999999999</v>
      </c>
      <c r="T60" s="108">
        <v>1.0470999999999999</v>
      </c>
    </row>
    <row r="61" spans="2:20" x14ac:dyDescent="0.3">
      <c r="B61" s="109" t="s">
        <v>48</v>
      </c>
      <c r="C61" s="78"/>
      <c r="D61" s="78">
        <f t="shared" ref="D61:N61" si="25">D10/C10</f>
        <v>1.0756972111553784</v>
      </c>
      <c r="E61" s="78">
        <f t="shared" si="25"/>
        <v>1.037037037037037</v>
      </c>
      <c r="F61" s="78">
        <f t="shared" si="25"/>
        <v>1</v>
      </c>
      <c r="G61" s="78">
        <f t="shared" si="25"/>
        <v>1.0392857142857144</v>
      </c>
      <c r="H61" s="78">
        <f t="shared" si="25"/>
        <v>1.2130584192439862</v>
      </c>
      <c r="I61" s="78">
        <f t="shared" si="25"/>
        <v>1.0963172804532577</v>
      </c>
      <c r="J61" s="78">
        <f t="shared" si="25"/>
        <v>1.5529715762273901</v>
      </c>
      <c r="K61" s="78">
        <f t="shared" si="25"/>
        <v>1.4059900166389352</v>
      </c>
      <c r="L61" s="78">
        <f t="shared" si="25"/>
        <v>0.85798816568047342</v>
      </c>
      <c r="M61" s="78">
        <f t="shared" si="25"/>
        <v>1.086896551724138</v>
      </c>
      <c r="N61" s="78">
        <f t="shared" si="25"/>
        <v>1.2131979695431472</v>
      </c>
      <c r="O61" s="103">
        <f t="shared" si="20"/>
        <v>1.2234088559628167</v>
      </c>
      <c r="P61" s="108">
        <v>1.2234</v>
      </c>
      <c r="Q61" s="108">
        <v>1.2234</v>
      </c>
      <c r="R61" s="108">
        <v>1.2234</v>
      </c>
      <c r="S61" s="108">
        <v>1.2234</v>
      </c>
      <c r="T61" s="108">
        <v>1.2234</v>
      </c>
    </row>
    <row r="62" spans="2:20" x14ac:dyDescent="0.3">
      <c r="B62" s="109" t="s">
        <v>50</v>
      </c>
      <c r="C62" s="78"/>
      <c r="D62" s="78">
        <f t="shared" ref="D62:N62" si="26">D11/C11</f>
        <v>1.3945614833823103</v>
      </c>
      <c r="E62" s="78">
        <f t="shared" si="26"/>
        <v>1.3413664153855285</v>
      </c>
      <c r="F62" s="78">
        <f t="shared" si="26"/>
        <v>0.14926099654836711</v>
      </c>
      <c r="G62" s="78">
        <f t="shared" si="26"/>
        <v>0.92187963237474058</v>
      </c>
      <c r="H62" s="78">
        <f t="shared" si="26"/>
        <v>1.2054992764109986</v>
      </c>
      <c r="I62" s="78">
        <f t="shared" si="26"/>
        <v>1.0736294517807123</v>
      </c>
      <c r="J62" s="78">
        <f t="shared" si="26"/>
        <v>1.1653621567896633</v>
      </c>
      <c r="K62" s="78">
        <f t="shared" si="26"/>
        <v>1.139232409381663</v>
      </c>
      <c r="L62" s="78">
        <f t="shared" si="26"/>
        <v>1.0172187909414188</v>
      </c>
      <c r="M62" s="78">
        <f t="shared" si="26"/>
        <v>1.0893284268629255</v>
      </c>
      <c r="N62" s="78">
        <f t="shared" si="26"/>
        <v>0.90566675111899331</v>
      </c>
      <c r="O62" s="103">
        <f t="shared" si="20"/>
        <v>1.0633617070189327</v>
      </c>
      <c r="P62" s="108">
        <v>1.0633999999999999</v>
      </c>
      <c r="Q62" s="108">
        <v>1.0633999999999999</v>
      </c>
      <c r="R62" s="108">
        <v>1.0633999999999999</v>
      </c>
      <c r="S62" s="108">
        <v>1.0633999999999999</v>
      </c>
      <c r="T62" s="108">
        <v>1.0633999999999999</v>
      </c>
    </row>
    <row r="63" spans="2:20" x14ac:dyDescent="0.3">
      <c r="B63" s="109" t="s">
        <v>49</v>
      </c>
      <c r="C63" s="78"/>
      <c r="D63" s="78">
        <f t="shared" ref="D63:N63" si="27">D12/C12</f>
        <v>1.2116394988549104</v>
      </c>
      <c r="E63" s="78">
        <f t="shared" si="27"/>
        <v>1.0651545474760953</v>
      </c>
      <c r="F63" s="78">
        <f t="shared" si="27"/>
        <v>6.1535490605427974</v>
      </c>
      <c r="G63" s="78">
        <f t="shared" si="27"/>
        <v>0.93182473579752678</v>
      </c>
      <c r="H63" s="78">
        <f t="shared" si="27"/>
        <v>1.4175708148256025</v>
      </c>
      <c r="I63" s="78">
        <f t="shared" si="27"/>
        <v>1.0335174007961987</v>
      </c>
      <c r="J63" s="78">
        <f t="shared" si="27"/>
        <v>1.1326665009940358</v>
      </c>
      <c r="K63" s="78">
        <f t="shared" si="27"/>
        <v>1.2594644404708359</v>
      </c>
      <c r="L63" s="78">
        <f t="shared" si="27"/>
        <v>0.99576688238726929</v>
      </c>
      <c r="M63" s="78">
        <f t="shared" si="27"/>
        <v>0.98438634395528457</v>
      </c>
      <c r="N63" s="78">
        <f t="shared" si="27"/>
        <v>1.0371074659226216</v>
      </c>
      <c r="O63" s="103">
        <f t="shared" si="20"/>
        <v>1.0818783267460095</v>
      </c>
      <c r="P63" s="108">
        <v>1.0819000000000001</v>
      </c>
      <c r="Q63" s="108">
        <v>1.0819000000000001</v>
      </c>
      <c r="R63" s="108">
        <v>1.0819000000000001</v>
      </c>
      <c r="S63" s="108">
        <v>1.0819000000000001</v>
      </c>
      <c r="T63" s="108">
        <v>1.0819000000000001</v>
      </c>
    </row>
    <row r="64" spans="2:20" x14ac:dyDescent="0.3">
      <c r="P64" s="66"/>
      <c r="Q64" s="66"/>
      <c r="R64" s="66"/>
      <c r="S64" s="66"/>
      <c r="T64" s="66"/>
    </row>
    <row r="66" spans="2:20" x14ac:dyDescent="0.3">
      <c r="B66" s="109" t="s">
        <v>29</v>
      </c>
      <c r="D66" s="111">
        <f>D28/C28</f>
        <v>1.7557231276520988</v>
      </c>
      <c r="E66" s="111">
        <f t="shared" ref="E66:N66" si="28">E28/D28</f>
        <v>0.85618842364532022</v>
      </c>
      <c r="F66" s="111">
        <f t="shared" si="28"/>
        <v>1.4073321586536733</v>
      </c>
      <c r="G66" s="111">
        <f t="shared" si="28"/>
        <v>0.73311358961583173</v>
      </c>
      <c r="H66" s="111">
        <f t="shared" si="28"/>
        <v>1.6511684645278217</v>
      </c>
      <c r="I66" s="111">
        <f t="shared" si="28"/>
        <v>0.62797496543499143</v>
      </c>
      <c r="J66" s="111">
        <f t="shared" si="28"/>
        <v>1.0334621848739496</v>
      </c>
      <c r="K66" s="111">
        <f t="shared" si="28"/>
        <v>0.88599957717389533</v>
      </c>
      <c r="L66" s="111">
        <f t="shared" si="28"/>
        <v>0.80385822580349109</v>
      </c>
      <c r="M66" s="111">
        <f t="shared" si="28"/>
        <v>1.0173764128325151</v>
      </c>
      <c r="N66" s="111">
        <f t="shared" si="28"/>
        <v>1.8886794146691803</v>
      </c>
      <c r="O66" s="103">
        <f t="shared" ref="O66:O70" si="29">AVERAGE(J66:N66)</f>
        <v>1.1258751630706063</v>
      </c>
      <c r="P66" s="33">
        <v>1.1258999999999999</v>
      </c>
      <c r="Q66" s="33">
        <v>1.1258999999999999</v>
      </c>
      <c r="R66" s="33">
        <v>1.1258999999999999</v>
      </c>
      <c r="S66" s="33">
        <v>1.1258999999999999</v>
      </c>
      <c r="T66" s="33">
        <v>1.1258999999999999</v>
      </c>
    </row>
    <row r="67" spans="2:20" x14ac:dyDescent="0.3">
      <c r="B67" s="109" t="s">
        <v>134</v>
      </c>
      <c r="D67" s="33">
        <f>D31/C31</f>
        <v>0.83442340791738379</v>
      </c>
      <c r="E67" s="33">
        <f t="shared" ref="E67:N67" si="30">E31/D31</f>
        <v>1.3551980198019802</v>
      </c>
      <c r="F67" s="33">
        <f t="shared" si="30"/>
        <v>0.87146118721461185</v>
      </c>
      <c r="G67" s="33">
        <f t="shared" si="30"/>
        <v>1.2103746397694524</v>
      </c>
      <c r="H67" s="33">
        <f t="shared" si="30"/>
        <v>1.2117604617604618</v>
      </c>
      <c r="I67" s="33">
        <f t="shared" si="30"/>
        <v>1.1997618338791307</v>
      </c>
      <c r="J67" s="33">
        <f t="shared" si="30"/>
        <v>0.8120595533498759</v>
      </c>
      <c r="K67" s="33">
        <f t="shared" si="30"/>
        <v>2.6151683676587423</v>
      </c>
      <c r="L67" s="33">
        <f t="shared" si="30"/>
        <v>0.97957562161151612</v>
      </c>
      <c r="M67" s="33">
        <f t="shared" si="30"/>
        <v>0.8818407366763682</v>
      </c>
      <c r="N67" s="33">
        <f t="shared" si="30"/>
        <v>0.98341674557013392</v>
      </c>
      <c r="O67" s="103">
        <f t="shared" si="29"/>
        <v>1.2544122049733271</v>
      </c>
      <c r="P67" s="33">
        <v>1.2544</v>
      </c>
      <c r="Q67" s="33">
        <v>1.2544</v>
      </c>
      <c r="R67" s="33">
        <v>1.2544</v>
      </c>
      <c r="S67" s="33">
        <v>1.2544</v>
      </c>
      <c r="T67" s="33">
        <v>1.2544</v>
      </c>
    </row>
    <row r="68" spans="2:20" x14ac:dyDescent="0.3">
      <c r="B68" s="109" t="s">
        <v>135</v>
      </c>
      <c r="D68" s="33">
        <f>D37/C37</f>
        <v>1.2761845386533666</v>
      </c>
      <c r="E68" s="33">
        <f t="shared" ref="E68:N68" si="31">E37/D37</f>
        <v>1.0015876893014166</v>
      </c>
      <c r="F68" s="33">
        <f t="shared" si="31"/>
        <v>1.0723779330046859</v>
      </c>
      <c r="G68" s="33">
        <f t="shared" si="31"/>
        <v>1.015772716935772</v>
      </c>
      <c r="H68" s="33">
        <f t="shared" si="31"/>
        <v>1.2303903538931444</v>
      </c>
      <c r="I68" s="33">
        <f t="shared" si="31"/>
        <v>0.93177800883805562</v>
      </c>
      <c r="J68" s="33">
        <f t="shared" si="31"/>
        <v>0.92616925416021534</v>
      </c>
      <c r="K68" s="33">
        <f t="shared" si="31"/>
        <v>1.145215217325823</v>
      </c>
      <c r="L68" s="33">
        <f t="shared" si="31"/>
        <v>0.91728037874802737</v>
      </c>
      <c r="M68" s="33">
        <f t="shared" si="31"/>
        <v>1.1362293906810035</v>
      </c>
      <c r="N68" s="33">
        <f t="shared" si="31"/>
        <v>1.1858249634078635</v>
      </c>
      <c r="O68" s="103">
        <f t="shared" si="29"/>
        <v>1.0621438408645865</v>
      </c>
      <c r="P68" s="33">
        <v>1.0621</v>
      </c>
      <c r="Q68" s="33">
        <v>1.0621</v>
      </c>
      <c r="R68" s="33">
        <v>1.0621</v>
      </c>
      <c r="S68" s="33">
        <v>1.0621</v>
      </c>
      <c r="T68" s="33">
        <v>1.0621</v>
      </c>
    </row>
    <row r="69" spans="2:20" x14ac:dyDescent="0.3">
      <c r="B69" s="109" t="s">
        <v>136</v>
      </c>
      <c r="D69" s="33">
        <f>D39/C39</f>
        <v>1.0573125864920512</v>
      </c>
      <c r="E69" s="33">
        <f t="shared" ref="E69:N69" si="32">E39/D39</f>
        <v>1.510391061452514</v>
      </c>
      <c r="F69" s="33">
        <f t="shared" si="32"/>
        <v>1.0718407203094287</v>
      </c>
      <c r="G69" s="33">
        <f t="shared" si="32"/>
        <v>1.4043618867329233</v>
      </c>
      <c r="H69" s="33">
        <f t="shared" si="32"/>
        <v>0.91759105844028199</v>
      </c>
      <c r="I69" s="33">
        <f t="shared" si="32"/>
        <v>1.0273301810280189</v>
      </c>
      <c r="J69" s="33">
        <f t="shared" si="32"/>
        <v>0.98263201012884482</v>
      </c>
      <c r="K69" s="33">
        <f t="shared" si="32"/>
        <v>1.0092467674210615</v>
      </c>
      <c r="L69" s="33">
        <f t="shared" si="32"/>
        <v>0.96171465477102391</v>
      </c>
      <c r="M69" s="33">
        <f t="shared" si="32"/>
        <v>1.0730907387162267</v>
      </c>
      <c r="N69" s="33">
        <f t="shared" si="32"/>
        <v>1.0942512006985883</v>
      </c>
      <c r="O69" s="103">
        <f t="shared" si="29"/>
        <v>1.0241870743471491</v>
      </c>
      <c r="P69" s="33">
        <v>1.0242</v>
      </c>
      <c r="Q69" s="33">
        <v>1.0242</v>
      </c>
      <c r="R69" s="33">
        <v>1.0242</v>
      </c>
      <c r="S69" s="33">
        <v>1.0242</v>
      </c>
      <c r="T69" s="33">
        <v>1.0242</v>
      </c>
    </row>
    <row r="70" spans="2:20" x14ac:dyDescent="0.3">
      <c r="B70" s="110" t="s">
        <v>137</v>
      </c>
      <c r="D70" s="33">
        <f>D30/C30</f>
        <v>1.4075260457160628</v>
      </c>
      <c r="E70" s="33">
        <f t="shared" ref="E70:N70" si="33">E30/D30</f>
        <v>1.2388917121456506</v>
      </c>
      <c r="F70" s="33">
        <f t="shared" si="33"/>
        <v>0.90082217188921188</v>
      </c>
      <c r="G70" s="33">
        <f t="shared" si="33"/>
        <v>1.2003365670164323</v>
      </c>
      <c r="H70" s="33">
        <f t="shared" si="33"/>
        <v>1.0094179353114845</v>
      </c>
      <c r="I70" s="33">
        <f t="shared" si="33"/>
        <v>1.1571568627450981</v>
      </c>
      <c r="J70" s="33">
        <f t="shared" si="33"/>
        <v>1.1764805557909006</v>
      </c>
      <c r="K70" s="33">
        <f t="shared" si="33"/>
        <v>1.1175884583993472</v>
      </c>
      <c r="L70" s="33">
        <f t="shared" si="33"/>
        <v>1.0498963624842932</v>
      </c>
      <c r="M70" s="33">
        <f t="shared" si="33"/>
        <v>0.90729242320400172</v>
      </c>
      <c r="N70" s="33">
        <f t="shared" si="33"/>
        <v>0.70069676197348241</v>
      </c>
      <c r="O70" s="103">
        <f t="shared" si="29"/>
        <v>0.990390912370405</v>
      </c>
      <c r="P70" s="33">
        <v>0.99039999999999995</v>
      </c>
      <c r="Q70" s="33">
        <v>0.99039999999999995</v>
      </c>
      <c r="R70" s="33">
        <v>0.99039999999999995</v>
      </c>
      <c r="S70" s="33">
        <v>0.99039999999999995</v>
      </c>
      <c r="T70" s="33">
        <v>0.99039999999999995</v>
      </c>
    </row>
  </sheetData>
  <mergeCells count="1">
    <mergeCell ref="O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D42D-E047-485F-AF0A-E41CEE085909}">
  <dimension ref="B1:S33"/>
  <sheetViews>
    <sheetView zoomScale="83" zoomScaleNormal="83" workbookViewId="0">
      <selection activeCell="C6" sqref="C6:P6"/>
    </sheetView>
  </sheetViews>
  <sheetFormatPr defaultRowHeight="14.4" x14ac:dyDescent="0.3"/>
  <cols>
    <col min="2" max="2" width="32.33203125" bestFit="1" customWidth="1"/>
    <col min="3" max="6" width="10.109375" bestFit="1" customWidth="1"/>
    <col min="7" max="7" width="10.5546875" customWidth="1"/>
    <col min="8" max="14" width="10.109375" bestFit="1" customWidth="1"/>
  </cols>
  <sheetData>
    <row r="1" spans="2:19" x14ac:dyDescent="0.3">
      <c r="B1" s="51" t="s">
        <v>94</v>
      </c>
    </row>
    <row r="2" spans="2:19" x14ac:dyDescent="0.3">
      <c r="B2" s="50" t="s">
        <v>13</v>
      </c>
      <c r="C2" s="42">
        <v>41334</v>
      </c>
      <c r="D2" s="42">
        <v>41699</v>
      </c>
      <c r="E2" s="42">
        <v>42064</v>
      </c>
      <c r="F2" s="42">
        <v>42430</v>
      </c>
      <c r="G2" s="42">
        <v>42795</v>
      </c>
      <c r="H2" s="42">
        <v>43160</v>
      </c>
      <c r="I2" s="61">
        <v>43525</v>
      </c>
      <c r="J2" s="61">
        <v>43891</v>
      </c>
      <c r="K2" s="61">
        <v>44256</v>
      </c>
      <c r="L2" s="42">
        <v>44621</v>
      </c>
      <c r="M2" s="42">
        <v>44986</v>
      </c>
      <c r="N2" s="42">
        <v>45352</v>
      </c>
      <c r="O2" s="36">
        <v>25</v>
      </c>
      <c r="P2">
        <f>O2+1</f>
        <v>26</v>
      </c>
      <c r="Q2">
        <f t="shared" ref="Q2:S2" si="0">P2+1</f>
        <v>27</v>
      </c>
      <c r="R2">
        <f t="shared" si="0"/>
        <v>28</v>
      </c>
      <c r="S2">
        <f t="shared" si="0"/>
        <v>29</v>
      </c>
    </row>
    <row r="3" spans="2:19" x14ac:dyDescent="0.3">
      <c r="B3" s="45" t="s">
        <v>63</v>
      </c>
      <c r="C3" s="46">
        <v>22163</v>
      </c>
      <c r="D3" s="46">
        <v>36151</v>
      </c>
      <c r="E3" s="46">
        <v>35531</v>
      </c>
      <c r="F3" s="46">
        <v>37900</v>
      </c>
      <c r="G3" s="46">
        <v>30199</v>
      </c>
      <c r="H3" s="46">
        <v>23857</v>
      </c>
      <c r="I3" s="62">
        <v>18891</v>
      </c>
      <c r="J3" s="62">
        <v>26633</v>
      </c>
      <c r="K3" s="62">
        <v>29001</v>
      </c>
      <c r="L3" s="62">
        <v>14283</v>
      </c>
      <c r="M3" s="46">
        <v>35388</v>
      </c>
      <c r="N3" s="46">
        <v>67915</v>
      </c>
    </row>
    <row r="4" spans="2:19" x14ac:dyDescent="0.3">
      <c r="B4" s="38" t="s">
        <v>64</v>
      </c>
      <c r="C4" s="37">
        <v>24406</v>
      </c>
      <c r="D4" s="37">
        <v>36303</v>
      </c>
      <c r="E4" s="37">
        <v>43397</v>
      </c>
      <c r="F4" s="37">
        <v>38626</v>
      </c>
      <c r="G4" s="37">
        <v>28840</v>
      </c>
      <c r="H4" s="37">
        <v>33312</v>
      </c>
      <c r="I4" s="37">
        <v>28771</v>
      </c>
      <c r="J4" s="37">
        <v>23352</v>
      </c>
      <c r="K4" s="37">
        <v>31198</v>
      </c>
      <c r="L4" s="37">
        <v>26943</v>
      </c>
      <c r="M4" s="37">
        <v>41694</v>
      </c>
      <c r="N4" s="37">
        <v>65106</v>
      </c>
      <c r="O4" s="74">
        <f>IS!P14</f>
        <v>-19081.607736078462</v>
      </c>
      <c r="P4" s="74">
        <f>IS!Q14</f>
        <v>-22857.757121105933</v>
      </c>
      <c r="Q4" s="74">
        <f>IS!R14</f>
        <v>-22569.599920880693</v>
      </c>
      <c r="R4" s="74">
        <f>IS!S14</f>
        <v>-22855.189374111618</v>
      </c>
      <c r="S4" s="74">
        <f>IS!T14</f>
        <v>-22770.533494294217</v>
      </c>
    </row>
    <row r="5" spans="2:19" x14ac:dyDescent="0.3">
      <c r="B5" s="43" t="s">
        <v>65</v>
      </c>
      <c r="C5" s="39">
        <v>-5177</v>
      </c>
      <c r="D5" s="40">
        <v>445</v>
      </c>
      <c r="E5" s="39">
        <v>-3179</v>
      </c>
      <c r="F5" s="39">
        <v>-2223</v>
      </c>
      <c r="G5" s="39">
        <v>-4152</v>
      </c>
      <c r="H5" s="39">
        <v>-10688</v>
      </c>
      <c r="I5" s="39">
        <v>-9109</v>
      </c>
      <c r="J5" s="39">
        <v>9950</v>
      </c>
      <c r="K5" s="39">
        <v>-5505</v>
      </c>
      <c r="L5" s="40">
        <v>185</v>
      </c>
      <c r="M5" s="39">
        <v>-2213</v>
      </c>
      <c r="N5" s="39">
        <v>-1875</v>
      </c>
    </row>
    <row r="6" spans="2:19" x14ac:dyDescent="0.3">
      <c r="B6" s="43" t="s">
        <v>66</v>
      </c>
      <c r="C6" s="39">
        <v>-2656</v>
      </c>
      <c r="D6" s="39">
        <v>-2853</v>
      </c>
      <c r="E6" s="39">
        <v>-3692</v>
      </c>
      <c r="F6" s="39">
        <v>-5743</v>
      </c>
      <c r="G6" s="39">
        <v>-6621</v>
      </c>
      <c r="H6" s="39">
        <v>-3560</v>
      </c>
      <c r="I6" s="39">
        <v>2069</v>
      </c>
      <c r="J6" s="39">
        <v>2326</v>
      </c>
      <c r="K6" s="39">
        <v>3814</v>
      </c>
      <c r="L6" s="40">
        <v>472</v>
      </c>
      <c r="M6" s="39">
        <v>-5665</v>
      </c>
      <c r="N6" s="39">
        <v>-7265</v>
      </c>
    </row>
    <row r="7" spans="2:19" x14ac:dyDescent="0.3">
      <c r="B7" s="53" t="s">
        <v>67</v>
      </c>
      <c r="C7" s="26">
        <v>8132</v>
      </c>
      <c r="D7" s="26">
        <v>4694</v>
      </c>
      <c r="E7" s="26">
        <v>3598</v>
      </c>
      <c r="F7" s="26">
        <v>3947</v>
      </c>
      <c r="G7" s="26">
        <v>9301</v>
      </c>
      <c r="H7" s="26">
        <v>7320</v>
      </c>
      <c r="I7" s="26">
        <v>-4692</v>
      </c>
      <c r="J7" s="26">
        <v>-8085</v>
      </c>
      <c r="K7" s="26">
        <v>5748</v>
      </c>
      <c r="L7" s="26">
        <v>-7012</v>
      </c>
      <c r="M7" s="26">
        <v>6945</v>
      </c>
      <c r="N7" s="26">
        <v>13706</v>
      </c>
    </row>
    <row r="8" spans="2:19" x14ac:dyDescent="0.3">
      <c r="B8" s="43" t="s">
        <v>68</v>
      </c>
      <c r="C8" s="40">
        <v>0</v>
      </c>
      <c r="D8" s="40">
        <v>0</v>
      </c>
      <c r="E8" s="40">
        <v>0</v>
      </c>
      <c r="F8" s="40">
        <v>-520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</row>
    <row r="9" spans="2:19" x14ac:dyDescent="0.3">
      <c r="B9" s="43" t="s">
        <v>69</v>
      </c>
      <c r="C9" s="40">
        <v>-303</v>
      </c>
      <c r="D9" s="39">
        <v>1870</v>
      </c>
      <c r="E9" s="40">
        <v>-398</v>
      </c>
      <c r="F9" s="39">
        <v>5852</v>
      </c>
      <c r="G9" s="39">
        <v>4727</v>
      </c>
      <c r="H9" s="40">
        <v>494</v>
      </c>
      <c r="I9" s="39">
        <v>4512</v>
      </c>
      <c r="J9" s="40">
        <v>875</v>
      </c>
      <c r="K9" s="39">
        <v>-4150</v>
      </c>
      <c r="L9" s="39">
        <v>-4396</v>
      </c>
      <c r="M9" s="39">
        <v>-2194</v>
      </c>
      <c r="N9" s="39">
        <v>2760</v>
      </c>
    </row>
    <row r="10" spans="2:19" x14ac:dyDescent="0.3">
      <c r="B10" s="38" t="s">
        <v>70</v>
      </c>
      <c r="C10" s="41">
        <v>-3</v>
      </c>
      <c r="D10" s="37">
        <v>4157</v>
      </c>
      <c r="E10" s="37">
        <v>-3672</v>
      </c>
      <c r="F10" s="37">
        <v>1313</v>
      </c>
      <c r="G10" s="37">
        <v>3254</v>
      </c>
      <c r="H10" s="37">
        <v>-6434</v>
      </c>
      <c r="I10" s="37">
        <v>-7221</v>
      </c>
      <c r="J10" s="37">
        <v>5065</v>
      </c>
      <c r="K10" s="41">
        <v>-93</v>
      </c>
      <c r="L10" s="37">
        <v>-10750</v>
      </c>
      <c r="M10" s="37">
        <v>-3127</v>
      </c>
      <c r="N10" s="37">
        <v>7325</v>
      </c>
    </row>
    <row r="11" spans="2:19" x14ac:dyDescent="0.3">
      <c r="B11" s="44" t="s">
        <v>71</v>
      </c>
      <c r="C11" s="26">
        <v>-2240</v>
      </c>
      <c r="D11" s="26">
        <v>-4308</v>
      </c>
      <c r="E11" s="26">
        <v>-4194</v>
      </c>
      <c r="F11" s="26">
        <v>-2040</v>
      </c>
      <c r="G11" s="26">
        <v>-1895</v>
      </c>
      <c r="H11" s="26">
        <v>-3021</v>
      </c>
      <c r="I11" s="26">
        <v>-2659</v>
      </c>
      <c r="J11" s="26">
        <v>-1785</v>
      </c>
      <c r="K11" s="26">
        <v>-2105</v>
      </c>
      <c r="L11" s="26">
        <v>-1910</v>
      </c>
      <c r="M11" s="26">
        <v>-3179</v>
      </c>
      <c r="N11" s="26">
        <v>-4516</v>
      </c>
    </row>
    <row r="12" spans="2:19" x14ac:dyDescent="0.3">
      <c r="B12" s="86" t="s">
        <v>72</v>
      </c>
      <c r="C12" s="62">
        <v>-22969</v>
      </c>
      <c r="D12" s="62">
        <v>-27991</v>
      </c>
      <c r="E12" s="62">
        <v>-36232</v>
      </c>
      <c r="F12" s="62">
        <v>-36694</v>
      </c>
      <c r="G12" s="62">
        <v>-39571</v>
      </c>
      <c r="H12" s="62">
        <v>-25139</v>
      </c>
      <c r="I12" s="62">
        <v>-20878</v>
      </c>
      <c r="J12" s="62">
        <v>-33115</v>
      </c>
      <c r="K12" s="62">
        <v>-25672</v>
      </c>
      <c r="L12" s="62">
        <v>-4444</v>
      </c>
      <c r="M12" s="62">
        <v>-15417</v>
      </c>
      <c r="N12" s="62">
        <v>-22782</v>
      </c>
      <c r="O12" s="33"/>
    </row>
    <row r="13" spans="2:19" x14ac:dyDescent="0.3">
      <c r="B13" s="43" t="s">
        <v>73</v>
      </c>
      <c r="C13" s="39">
        <v>-18863</v>
      </c>
      <c r="D13" s="39">
        <v>-26975</v>
      </c>
      <c r="E13" s="39">
        <v>-31962</v>
      </c>
      <c r="F13" s="39">
        <v>-31503</v>
      </c>
      <c r="G13" s="39">
        <v>-16072</v>
      </c>
      <c r="H13" s="39">
        <v>-35079</v>
      </c>
      <c r="I13" s="39">
        <v>-35304</v>
      </c>
      <c r="J13" s="39">
        <v>-29702</v>
      </c>
      <c r="K13" s="39">
        <v>-20205</v>
      </c>
      <c r="L13" s="39">
        <v>-15168</v>
      </c>
      <c r="M13" s="39">
        <v>-19230</v>
      </c>
      <c r="N13" s="39">
        <v>-31414</v>
      </c>
    </row>
    <row r="14" spans="2:19" x14ac:dyDescent="0.3">
      <c r="B14" s="43" t="s">
        <v>74</v>
      </c>
      <c r="C14" s="40">
        <v>37</v>
      </c>
      <c r="D14" s="40">
        <v>50</v>
      </c>
      <c r="E14" s="40">
        <v>74</v>
      </c>
      <c r="F14" s="40">
        <v>59</v>
      </c>
      <c r="G14" s="40">
        <v>53</v>
      </c>
      <c r="H14" s="40">
        <v>30</v>
      </c>
      <c r="I14" s="40">
        <v>67</v>
      </c>
      <c r="J14" s="40">
        <v>171</v>
      </c>
      <c r="K14" s="40">
        <v>351</v>
      </c>
      <c r="L14" s="40">
        <v>230</v>
      </c>
      <c r="M14" s="40">
        <v>285</v>
      </c>
      <c r="N14" s="40">
        <v>231</v>
      </c>
    </row>
    <row r="15" spans="2:19" x14ac:dyDescent="0.3">
      <c r="B15" s="43" t="s">
        <v>75</v>
      </c>
      <c r="C15" s="40">
        <v>73</v>
      </c>
      <c r="D15" s="40">
        <v>-429</v>
      </c>
      <c r="E15" s="39">
        <v>-5461</v>
      </c>
      <c r="F15" s="39">
        <v>-4728</v>
      </c>
      <c r="G15" s="40">
        <v>-6</v>
      </c>
      <c r="H15" s="40">
        <v>-329</v>
      </c>
      <c r="I15" s="40">
        <v>-130</v>
      </c>
      <c r="J15" s="39">
        <v>-1439</v>
      </c>
      <c r="K15" s="39">
        <v>-7530</v>
      </c>
      <c r="L15" s="39">
        <v>-3008</v>
      </c>
      <c r="M15" s="40">
        <v>-50</v>
      </c>
      <c r="N15" s="40">
        <v>-74</v>
      </c>
    </row>
    <row r="16" spans="2:19" x14ac:dyDescent="0.3">
      <c r="B16" s="53" t="s">
        <v>76</v>
      </c>
      <c r="C16" s="31">
        <v>34</v>
      </c>
      <c r="D16" s="31">
        <v>4</v>
      </c>
      <c r="E16" s="31">
        <v>42</v>
      </c>
      <c r="F16" s="31">
        <v>89</v>
      </c>
      <c r="G16" s="26">
        <v>1965</v>
      </c>
      <c r="H16" s="26">
        <v>2381</v>
      </c>
      <c r="I16" s="26">
        <v>5644</v>
      </c>
      <c r="J16" s="31">
        <v>21</v>
      </c>
      <c r="K16" s="31">
        <v>226</v>
      </c>
      <c r="L16" s="31">
        <v>104</v>
      </c>
      <c r="M16" s="26">
        <v>6895</v>
      </c>
      <c r="N16" s="26">
        <v>10820</v>
      </c>
    </row>
    <row r="17" spans="2:14" x14ac:dyDescent="0.3">
      <c r="B17" s="43" t="s">
        <v>77</v>
      </c>
      <c r="C17" s="40">
        <v>713</v>
      </c>
      <c r="D17" s="40">
        <v>653</v>
      </c>
      <c r="E17" s="40">
        <v>698</v>
      </c>
      <c r="F17" s="40">
        <v>731</v>
      </c>
      <c r="G17" s="40">
        <v>638</v>
      </c>
      <c r="H17" s="40">
        <v>690</v>
      </c>
      <c r="I17" s="40">
        <v>761</v>
      </c>
      <c r="J17" s="39">
        <v>1104</v>
      </c>
      <c r="K17" s="40">
        <v>428</v>
      </c>
      <c r="L17" s="40">
        <v>653</v>
      </c>
      <c r="M17" s="40">
        <v>973</v>
      </c>
      <c r="N17" s="39">
        <v>2493</v>
      </c>
    </row>
    <row r="18" spans="2:14" x14ac:dyDescent="0.3">
      <c r="B18" s="43" t="s">
        <v>78</v>
      </c>
      <c r="C18" s="40">
        <v>95</v>
      </c>
      <c r="D18" s="40">
        <v>40</v>
      </c>
      <c r="E18" s="40">
        <v>80</v>
      </c>
      <c r="F18" s="40">
        <v>58</v>
      </c>
      <c r="G18" s="40">
        <v>620</v>
      </c>
      <c r="H18" s="39">
        <v>1797</v>
      </c>
      <c r="I18" s="40">
        <v>232</v>
      </c>
      <c r="J18" s="40">
        <v>21</v>
      </c>
      <c r="K18" s="40">
        <v>18</v>
      </c>
      <c r="L18" s="40">
        <v>32</v>
      </c>
      <c r="M18" s="40">
        <v>46</v>
      </c>
      <c r="N18" s="40">
        <v>47</v>
      </c>
    </row>
    <row r="19" spans="2:14" x14ac:dyDescent="0.3">
      <c r="B19" s="43" t="s">
        <v>79</v>
      </c>
      <c r="C19" s="40">
        <v>0</v>
      </c>
      <c r="D19" s="40">
        <v>0</v>
      </c>
      <c r="E19" s="40">
        <v>-160</v>
      </c>
      <c r="F19" s="40">
        <v>0</v>
      </c>
      <c r="G19" s="40">
        <v>-107</v>
      </c>
      <c r="H19" s="40">
        <v>-4</v>
      </c>
      <c r="I19" s="40">
        <v>-9</v>
      </c>
      <c r="J19" s="40">
        <v>-606</v>
      </c>
      <c r="K19" s="40">
        <v>-10</v>
      </c>
      <c r="L19" s="40">
        <v>0</v>
      </c>
      <c r="M19" s="40">
        <v>0</v>
      </c>
      <c r="N19" s="40">
        <v>-150</v>
      </c>
    </row>
    <row r="20" spans="2:14" x14ac:dyDescent="0.3">
      <c r="B20" s="43" t="s">
        <v>80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14</v>
      </c>
      <c r="I20" s="40">
        <v>533</v>
      </c>
      <c r="J20" s="40">
        <v>0</v>
      </c>
      <c r="K20" s="40">
        <v>0</v>
      </c>
      <c r="L20" s="40">
        <v>0</v>
      </c>
      <c r="M20" s="40">
        <v>19</v>
      </c>
      <c r="N20" s="40">
        <v>108</v>
      </c>
    </row>
    <row r="21" spans="2:14" x14ac:dyDescent="0.3">
      <c r="B21" s="43" t="s">
        <v>81</v>
      </c>
      <c r="C21" s="40">
        <v>0</v>
      </c>
      <c r="D21" s="40">
        <v>-185</v>
      </c>
      <c r="E21" s="40">
        <v>0</v>
      </c>
      <c r="F21" s="40">
        <v>-111</v>
      </c>
      <c r="G21" s="40">
        <v>0</v>
      </c>
      <c r="H21" s="40">
        <v>0</v>
      </c>
      <c r="I21" s="40">
        <v>-8</v>
      </c>
      <c r="J21" s="40">
        <v>-27</v>
      </c>
      <c r="K21" s="40">
        <v>0</v>
      </c>
      <c r="L21" s="40">
        <v>-98</v>
      </c>
      <c r="M21" s="40">
        <v>0</v>
      </c>
      <c r="N21" s="40">
        <v>0</v>
      </c>
    </row>
    <row r="22" spans="2:14" x14ac:dyDescent="0.3">
      <c r="B22" s="43" t="s">
        <v>82</v>
      </c>
      <c r="C22" s="40">
        <v>45</v>
      </c>
      <c r="D22" s="40">
        <v>0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-24</v>
      </c>
    </row>
    <row r="23" spans="2:14" x14ac:dyDescent="0.3">
      <c r="B23" s="43" t="s">
        <v>83</v>
      </c>
      <c r="C23" s="39">
        <v>-5103</v>
      </c>
      <c r="D23" s="39">
        <v>-1149</v>
      </c>
      <c r="E23" s="40">
        <v>456</v>
      </c>
      <c r="F23" s="39">
        <v>-1289</v>
      </c>
      <c r="G23" s="39">
        <v>-26663</v>
      </c>
      <c r="H23" s="39">
        <v>5360</v>
      </c>
      <c r="I23" s="39">
        <v>7335</v>
      </c>
      <c r="J23" s="39">
        <v>-2659</v>
      </c>
      <c r="K23" s="39">
        <v>1051</v>
      </c>
      <c r="L23" s="39">
        <v>12813</v>
      </c>
      <c r="M23" s="39">
        <v>-4357</v>
      </c>
      <c r="N23" s="39">
        <v>-4817</v>
      </c>
    </row>
    <row r="24" spans="2:14" x14ac:dyDescent="0.3">
      <c r="B24" s="45" t="s">
        <v>84</v>
      </c>
      <c r="C24" s="46">
        <v>-1692</v>
      </c>
      <c r="D24" s="46">
        <v>-3883</v>
      </c>
      <c r="E24" s="46">
        <v>5201</v>
      </c>
      <c r="F24" s="46">
        <v>-3795</v>
      </c>
      <c r="G24" s="46">
        <v>6205</v>
      </c>
      <c r="H24" s="46">
        <v>2012</v>
      </c>
      <c r="I24" s="46">
        <v>8830</v>
      </c>
      <c r="J24" s="46">
        <v>3390</v>
      </c>
      <c r="K24" s="46">
        <v>9904</v>
      </c>
      <c r="L24" s="46">
        <v>-3380</v>
      </c>
      <c r="M24" s="46">
        <v>-26243</v>
      </c>
      <c r="N24" s="46">
        <v>-37006</v>
      </c>
    </row>
    <row r="25" spans="2:14" x14ac:dyDescent="0.3">
      <c r="B25" s="43" t="s">
        <v>85</v>
      </c>
      <c r="C25" s="40">
        <v>1</v>
      </c>
      <c r="D25" s="40">
        <v>0</v>
      </c>
      <c r="E25" s="40">
        <v>0</v>
      </c>
      <c r="F25" s="39">
        <v>7433</v>
      </c>
      <c r="G25" s="40">
        <v>5</v>
      </c>
      <c r="H25" s="40">
        <v>0</v>
      </c>
      <c r="I25" s="40">
        <v>0</v>
      </c>
      <c r="J25" s="29">
        <v>3889</v>
      </c>
      <c r="K25" s="29">
        <v>2603</v>
      </c>
      <c r="L25" s="40">
        <v>19</v>
      </c>
      <c r="M25" s="40">
        <v>20</v>
      </c>
      <c r="N25" s="40">
        <v>82</v>
      </c>
    </row>
    <row r="26" spans="2:14" x14ac:dyDescent="0.3">
      <c r="B26" s="43" t="s">
        <v>86</v>
      </c>
      <c r="C26" s="40">
        <v>-97</v>
      </c>
      <c r="D26" s="40">
        <v>-658</v>
      </c>
      <c r="E26" s="40">
        <v>-744</v>
      </c>
      <c r="F26" s="40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</row>
    <row r="27" spans="2:14" x14ac:dyDescent="0.3">
      <c r="B27" s="43" t="s">
        <v>87</v>
      </c>
      <c r="C27" s="39">
        <v>27863</v>
      </c>
      <c r="D27" s="39">
        <v>33258</v>
      </c>
      <c r="E27" s="39">
        <v>36363</v>
      </c>
      <c r="F27" s="39">
        <v>19519</v>
      </c>
      <c r="G27" s="39">
        <v>33390</v>
      </c>
      <c r="H27" s="39">
        <v>37482</v>
      </c>
      <c r="I27" s="39">
        <v>51128</v>
      </c>
      <c r="J27" s="39">
        <v>38297</v>
      </c>
      <c r="K27" s="39">
        <v>46641</v>
      </c>
      <c r="L27" s="39">
        <v>46578</v>
      </c>
      <c r="M27" s="39">
        <v>43934</v>
      </c>
      <c r="N27" s="39">
        <v>18747</v>
      </c>
    </row>
    <row r="28" spans="2:14" x14ac:dyDescent="0.3">
      <c r="B28" s="43" t="s">
        <v>88</v>
      </c>
      <c r="C28" s="39">
        <v>-20395</v>
      </c>
      <c r="D28" s="39">
        <v>-29141</v>
      </c>
      <c r="E28" s="39">
        <v>-23332</v>
      </c>
      <c r="F28" s="39">
        <v>-24924</v>
      </c>
      <c r="G28" s="39">
        <v>-21732</v>
      </c>
      <c r="H28" s="39">
        <v>-29964</v>
      </c>
      <c r="I28" s="39">
        <v>-35198</v>
      </c>
      <c r="J28" s="39">
        <v>-29847</v>
      </c>
      <c r="K28" s="39">
        <v>-29709</v>
      </c>
      <c r="L28" s="39">
        <v>-42816</v>
      </c>
      <c r="M28" s="39">
        <v>-62557</v>
      </c>
      <c r="N28" s="39">
        <v>-47332</v>
      </c>
    </row>
    <row r="29" spans="2:14" x14ac:dyDescent="0.3">
      <c r="B29" s="43" t="s">
        <v>89</v>
      </c>
      <c r="C29" s="39">
        <v>-4666</v>
      </c>
      <c r="D29" s="39">
        <v>-6171</v>
      </c>
      <c r="E29" s="39">
        <v>-6307</v>
      </c>
      <c r="F29" s="39">
        <v>-5716</v>
      </c>
      <c r="G29" s="39">
        <v>-5336</v>
      </c>
      <c r="H29" s="39">
        <v>-5411</v>
      </c>
      <c r="I29" s="39">
        <v>-7005</v>
      </c>
      <c r="J29" s="39">
        <v>-7518</v>
      </c>
      <c r="K29" s="39">
        <v>-8123</v>
      </c>
      <c r="L29" s="39">
        <v>-9251</v>
      </c>
      <c r="M29" s="39">
        <v>-9336</v>
      </c>
      <c r="N29" s="39">
        <v>-9332</v>
      </c>
    </row>
    <row r="30" spans="2:14" x14ac:dyDescent="0.3">
      <c r="B30" s="43" t="s">
        <v>90</v>
      </c>
      <c r="C30" s="39">
        <v>-1551</v>
      </c>
      <c r="D30" s="40">
        <v>-722</v>
      </c>
      <c r="E30" s="40">
        <v>-720</v>
      </c>
      <c r="F30" s="40">
        <v>-108</v>
      </c>
      <c r="G30" s="40">
        <v>-121</v>
      </c>
      <c r="H30" s="40">
        <v>-96</v>
      </c>
      <c r="I30" s="40">
        <v>-95</v>
      </c>
      <c r="J30" s="40">
        <v>-57</v>
      </c>
      <c r="K30" s="40">
        <v>-30</v>
      </c>
      <c r="L30" s="40">
        <v>-100</v>
      </c>
      <c r="M30" s="40">
        <v>-141</v>
      </c>
      <c r="N30" s="39">
        <v>-1059</v>
      </c>
    </row>
    <row r="31" spans="2:14" x14ac:dyDescent="0.3">
      <c r="B31" s="53" t="s">
        <v>91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26">
        <v>-1346</v>
      </c>
      <c r="K31" s="26">
        <v>-1477</v>
      </c>
      <c r="L31" s="26">
        <v>-1559</v>
      </c>
      <c r="M31" s="26">
        <v>-1517</v>
      </c>
      <c r="N31" s="26">
        <v>-1924</v>
      </c>
    </row>
    <row r="32" spans="2:14" x14ac:dyDescent="0.3">
      <c r="B32" s="43" t="s">
        <v>92</v>
      </c>
      <c r="C32" s="39">
        <v>-2849</v>
      </c>
      <c r="D32" s="40">
        <v>-450</v>
      </c>
      <c r="E32" s="40">
        <v>-57</v>
      </c>
      <c r="F32" s="40">
        <v>0</v>
      </c>
      <c r="G32" s="40">
        <v>0</v>
      </c>
      <c r="H32" s="40">
        <v>0</v>
      </c>
      <c r="I32" s="40">
        <v>0</v>
      </c>
      <c r="J32" s="40">
        <v>-29</v>
      </c>
      <c r="K32" s="40">
        <v>0</v>
      </c>
      <c r="L32" s="39">
        <v>3750</v>
      </c>
      <c r="M32" s="39">
        <v>3355</v>
      </c>
      <c r="N32" s="39">
        <v>3812</v>
      </c>
    </row>
    <row r="33" spans="2:14" x14ac:dyDescent="0.3">
      <c r="B33" s="47" t="s">
        <v>93</v>
      </c>
      <c r="C33" s="48">
        <v>-2499</v>
      </c>
      <c r="D33" s="48">
        <v>4277</v>
      </c>
      <c r="E33" s="48">
        <v>4500</v>
      </c>
      <c r="F33" s="48">
        <v>-2589</v>
      </c>
      <c r="G33" s="48">
        <v>-3167</v>
      </c>
      <c r="H33" s="49">
        <v>730</v>
      </c>
      <c r="I33" s="48">
        <v>6843</v>
      </c>
      <c r="J33" s="63">
        <v>-3092</v>
      </c>
      <c r="K33" s="48">
        <v>13232</v>
      </c>
      <c r="L33" s="48">
        <v>6459</v>
      </c>
      <c r="M33" s="63">
        <v>-6272</v>
      </c>
      <c r="N33" s="48">
        <v>8128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350B-5D87-48BB-B5F5-B3FC8BFAF4D8}">
  <dimension ref="A1"/>
  <sheetViews>
    <sheetView workbookViewId="0">
      <selection activeCell="C8" sqref="C8"/>
    </sheetView>
  </sheetViews>
  <sheetFormatPr defaultRowHeight="14.4" x14ac:dyDescent="0.3"/>
  <sheetData>
    <row r="1" spans="1:1" x14ac:dyDescent="0.3">
      <c r="A1" t="s">
        <v>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812A2-C967-42DE-B3A2-4F0CF4683767}">
  <dimension ref="A2:F30"/>
  <sheetViews>
    <sheetView workbookViewId="0">
      <selection activeCell="F13" sqref="F13"/>
    </sheetView>
  </sheetViews>
  <sheetFormatPr defaultRowHeight="14.4" x14ac:dyDescent="0.3"/>
  <cols>
    <col min="1" max="1" width="3.21875" customWidth="1"/>
    <col min="2" max="2" width="21.109375" bestFit="1" customWidth="1"/>
    <col min="3" max="3" width="10.33203125" bestFit="1" customWidth="1"/>
    <col min="4" max="4" width="11.5546875" bestFit="1" customWidth="1"/>
    <col min="6" max="6" width="12.33203125" bestFit="1" customWidth="1"/>
  </cols>
  <sheetData>
    <row r="2" spans="1:6" x14ac:dyDescent="0.3">
      <c r="A2" t="s">
        <v>111</v>
      </c>
      <c r="B2" s="66" t="s">
        <v>146</v>
      </c>
      <c r="C2" s="66"/>
    </row>
    <row r="3" spans="1:6" x14ac:dyDescent="0.3">
      <c r="B3" s="66"/>
      <c r="C3" t="s">
        <v>169</v>
      </c>
      <c r="D3" t="s">
        <v>147</v>
      </c>
      <c r="E3" t="s">
        <v>148</v>
      </c>
      <c r="F3" t="s">
        <v>170</v>
      </c>
    </row>
    <row r="4" spans="1:6" x14ac:dyDescent="0.3">
      <c r="B4" s="66" t="s">
        <v>149</v>
      </c>
      <c r="C4" s="66"/>
      <c r="D4" s="33"/>
    </row>
    <row r="5" spans="1:6" x14ac:dyDescent="0.3">
      <c r="B5" t="s">
        <v>150</v>
      </c>
      <c r="C5" s="129">
        <v>0.15</v>
      </c>
      <c r="D5" s="33">
        <v>0.125</v>
      </c>
      <c r="E5" s="33">
        <v>0.10199999999999999</v>
      </c>
      <c r="F5" s="33">
        <v>8.7999999999999995E-2</v>
      </c>
    </row>
    <row r="6" spans="1:6" x14ac:dyDescent="0.3">
      <c r="B6" t="s">
        <v>130</v>
      </c>
      <c r="C6" s="33">
        <v>0.14299999999999999</v>
      </c>
      <c r="D6" s="129">
        <v>0.18</v>
      </c>
      <c r="E6" s="33">
        <v>0.16200000000000001</v>
      </c>
      <c r="F6" s="33">
        <v>0.155</v>
      </c>
    </row>
    <row r="7" spans="1:6" x14ac:dyDescent="0.3">
      <c r="B7" t="s">
        <v>151</v>
      </c>
      <c r="C7" s="33">
        <v>6.5000000000000002E-2</v>
      </c>
      <c r="D7" s="33">
        <v>0.09</v>
      </c>
      <c r="E7" s="33">
        <v>8.3000000000000004E-2</v>
      </c>
      <c r="F7" s="33">
        <v>7.4999999999999997E-2</v>
      </c>
    </row>
    <row r="8" spans="1:6" x14ac:dyDescent="0.3">
      <c r="B8" t="s">
        <v>152</v>
      </c>
      <c r="C8">
        <v>49.4</v>
      </c>
      <c r="D8" s="33">
        <v>0.16800000000000001</v>
      </c>
      <c r="E8" s="33">
        <v>0.184</v>
      </c>
      <c r="F8" s="33">
        <v>0.39600000000000002</v>
      </c>
    </row>
    <row r="9" spans="1:6" x14ac:dyDescent="0.3">
      <c r="B9" t="s">
        <v>171</v>
      </c>
      <c r="C9" s="33">
        <v>0.20100000000000001</v>
      </c>
      <c r="D9" s="33">
        <v>0.218</v>
      </c>
      <c r="E9" s="33">
        <v>0.13600000000000001</v>
      </c>
      <c r="F9" s="33">
        <v>0.51400000000000001</v>
      </c>
    </row>
    <row r="11" spans="1:6" x14ac:dyDescent="0.3">
      <c r="B11" s="66" t="s">
        <v>153</v>
      </c>
      <c r="C11" s="66"/>
    </row>
    <row r="12" spans="1:6" x14ac:dyDescent="0.3">
      <c r="B12" t="s">
        <v>154</v>
      </c>
      <c r="C12" s="74">
        <f>BS!N10/BS!N30</f>
        <v>0.93550531213403243</v>
      </c>
      <c r="D12" s="74">
        <v>0.872</v>
      </c>
      <c r="E12" s="74">
        <v>1.3100000000000001E-2</v>
      </c>
      <c r="F12" s="74">
        <v>1.24E-2</v>
      </c>
    </row>
    <row r="13" spans="1:6" x14ac:dyDescent="0.3">
      <c r="B13" t="s">
        <v>155</v>
      </c>
      <c r="C13" s="74"/>
      <c r="D13" s="74"/>
      <c r="E13" s="74"/>
      <c r="F13" s="74">
        <v>0.98</v>
      </c>
    </row>
    <row r="15" spans="1:6" x14ac:dyDescent="0.3">
      <c r="B15" s="66" t="s">
        <v>156</v>
      </c>
      <c r="C15" s="66"/>
    </row>
    <row r="16" spans="1:6" x14ac:dyDescent="0.3">
      <c r="B16" t="s">
        <v>157</v>
      </c>
      <c r="C16">
        <v>1.2</v>
      </c>
      <c r="D16">
        <v>0.8</v>
      </c>
      <c r="E16">
        <v>0.9</v>
      </c>
      <c r="F16">
        <v>0.5</v>
      </c>
    </row>
    <row r="17" spans="2:3" x14ac:dyDescent="0.3">
      <c r="B17" t="s">
        <v>158</v>
      </c>
    </row>
    <row r="19" spans="2:3" x14ac:dyDescent="0.3">
      <c r="B19" s="66" t="s">
        <v>159</v>
      </c>
      <c r="C19" s="66"/>
    </row>
    <row r="20" spans="2:3" x14ac:dyDescent="0.3">
      <c r="B20" t="s">
        <v>160</v>
      </c>
    </row>
    <row r="21" spans="2:3" x14ac:dyDescent="0.3">
      <c r="B21" t="s">
        <v>161</v>
      </c>
    </row>
    <row r="22" spans="2:3" x14ac:dyDescent="0.3">
      <c r="B22" t="s">
        <v>162</v>
      </c>
    </row>
    <row r="24" spans="2:3" x14ac:dyDescent="0.3">
      <c r="B24" s="66" t="s">
        <v>163</v>
      </c>
      <c r="C24" s="66"/>
    </row>
    <row r="25" spans="2:3" x14ac:dyDescent="0.3">
      <c r="B25" t="s">
        <v>164</v>
      </c>
    </row>
    <row r="26" spans="2:3" x14ac:dyDescent="0.3">
      <c r="B26" t="s">
        <v>165</v>
      </c>
    </row>
    <row r="28" spans="2:3" x14ac:dyDescent="0.3">
      <c r="B28" s="66" t="s">
        <v>166</v>
      </c>
      <c r="C28" s="66"/>
    </row>
    <row r="29" spans="2:3" x14ac:dyDescent="0.3">
      <c r="B29" t="s">
        <v>167</v>
      </c>
    </row>
    <row r="30" spans="2:3" x14ac:dyDescent="0.3">
      <c r="B30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E797-8D9C-4373-9292-776070ED1B30}">
  <dimension ref="A1:H32"/>
  <sheetViews>
    <sheetView topLeftCell="A2" workbookViewId="0">
      <selection activeCell="G32" sqref="G32"/>
    </sheetView>
  </sheetViews>
  <sheetFormatPr defaultRowHeight="14.4" x14ac:dyDescent="0.3"/>
  <cols>
    <col min="1" max="1" width="3.33203125" customWidth="1"/>
    <col min="2" max="2" width="18.109375" bestFit="1" customWidth="1"/>
    <col min="3" max="3" width="20.44140625" bestFit="1" customWidth="1"/>
    <col min="4" max="5" width="13.6640625" bestFit="1" customWidth="1"/>
    <col min="6" max="6" width="6.6640625" bestFit="1" customWidth="1"/>
    <col min="7" max="7" width="16.33203125" bestFit="1" customWidth="1"/>
  </cols>
  <sheetData>
    <row r="1" spans="1:7" x14ac:dyDescent="0.3">
      <c r="B1" s="128" t="s">
        <v>145</v>
      </c>
    </row>
    <row r="3" spans="1:7" x14ac:dyDescent="0.3">
      <c r="A3" t="s">
        <v>111</v>
      </c>
      <c r="B3" s="78" t="s">
        <v>105</v>
      </c>
      <c r="C3" s="79">
        <v>7.3649999999999993E-2</v>
      </c>
    </row>
    <row r="4" spans="1:7" x14ac:dyDescent="0.3">
      <c r="B4" s="78" t="s">
        <v>106</v>
      </c>
      <c r="C4" s="80">
        <v>1.45</v>
      </c>
    </row>
    <row r="5" spans="1:7" x14ac:dyDescent="0.3">
      <c r="B5" s="78" t="s">
        <v>107</v>
      </c>
      <c r="C5" s="81">
        <v>0.16</v>
      </c>
    </row>
    <row r="6" spans="1:7" x14ac:dyDescent="0.3">
      <c r="B6" s="78" t="s">
        <v>127</v>
      </c>
      <c r="C6" s="78">
        <v>779</v>
      </c>
    </row>
    <row r="7" spans="1:7" x14ac:dyDescent="0.3">
      <c r="B7" s="78" t="s">
        <v>109</v>
      </c>
      <c r="C7" s="82">
        <f>C5-C3</f>
        <v>8.635000000000001E-2</v>
      </c>
    </row>
    <row r="8" spans="1:7" x14ac:dyDescent="0.3">
      <c r="B8" s="78"/>
      <c r="C8" s="78"/>
    </row>
    <row r="9" spans="1:7" x14ac:dyDescent="0.3">
      <c r="B9" s="83" t="s">
        <v>108</v>
      </c>
      <c r="C9" s="84">
        <f>C3+C4*C7</f>
        <v>0.19885749999999999</v>
      </c>
    </row>
    <row r="11" spans="1:7" x14ac:dyDescent="0.3">
      <c r="B11" s="15" t="s">
        <v>118</v>
      </c>
      <c r="C11" s="33">
        <v>0.1</v>
      </c>
    </row>
    <row r="12" spans="1:7" x14ac:dyDescent="0.3">
      <c r="B12" s="15" t="s">
        <v>123</v>
      </c>
      <c r="C12" s="89" t="s">
        <v>124</v>
      </c>
    </row>
    <row r="14" spans="1:7" x14ac:dyDescent="0.3">
      <c r="B14" s="66" t="s">
        <v>116</v>
      </c>
    </row>
    <row r="15" spans="1:7" x14ac:dyDescent="0.3">
      <c r="A15" t="s">
        <v>111</v>
      </c>
      <c r="B15" s="97" t="s">
        <v>13</v>
      </c>
      <c r="C15" s="83">
        <v>2019</v>
      </c>
      <c r="D15" s="83">
        <v>2020</v>
      </c>
      <c r="E15" s="83">
        <v>2021</v>
      </c>
      <c r="F15" s="83">
        <v>2022</v>
      </c>
      <c r="G15" s="83">
        <v>2023</v>
      </c>
    </row>
    <row r="16" spans="1:7" x14ac:dyDescent="0.3">
      <c r="B16" s="78" t="str">
        <f>IS!A14</f>
        <v>Net Profit +</v>
      </c>
      <c r="C16" s="78">
        <f>IS!H14</f>
        <v>-28724</v>
      </c>
      <c r="D16" s="78">
        <f>IS!I14</f>
        <v>-11975</v>
      </c>
      <c r="E16" s="78">
        <f>IS!J14</f>
        <v>-13395</v>
      </c>
      <c r="F16" s="78">
        <f>IS!K14</f>
        <v>-11309</v>
      </c>
      <c r="G16" s="78">
        <f>IS!L14</f>
        <v>2690</v>
      </c>
    </row>
    <row r="17" spans="2:8" x14ac:dyDescent="0.3">
      <c r="B17" s="78" t="str">
        <f>IS!A12</f>
        <v>Profit before tax</v>
      </c>
      <c r="C17" s="78">
        <f>IS!H12</f>
        <v>-31371</v>
      </c>
      <c r="D17" s="78">
        <f>IS!I12</f>
        <v>-10580</v>
      </c>
      <c r="E17" s="78">
        <f>IS!J12</f>
        <v>-10474</v>
      </c>
      <c r="F17" s="78">
        <f>IS!K12</f>
        <v>-7003</v>
      </c>
      <c r="G17" s="78">
        <f>IS!L12</f>
        <v>3394</v>
      </c>
    </row>
    <row r="18" spans="2:8" x14ac:dyDescent="0.3">
      <c r="B18" s="78" t="s">
        <v>110</v>
      </c>
      <c r="C18" s="78">
        <f>C17-C16</f>
        <v>-2647</v>
      </c>
      <c r="D18" s="78">
        <f t="shared" ref="D18:G18" si="0">D17-D16</f>
        <v>1395</v>
      </c>
      <c r="E18" s="78">
        <f t="shared" si="0"/>
        <v>2921</v>
      </c>
      <c r="F18" s="78">
        <f t="shared" si="0"/>
        <v>4306</v>
      </c>
      <c r="G18" s="78">
        <f t="shared" si="0"/>
        <v>704</v>
      </c>
    </row>
    <row r="19" spans="2:8" x14ac:dyDescent="0.3">
      <c r="B19" s="78" t="s">
        <v>112</v>
      </c>
      <c r="C19" s="78">
        <f>IS!H11</f>
        <v>23591</v>
      </c>
      <c r="D19" s="78">
        <f>IS!I11</f>
        <v>21425</v>
      </c>
      <c r="E19" s="78">
        <f>IS!J11</f>
        <v>23547</v>
      </c>
      <c r="F19" s="78">
        <f>IS!K11</f>
        <v>24836</v>
      </c>
      <c r="G19" s="78">
        <f>IS!L11</f>
        <v>24860</v>
      </c>
    </row>
    <row r="20" spans="2:8" x14ac:dyDescent="0.3">
      <c r="B20" s="78" t="s">
        <v>113</v>
      </c>
      <c r="C20" s="98">
        <f>BS!I38</f>
        <v>9115</v>
      </c>
      <c r="D20" s="98">
        <f>BS!J38</f>
        <v>34</v>
      </c>
      <c r="E20" s="98">
        <f>BS!K38</f>
        <v>36056</v>
      </c>
      <c r="F20" s="98">
        <f>BS!L38</f>
        <v>19223</v>
      </c>
      <c r="G20" s="98">
        <f>BS!M38</f>
        <v>-9987</v>
      </c>
    </row>
    <row r="21" spans="2:8" x14ac:dyDescent="0.3">
      <c r="B21" s="83" t="s">
        <v>93</v>
      </c>
      <c r="C21" s="99">
        <f>CF!I33</f>
        <v>6843</v>
      </c>
      <c r="D21" s="99">
        <f>CF!J33</f>
        <v>-3092</v>
      </c>
      <c r="E21" s="99">
        <f>CF!K33</f>
        <v>13232</v>
      </c>
      <c r="F21" s="99">
        <f>CF!L33</f>
        <v>6459</v>
      </c>
      <c r="G21" s="99">
        <f>CF!M33</f>
        <v>-6272</v>
      </c>
      <c r="H21" s="35"/>
    </row>
    <row r="22" spans="2:8" x14ac:dyDescent="0.3">
      <c r="B22" s="78" t="s">
        <v>53</v>
      </c>
      <c r="C22" s="98">
        <f>BS!I28</f>
        <v>31884</v>
      </c>
      <c r="D22" s="98">
        <f>BS!J28</f>
        <v>35622</v>
      </c>
      <c r="E22" s="98">
        <f>BS!K28</f>
        <v>20964</v>
      </c>
      <c r="F22" s="98">
        <f>BS!L28</f>
        <v>10251</v>
      </c>
      <c r="G22" s="98">
        <f>BS!M28</f>
        <v>14274</v>
      </c>
    </row>
    <row r="23" spans="2:8" x14ac:dyDescent="0.3">
      <c r="B23" s="78" t="s">
        <v>115</v>
      </c>
      <c r="C23" s="98">
        <f>BS!I6</f>
        <v>70818</v>
      </c>
      <c r="D23" s="98">
        <f>BS!J6</f>
        <v>83316</v>
      </c>
      <c r="E23" s="98">
        <f>BS!K6</f>
        <v>93113</v>
      </c>
      <c r="F23" s="98">
        <f>BS!L6</f>
        <v>97759</v>
      </c>
      <c r="G23" s="98">
        <f>BS!M6</f>
        <v>88696</v>
      </c>
    </row>
    <row r="25" spans="2:8" x14ac:dyDescent="0.3">
      <c r="B25" s="66" t="s">
        <v>116</v>
      </c>
      <c r="C25" s="35">
        <f>C16+C19-C22-C20+C23</f>
        <v>24686</v>
      </c>
      <c r="D25" s="35">
        <f t="shared" ref="D25:G25" si="1">D16+D19-D22-D20+D23</f>
        <v>57110</v>
      </c>
      <c r="E25" s="35">
        <f t="shared" si="1"/>
        <v>46245</v>
      </c>
      <c r="F25" s="35">
        <f t="shared" si="1"/>
        <v>81812</v>
      </c>
      <c r="G25" s="35">
        <f t="shared" si="1"/>
        <v>111959</v>
      </c>
    </row>
    <row r="26" spans="2:8" x14ac:dyDescent="0.3">
      <c r="B26" s="66" t="s">
        <v>117</v>
      </c>
      <c r="C26" s="74" t="s">
        <v>18</v>
      </c>
      <c r="D26" s="74" t="s">
        <v>18</v>
      </c>
      <c r="E26" s="74" t="s">
        <v>18</v>
      </c>
      <c r="F26" s="74" t="s">
        <v>18</v>
      </c>
      <c r="G26" s="87">
        <f>G25*(C11+1)/C9-C11</f>
        <v>619312.22163735342</v>
      </c>
    </row>
    <row r="27" spans="2:8" x14ac:dyDescent="0.3">
      <c r="B27" t="s">
        <v>119</v>
      </c>
      <c r="C27" s="88">
        <f>C25/(1+C9)^1</f>
        <v>20591.271272857703</v>
      </c>
      <c r="D27" s="88">
        <f>D25/(1+C9)^2</f>
        <v>39735.348930533495</v>
      </c>
      <c r="E27" s="88">
        <f>E25/(1+C9)^3</f>
        <v>26838.737961299823</v>
      </c>
      <c r="F27" s="88">
        <f>F25/(1+C9)^4</f>
        <v>39604.702149106175</v>
      </c>
      <c r="G27" s="88">
        <f>G25/(1+C9)^5</f>
        <v>45208.613513407632</v>
      </c>
    </row>
    <row r="29" spans="2:8" x14ac:dyDescent="0.3">
      <c r="B29" s="66" t="s">
        <v>120</v>
      </c>
      <c r="C29" t="s">
        <v>18</v>
      </c>
      <c r="D29" t="s">
        <v>18</v>
      </c>
      <c r="E29" t="s">
        <v>18</v>
      </c>
      <c r="F29" t="s">
        <v>18</v>
      </c>
      <c r="G29" s="88">
        <f>G26/(1+C9)^5</f>
        <v>250075.89271191199</v>
      </c>
    </row>
    <row r="30" spans="2:8" x14ac:dyDescent="0.3">
      <c r="B30" s="66" t="s">
        <v>121</v>
      </c>
      <c r="G30" s="90">
        <f>G27+G29</f>
        <v>295284.50622531964</v>
      </c>
    </row>
    <row r="31" spans="2:8" x14ac:dyDescent="0.3">
      <c r="G31" s="35"/>
    </row>
    <row r="32" spans="2:8" x14ac:dyDescent="0.3">
      <c r="B32" s="66" t="s">
        <v>122</v>
      </c>
      <c r="G32" s="66">
        <f>G30/383</f>
        <v>770.97782304261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CC54-6F4F-441F-8805-30A84B561529}">
  <dimension ref="A1:M6"/>
  <sheetViews>
    <sheetView zoomScale="94" zoomScaleNormal="94" workbookViewId="0">
      <selection activeCell="R21" sqref="R21"/>
    </sheetView>
  </sheetViews>
  <sheetFormatPr defaultRowHeight="14.4" x14ac:dyDescent="0.3"/>
  <cols>
    <col min="1" max="1" width="21" bestFit="1" customWidth="1"/>
  </cols>
  <sheetData>
    <row r="1" spans="1:13" x14ac:dyDescent="0.3">
      <c r="A1" s="11" t="s">
        <v>13</v>
      </c>
      <c r="B1" s="25">
        <v>45364</v>
      </c>
      <c r="C1" s="25">
        <f>B1+1</f>
        <v>45365</v>
      </c>
      <c r="D1" s="25">
        <f t="shared" ref="D1:M1" si="0">C1+1</f>
        <v>45366</v>
      </c>
      <c r="E1" s="25">
        <f t="shared" si="0"/>
        <v>45367</v>
      </c>
      <c r="F1" s="25">
        <f t="shared" si="0"/>
        <v>45368</v>
      </c>
      <c r="G1" s="25">
        <f t="shared" si="0"/>
        <v>45369</v>
      </c>
      <c r="H1" s="59">
        <f t="shared" si="0"/>
        <v>45370</v>
      </c>
      <c r="I1" s="59">
        <f t="shared" si="0"/>
        <v>45371</v>
      </c>
      <c r="J1" s="59">
        <f t="shared" si="0"/>
        <v>45372</v>
      </c>
      <c r="K1" s="68">
        <f t="shared" si="0"/>
        <v>45373</v>
      </c>
      <c r="L1" s="68">
        <f t="shared" si="0"/>
        <v>45374</v>
      </c>
      <c r="M1" s="68">
        <f t="shared" si="0"/>
        <v>45375</v>
      </c>
    </row>
    <row r="2" spans="1:13" x14ac:dyDescent="0.3">
      <c r="A2" s="76" t="s">
        <v>104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x14ac:dyDescent="0.3">
      <c r="A3" s="23" t="s">
        <v>31</v>
      </c>
      <c r="B3" s="91">
        <v>32155</v>
      </c>
      <c r="C3" s="91">
        <v>45259</v>
      </c>
      <c r="D3" s="91">
        <v>56071</v>
      </c>
      <c r="E3" s="91">
        <v>50510</v>
      </c>
      <c r="F3" s="91">
        <v>60629</v>
      </c>
      <c r="G3" s="91">
        <v>61200</v>
      </c>
      <c r="H3" s="92">
        <v>70818</v>
      </c>
      <c r="I3" s="92">
        <v>83316</v>
      </c>
      <c r="J3" s="92">
        <v>93113</v>
      </c>
      <c r="K3" s="91">
        <v>97759</v>
      </c>
      <c r="L3" s="91">
        <v>88696</v>
      </c>
      <c r="M3" s="91">
        <v>62149</v>
      </c>
    </row>
    <row r="4" spans="1:13" x14ac:dyDescent="0.3">
      <c r="A4" s="23" t="s">
        <v>32</v>
      </c>
      <c r="B4" s="91">
        <v>11620</v>
      </c>
      <c r="C4" s="91">
        <v>9696</v>
      </c>
      <c r="D4" s="91">
        <v>13140</v>
      </c>
      <c r="E4" s="91">
        <v>11451</v>
      </c>
      <c r="F4" s="91">
        <v>13860</v>
      </c>
      <c r="G4" s="91">
        <v>16795</v>
      </c>
      <c r="H4" s="92">
        <v>20150</v>
      </c>
      <c r="I4" s="92">
        <v>16363</v>
      </c>
      <c r="J4" s="92">
        <v>42792</v>
      </c>
      <c r="K4" s="91">
        <v>41918</v>
      </c>
      <c r="L4" s="91">
        <v>36965</v>
      </c>
      <c r="M4" s="91">
        <v>36352</v>
      </c>
    </row>
    <row r="5" spans="1:13" x14ac:dyDescent="0.3">
      <c r="A5" s="23" t="s">
        <v>33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H5" s="93">
        <v>173</v>
      </c>
      <c r="I5" s="91">
        <v>5977</v>
      </c>
      <c r="J5" s="91">
        <v>6226</v>
      </c>
      <c r="K5" s="91">
        <v>6772</v>
      </c>
      <c r="L5" s="91">
        <v>8453</v>
      </c>
      <c r="M5" s="91">
        <v>8762</v>
      </c>
    </row>
    <row r="6" spans="1:13" x14ac:dyDescent="0.3">
      <c r="A6" s="23" t="s">
        <v>34</v>
      </c>
      <c r="B6" s="91">
        <v>9940</v>
      </c>
      <c r="C6" s="91">
        <v>5688</v>
      </c>
      <c r="D6" s="91">
        <v>4399</v>
      </c>
      <c r="E6" s="91">
        <v>7399</v>
      </c>
      <c r="F6" s="91">
        <v>4115</v>
      </c>
      <c r="G6" s="91">
        <v>10956</v>
      </c>
      <c r="H6" s="92">
        <v>15034</v>
      </c>
      <c r="I6" s="92">
        <v>19132</v>
      </c>
      <c r="J6" s="93">
        <v>0</v>
      </c>
      <c r="K6" s="93">
        <v>0</v>
      </c>
      <c r="L6" s="93">
        <v>0</v>
      </c>
      <c r="M6" s="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4BC8-AD3E-4CA5-8800-FE10D1377672}">
  <dimension ref="A1:M6"/>
  <sheetViews>
    <sheetView zoomScale="107" zoomScaleNormal="107" workbookViewId="0">
      <selection activeCell="D22" sqref="D22:H23"/>
    </sheetView>
  </sheetViews>
  <sheetFormatPr defaultRowHeight="14.4" x14ac:dyDescent="0.3"/>
  <cols>
    <col min="1" max="1" width="23.5546875" bestFit="1" customWidth="1"/>
  </cols>
  <sheetData>
    <row r="1" spans="1:13" x14ac:dyDescent="0.3">
      <c r="A1" s="10" t="s">
        <v>13</v>
      </c>
      <c r="B1" s="25">
        <v>45364</v>
      </c>
      <c r="C1" s="25">
        <f>B1+1</f>
        <v>45365</v>
      </c>
      <c r="D1" s="25">
        <f t="shared" ref="D1:M1" si="0">C1+1</f>
        <v>45366</v>
      </c>
      <c r="E1" s="25">
        <f t="shared" si="0"/>
        <v>45367</v>
      </c>
      <c r="F1" s="25">
        <f t="shared" si="0"/>
        <v>45368</v>
      </c>
      <c r="G1" s="25">
        <f t="shared" si="0"/>
        <v>45369</v>
      </c>
      <c r="H1" s="59">
        <f t="shared" si="0"/>
        <v>45370</v>
      </c>
      <c r="I1" s="59">
        <f t="shared" si="0"/>
        <v>45371</v>
      </c>
      <c r="J1" s="59">
        <f t="shared" si="0"/>
        <v>45372</v>
      </c>
      <c r="K1" s="68">
        <f t="shared" si="0"/>
        <v>45373</v>
      </c>
      <c r="L1" s="68">
        <f t="shared" si="0"/>
        <v>45374</v>
      </c>
      <c r="M1" s="68">
        <f t="shared" si="0"/>
        <v>45375</v>
      </c>
    </row>
    <row r="2" spans="1:13" x14ac:dyDescent="0.3">
      <c r="A2" s="66" t="s">
        <v>103</v>
      </c>
    </row>
    <row r="3" spans="1:13" x14ac:dyDescent="0.3">
      <c r="A3" s="23" t="s">
        <v>36</v>
      </c>
      <c r="B3" s="6">
        <v>370</v>
      </c>
      <c r="C3" s="6">
        <v>421</v>
      </c>
      <c r="D3" s="6">
        <v>433</v>
      </c>
      <c r="E3" s="6">
        <v>433</v>
      </c>
      <c r="F3" s="6">
        <v>453</v>
      </c>
      <c r="G3" s="6">
        <v>525</v>
      </c>
      <c r="H3" s="6">
        <v>523</v>
      </c>
      <c r="I3" s="6">
        <v>814</v>
      </c>
      <c r="J3" s="3">
        <v>1573</v>
      </c>
      <c r="K3" s="3">
        <v>4271</v>
      </c>
      <c r="L3" s="3">
        <v>7278</v>
      </c>
      <c r="M3" s="3">
        <v>8176</v>
      </c>
    </row>
    <row r="4" spans="1:13" x14ac:dyDescent="0.3">
      <c r="A4" s="23" t="s">
        <v>37</v>
      </c>
      <c r="B4" s="3">
        <v>44912</v>
      </c>
      <c r="C4" s="3">
        <v>57316</v>
      </c>
      <c r="D4" s="3">
        <v>57407</v>
      </c>
      <c r="E4" s="3">
        <v>61562</v>
      </c>
      <c r="F4" s="3">
        <v>62533</v>
      </c>
      <c r="G4" s="3">
        <v>76940</v>
      </c>
      <c r="H4" s="3">
        <v>71691</v>
      </c>
      <c r="I4" s="3">
        <v>66398</v>
      </c>
      <c r="J4" s="3">
        <v>76040</v>
      </c>
      <c r="K4" s="3">
        <v>69750</v>
      </c>
      <c r="L4" s="3">
        <v>79252</v>
      </c>
      <c r="M4" s="3">
        <v>93979</v>
      </c>
    </row>
    <row r="5" spans="1:13" x14ac:dyDescent="0.3">
      <c r="A5" s="23" t="s">
        <v>38</v>
      </c>
      <c r="B5" s="3">
        <v>2067</v>
      </c>
      <c r="C5" s="3">
        <v>3119</v>
      </c>
      <c r="D5" s="3">
        <v>2289</v>
      </c>
      <c r="E5" s="3">
        <v>2165</v>
      </c>
      <c r="F5" s="3">
        <v>1711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x14ac:dyDescent="0.3">
      <c r="A6" s="23" t="s">
        <v>39</v>
      </c>
      <c r="B6" s="3">
        <v>29627</v>
      </c>
      <c r="C6" s="3">
        <v>31325</v>
      </c>
      <c r="D6" s="3">
        <v>47313</v>
      </c>
      <c r="E6" s="3">
        <v>50712</v>
      </c>
      <c r="F6" s="3">
        <v>71218</v>
      </c>
      <c r="G6" s="3">
        <v>65349</v>
      </c>
      <c r="H6" s="3">
        <v>67135</v>
      </c>
      <c r="I6" s="3">
        <v>65969</v>
      </c>
      <c r="J6" s="3">
        <v>66579</v>
      </c>
      <c r="K6" s="3">
        <v>64030</v>
      </c>
      <c r="L6" s="3">
        <v>68710</v>
      </c>
      <c r="M6" s="3">
        <v>75186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IS</vt:lpstr>
      <vt:lpstr>BS</vt:lpstr>
      <vt:lpstr>BS Model</vt:lpstr>
      <vt:lpstr>CF</vt:lpstr>
      <vt:lpstr>Sheet1</vt:lpstr>
      <vt:lpstr>Comparative Analysis</vt:lpstr>
      <vt:lpstr>Intrinsic Valuation of Share</vt:lpstr>
      <vt:lpstr>Debt</vt:lpstr>
      <vt:lpstr>Current Liabilities Comparison</vt:lpstr>
      <vt:lpstr>Ratio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devang doiphode</dc:creator>
  <cp:lastModifiedBy>devang doiphode</cp:lastModifiedBy>
  <dcterms:created xsi:type="dcterms:W3CDTF">2024-08-23T09:48:27Z</dcterms:created>
  <dcterms:modified xsi:type="dcterms:W3CDTF">2025-01-19T14:48:33Z</dcterms:modified>
</cp:coreProperties>
</file>