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DEV\OSU Sem_3\APIC\APIC_POT\"/>
    </mc:Choice>
  </mc:AlternateContent>
  <xr:revisionPtr revIDLastSave="0" documentId="13_ncr:1_{713A05FC-0902-41FE-A72F-AC591024222E}" xr6:coauthVersionLast="41" xr6:coauthVersionMax="45" xr10:uidLastSave="{00000000-0000-0000-0000-000000000000}"/>
  <bookViews>
    <workbookView xWindow="-108" yWindow="-108" windowWidth="23256" windowHeight="12576" tabRatio="580" activeTab="1" xr2:uid="{00000000-000D-0000-FFFF-FFFF00000000}"/>
  </bookViews>
  <sheets>
    <sheet name="POT Policy" sheetId="1" r:id="rId1"/>
    <sheet name="Using Excel Solver" sheetId="2" r:id="rId2"/>
  </sheets>
  <definedNames>
    <definedName name="_xlnm._FilterDatabase" localSheetId="0" hidden="1">'POT Policy'!$A$1:$Z$27</definedName>
    <definedName name="_xlnm._FilterDatabase" localSheetId="1" hidden="1">'Using Excel Solver'!$A$1:$X$27</definedName>
    <definedName name="solver_adj" localSheetId="1" hidden="1">'Using Excel Solver'!$P$2</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nwt" localSheetId="1" hidden="1">1</definedName>
    <definedName name="solver_opt" localSheetId="1" hidden="1">'Using Excel Solver'!$R$27</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2" i="1" l="1"/>
  <c r="S22" i="1"/>
  <c r="S21" i="1"/>
  <c r="I26" i="2" l="1"/>
  <c r="H26" i="2"/>
  <c r="F26" i="2"/>
  <c r="G26" i="2" s="1"/>
  <c r="I25" i="2"/>
  <c r="H25" i="2"/>
  <c r="F25" i="2"/>
  <c r="G25" i="2" s="1"/>
  <c r="J25" i="2" s="1"/>
  <c r="I24" i="2"/>
  <c r="H24" i="2"/>
  <c r="F24" i="2"/>
  <c r="G24" i="2" s="1"/>
  <c r="I23" i="2"/>
  <c r="H23" i="2"/>
  <c r="F23" i="2"/>
  <c r="G23" i="2" s="1"/>
  <c r="I22" i="2"/>
  <c r="H22" i="2"/>
  <c r="F22" i="2"/>
  <c r="G22" i="2" s="1"/>
  <c r="I21" i="2"/>
  <c r="H21" i="2"/>
  <c r="F21" i="2"/>
  <c r="G21" i="2" s="1"/>
  <c r="I20" i="2"/>
  <c r="H20" i="2"/>
  <c r="F20" i="2"/>
  <c r="G20" i="2" s="1"/>
  <c r="I19" i="2"/>
  <c r="H19" i="2"/>
  <c r="F19" i="2"/>
  <c r="G19" i="2" s="1"/>
  <c r="I18" i="2"/>
  <c r="H18" i="2"/>
  <c r="F18" i="2"/>
  <c r="G18" i="2" s="1"/>
  <c r="K18" i="2" s="1"/>
  <c r="I17" i="2"/>
  <c r="H17" i="2"/>
  <c r="F17" i="2"/>
  <c r="G17" i="2" s="1"/>
  <c r="J17" i="2" s="1"/>
  <c r="I16" i="2"/>
  <c r="H16" i="2"/>
  <c r="F16" i="2"/>
  <c r="G16" i="2" s="1"/>
  <c r="O16" i="2" s="1"/>
  <c r="I15" i="2"/>
  <c r="H15" i="2"/>
  <c r="F15" i="2"/>
  <c r="G15" i="2" s="1"/>
  <c r="U15" i="2" s="1"/>
  <c r="I14" i="2"/>
  <c r="H14" i="2"/>
  <c r="F14" i="2"/>
  <c r="G14" i="2" s="1"/>
  <c r="I13" i="2"/>
  <c r="H13" i="2"/>
  <c r="F13" i="2"/>
  <c r="G13" i="2" s="1"/>
  <c r="R13" i="2" s="1"/>
  <c r="I12" i="2"/>
  <c r="H12" i="2"/>
  <c r="F12" i="2"/>
  <c r="G12" i="2" s="1"/>
  <c r="N12" i="2" s="1"/>
  <c r="I11" i="2"/>
  <c r="H11" i="2"/>
  <c r="F11" i="2"/>
  <c r="G11" i="2" s="1"/>
  <c r="K11" i="2" s="1"/>
  <c r="I10" i="2"/>
  <c r="H10" i="2"/>
  <c r="F10" i="2"/>
  <c r="G10" i="2" s="1"/>
  <c r="I9" i="2"/>
  <c r="H9" i="2"/>
  <c r="F9" i="2"/>
  <c r="G9" i="2" s="1"/>
  <c r="R9" i="2" s="1"/>
  <c r="I8" i="2"/>
  <c r="H8" i="2"/>
  <c r="F8" i="2"/>
  <c r="G8" i="2" s="1"/>
  <c r="N8" i="2" s="1"/>
  <c r="I7" i="2"/>
  <c r="H7" i="2"/>
  <c r="F7" i="2"/>
  <c r="G7" i="2" s="1"/>
  <c r="K7" i="2" s="1"/>
  <c r="I6" i="2"/>
  <c r="H6" i="2"/>
  <c r="F6" i="2"/>
  <c r="G6" i="2" s="1"/>
  <c r="I5" i="2"/>
  <c r="H5" i="2"/>
  <c r="F5" i="2"/>
  <c r="G5" i="2" s="1"/>
  <c r="R5" i="2" s="1"/>
  <c r="I4" i="2"/>
  <c r="H4" i="2"/>
  <c r="F4" i="2"/>
  <c r="G4" i="2" s="1"/>
  <c r="I3" i="2"/>
  <c r="H3" i="2"/>
  <c r="F3" i="2"/>
  <c r="G3" i="2" s="1"/>
  <c r="K3" i="2" s="1"/>
  <c r="V2" i="2"/>
  <c r="X23" i="2" s="1"/>
  <c r="N2" i="2"/>
  <c r="E2" i="2"/>
  <c r="I2" i="2"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N2" i="1"/>
  <c r="I26" i="1"/>
  <c r="H26" i="1"/>
  <c r="I25" i="1"/>
  <c r="H25" i="1"/>
  <c r="I24" i="1"/>
  <c r="H24" i="1"/>
  <c r="I23" i="1"/>
  <c r="H23" i="1"/>
  <c r="I22" i="1"/>
  <c r="H22" i="1"/>
  <c r="I21" i="1"/>
  <c r="H21" i="1"/>
  <c r="I20" i="1"/>
  <c r="H20" i="1"/>
  <c r="I19" i="1"/>
  <c r="H19" i="1"/>
  <c r="I18" i="1"/>
  <c r="H18" i="1"/>
  <c r="I17" i="1"/>
  <c r="H17" i="1"/>
  <c r="I16" i="1"/>
  <c r="H16" i="1"/>
  <c r="I15" i="1"/>
  <c r="H15" i="1"/>
  <c r="I14" i="1"/>
  <c r="H14" i="1"/>
  <c r="I13" i="1"/>
  <c r="H13" i="1"/>
  <c r="I12" i="1"/>
  <c r="H12" i="1"/>
  <c r="I11" i="1"/>
  <c r="H11" i="1"/>
  <c r="I10" i="1"/>
  <c r="H10" i="1"/>
  <c r="I9" i="1"/>
  <c r="H9" i="1"/>
  <c r="I8" i="1"/>
  <c r="H8" i="1"/>
  <c r="I7" i="1"/>
  <c r="H7" i="1"/>
  <c r="I6" i="1"/>
  <c r="H6" i="1"/>
  <c r="I5" i="1"/>
  <c r="H5" i="1"/>
  <c r="I4" i="1"/>
  <c r="H4" i="1"/>
  <c r="I3" i="1"/>
  <c r="H3" i="1"/>
  <c r="F3" i="1"/>
  <c r="G3" i="1" s="1"/>
  <c r="X2" i="1"/>
  <c r="E2" i="1"/>
  <c r="I2" i="1" s="1"/>
  <c r="R30" i="1" l="1"/>
  <c r="O4" i="2"/>
  <c r="N4" i="2"/>
  <c r="J5" i="2"/>
  <c r="J9" i="2"/>
  <c r="J13" i="2"/>
  <c r="N15" i="2"/>
  <c r="O19" i="2"/>
  <c r="N19" i="2"/>
  <c r="O20" i="2"/>
  <c r="R29" i="2"/>
  <c r="J21" i="2"/>
  <c r="U23" i="2"/>
  <c r="N23" i="2"/>
  <c r="O24" i="2"/>
  <c r="J20" i="1"/>
  <c r="J12" i="1"/>
  <c r="S3" i="1"/>
  <c r="S4" i="1"/>
  <c r="S24" i="1"/>
  <c r="J24" i="1"/>
  <c r="K24" i="1"/>
  <c r="S16" i="1"/>
  <c r="J16" i="1"/>
  <c r="N16" i="1"/>
  <c r="K16" i="1"/>
  <c r="R16" i="1"/>
  <c r="S8" i="1"/>
  <c r="N8" i="1"/>
  <c r="J8" i="1"/>
  <c r="K8" i="1"/>
  <c r="N23" i="1"/>
  <c r="S23" i="1"/>
  <c r="J23" i="1"/>
  <c r="K23" i="1"/>
  <c r="S15" i="1"/>
  <c r="J15" i="1"/>
  <c r="N15" i="1"/>
  <c r="K15" i="1"/>
  <c r="S7" i="1"/>
  <c r="J7" i="1"/>
  <c r="K7" i="1"/>
  <c r="J22" i="1"/>
  <c r="N22" i="1"/>
  <c r="K22" i="1"/>
  <c r="S14" i="1"/>
  <c r="J14" i="1"/>
  <c r="N14" i="1"/>
  <c r="K14" i="1"/>
  <c r="S6" i="1"/>
  <c r="J6" i="1"/>
  <c r="K6" i="1"/>
  <c r="N6" i="1"/>
  <c r="J21" i="1"/>
  <c r="K21" i="1"/>
  <c r="N21" i="1"/>
  <c r="S13" i="1"/>
  <c r="J13" i="1"/>
  <c r="K13" i="1"/>
  <c r="N13" i="1"/>
  <c r="N5" i="1"/>
  <c r="S5" i="1"/>
  <c r="J5" i="1"/>
  <c r="K5" i="1"/>
  <c r="S19" i="1"/>
  <c r="R19" i="1"/>
  <c r="J19" i="1"/>
  <c r="K19" i="1"/>
  <c r="S11" i="1"/>
  <c r="K11" i="1"/>
  <c r="J11" i="1"/>
  <c r="S26" i="1"/>
  <c r="N26" i="1"/>
  <c r="K26" i="1"/>
  <c r="J26" i="1"/>
  <c r="S18" i="1"/>
  <c r="K18" i="1"/>
  <c r="J18" i="1"/>
  <c r="R18" i="1"/>
  <c r="S10" i="1"/>
  <c r="R10" i="1"/>
  <c r="J10" i="1"/>
  <c r="K10" i="1"/>
  <c r="S25" i="1"/>
  <c r="J25" i="1"/>
  <c r="K25" i="1"/>
  <c r="S17" i="1"/>
  <c r="R17" i="1"/>
  <c r="J17" i="1"/>
  <c r="K17" i="1"/>
  <c r="N9" i="1"/>
  <c r="S9" i="1"/>
  <c r="J9" i="1"/>
  <c r="K9" i="1"/>
  <c r="N12" i="1"/>
  <c r="N20" i="1"/>
  <c r="J4" i="1"/>
  <c r="S12" i="1"/>
  <c r="S20" i="1"/>
  <c r="N4" i="1"/>
  <c r="K20" i="1"/>
  <c r="K12" i="1"/>
  <c r="K4" i="1"/>
  <c r="X6" i="2"/>
  <c r="N6" i="2"/>
  <c r="O6" i="2"/>
  <c r="R6" i="2"/>
  <c r="K6" i="2"/>
  <c r="J6" i="2"/>
  <c r="U6" i="2"/>
  <c r="N10" i="2"/>
  <c r="O10" i="2"/>
  <c r="X10" i="2"/>
  <c r="R10" i="2"/>
  <c r="K10" i="2"/>
  <c r="J10" i="2"/>
  <c r="U10" i="2"/>
  <c r="R14" i="2"/>
  <c r="J14" i="2"/>
  <c r="O14" i="2"/>
  <c r="X14" i="2"/>
  <c r="N14" i="2"/>
  <c r="U14" i="2"/>
  <c r="K14" i="2"/>
  <c r="X3" i="2"/>
  <c r="X7" i="2"/>
  <c r="X11" i="2"/>
  <c r="X15" i="2"/>
  <c r="R22" i="2"/>
  <c r="J22" i="2"/>
  <c r="O22" i="2"/>
  <c r="X22" i="2"/>
  <c r="N22" i="2"/>
  <c r="U22" i="2"/>
  <c r="U17" i="2"/>
  <c r="K17" i="2"/>
  <c r="O17" i="2"/>
  <c r="X17" i="2"/>
  <c r="N17" i="2"/>
  <c r="U4" i="2"/>
  <c r="K4" i="2"/>
  <c r="R4" i="2"/>
  <c r="J4" i="2"/>
  <c r="J8" i="2"/>
  <c r="U8" i="2"/>
  <c r="K8" i="2"/>
  <c r="R8" i="2"/>
  <c r="O8" i="2"/>
  <c r="R12" i="2"/>
  <c r="U12" i="2"/>
  <c r="K12" i="2"/>
  <c r="J12" i="2"/>
  <c r="O12" i="2"/>
  <c r="R16" i="2"/>
  <c r="X16" i="2"/>
  <c r="N16" i="2"/>
  <c r="U16" i="2"/>
  <c r="K16" i="2"/>
  <c r="J16" i="2"/>
  <c r="R17" i="2"/>
  <c r="X19" i="2"/>
  <c r="R26" i="2"/>
  <c r="J26" i="2"/>
  <c r="O26" i="2"/>
  <c r="X26" i="2"/>
  <c r="N26" i="2"/>
  <c r="U26" i="2"/>
  <c r="K26" i="2"/>
  <c r="R3" i="2"/>
  <c r="J3" i="2"/>
  <c r="O3" i="2"/>
  <c r="N3" i="2"/>
  <c r="X4" i="2"/>
  <c r="O7" i="2"/>
  <c r="R7" i="2"/>
  <c r="J7" i="2"/>
  <c r="N7" i="2"/>
  <c r="X8" i="2"/>
  <c r="R11" i="2"/>
  <c r="J11" i="2"/>
  <c r="O11" i="2"/>
  <c r="N11" i="2"/>
  <c r="X12" i="2"/>
  <c r="X20" i="2"/>
  <c r="N20" i="2"/>
  <c r="U20" i="2"/>
  <c r="K20" i="2"/>
  <c r="R20" i="2"/>
  <c r="J20" i="2"/>
  <c r="O21" i="2"/>
  <c r="X21" i="2"/>
  <c r="N21" i="2"/>
  <c r="U21" i="2"/>
  <c r="K21" i="2"/>
  <c r="R21" i="2"/>
  <c r="U3" i="2"/>
  <c r="X5" i="2"/>
  <c r="N5" i="2"/>
  <c r="U5" i="2"/>
  <c r="K5" i="2"/>
  <c r="O5" i="2"/>
  <c r="U7" i="2"/>
  <c r="U9" i="2"/>
  <c r="X9" i="2"/>
  <c r="N9" i="2"/>
  <c r="K9" i="2"/>
  <c r="O9" i="2"/>
  <c r="U11" i="2"/>
  <c r="K13" i="2"/>
  <c r="X13" i="2"/>
  <c r="N13" i="2"/>
  <c r="U13" i="2"/>
  <c r="O13" i="2"/>
  <c r="X18" i="2"/>
  <c r="N18" i="2"/>
  <c r="R18" i="2"/>
  <c r="J18" i="2"/>
  <c r="O18" i="2"/>
  <c r="U18" i="2"/>
  <c r="K22" i="2"/>
  <c r="X24" i="2"/>
  <c r="N24" i="2"/>
  <c r="U24" i="2"/>
  <c r="K24" i="2"/>
  <c r="R24" i="2"/>
  <c r="J24" i="2"/>
  <c r="O25" i="2"/>
  <c r="X25" i="2"/>
  <c r="N25" i="2"/>
  <c r="U25" i="2"/>
  <c r="K25" i="2"/>
  <c r="R25" i="2"/>
  <c r="O15" i="2"/>
  <c r="O23" i="2"/>
  <c r="J15" i="2"/>
  <c r="R15" i="2"/>
  <c r="J19" i="2"/>
  <c r="R19" i="2"/>
  <c r="J23" i="2"/>
  <c r="R23" i="2"/>
  <c r="K15" i="2"/>
  <c r="K19" i="2"/>
  <c r="U19" i="2"/>
  <c r="K23" i="2"/>
  <c r="N11" i="1"/>
  <c r="N19" i="1"/>
  <c r="N18" i="1"/>
  <c r="N10" i="1"/>
  <c r="N17" i="1"/>
  <c r="R7" i="1"/>
  <c r="N7" i="1"/>
  <c r="R15" i="1"/>
  <c r="R14" i="1"/>
  <c r="R8" i="1"/>
  <c r="R13" i="1"/>
  <c r="R23" i="1"/>
  <c r="R11" i="1"/>
  <c r="R9" i="1"/>
  <c r="R12" i="1"/>
  <c r="O26" i="1"/>
  <c r="R5" i="1"/>
  <c r="R3" i="1"/>
  <c r="R22" i="1"/>
  <c r="R6" i="1"/>
  <c r="R20" i="1"/>
  <c r="R26" i="1"/>
  <c r="R21" i="1"/>
  <c r="O22" i="1"/>
  <c r="O23" i="1"/>
  <c r="O11" i="1"/>
  <c r="O7" i="1"/>
  <c r="O15" i="1"/>
  <c r="O13" i="1"/>
  <c r="O17" i="1"/>
  <c r="O12" i="1"/>
  <c r="O16" i="1"/>
  <c r="O14" i="1"/>
  <c r="O18" i="1"/>
  <c r="O10" i="1"/>
  <c r="O6" i="1"/>
  <c r="O21" i="1"/>
  <c r="O9" i="1"/>
  <c r="O5" i="1"/>
  <c r="O20" i="1"/>
  <c r="O8" i="1"/>
  <c r="O4" i="1"/>
  <c r="O19" i="1"/>
  <c r="Z3" i="1"/>
  <c r="N3" i="1"/>
  <c r="J3" i="1"/>
  <c r="W3" i="1"/>
  <c r="K3" i="1"/>
  <c r="O3" i="1"/>
  <c r="Z7" i="1"/>
  <c r="W7" i="1"/>
  <c r="Z5" i="1"/>
  <c r="W5" i="1"/>
  <c r="Z4" i="1"/>
  <c r="W4" i="1"/>
  <c r="R4" i="1"/>
  <c r="Z6" i="1"/>
  <c r="W6" i="1"/>
  <c r="W8" i="1"/>
  <c r="W9" i="1"/>
  <c r="W10" i="1"/>
  <c r="W11" i="1"/>
  <c r="W12" i="1"/>
  <c r="W13" i="1"/>
  <c r="W14" i="1"/>
  <c r="W15" i="1"/>
  <c r="W16" i="1"/>
  <c r="W17" i="1"/>
  <c r="W18" i="1"/>
  <c r="W19" i="1"/>
  <c r="W20" i="1"/>
  <c r="W21" i="1"/>
  <c r="W22" i="1"/>
  <c r="W23" i="1"/>
  <c r="W26" i="1"/>
  <c r="Z8" i="1"/>
  <c r="Z9" i="1"/>
  <c r="Z10" i="1"/>
  <c r="Z11" i="1"/>
  <c r="Z12" i="1"/>
  <c r="Z13" i="1"/>
  <c r="Z14" i="1"/>
  <c r="Z15" i="1"/>
  <c r="Z16" i="1"/>
  <c r="Z17" i="1"/>
  <c r="Z18" i="1"/>
  <c r="Z19" i="1"/>
  <c r="Z20" i="1"/>
  <c r="Z21" i="1"/>
  <c r="Z22" i="1"/>
  <c r="Z23" i="1"/>
  <c r="Z26" i="1"/>
  <c r="N27" i="2" l="1"/>
  <c r="X27" i="2"/>
  <c r="U27" i="2"/>
  <c r="R27" i="2"/>
  <c r="R24" i="1"/>
  <c r="N24" i="1"/>
  <c r="R25" i="1"/>
  <c r="N25" i="1"/>
  <c r="O24" i="1"/>
  <c r="O25" i="1"/>
  <c r="W25" i="1"/>
  <c r="Z25" i="1"/>
  <c r="Z24" i="1"/>
  <c r="Z27" i="1" s="1"/>
  <c r="W24" i="1"/>
  <c r="N27" i="1" l="1"/>
  <c r="R27" i="1"/>
  <c r="R31" i="2" s="1"/>
  <c r="W27" i="1"/>
</calcChain>
</file>

<file path=xl/sharedStrings.xml><?xml version="1.0" encoding="utf-8"?>
<sst xmlns="http://schemas.openxmlformats.org/spreadsheetml/2006/main" count="255" uniqueCount="33">
  <si>
    <t>Facility</t>
  </si>
  <si>
    <t xml:space="preserve"> X</t>
  </si>
  <si>
    <t>Y</t>
  </si>
  <si>
    <t xml:space="preserve"> hi'</t>
  </si>
  <si>
    <t>Di</t>
  </si>
  <si>
    <t>Distance</t>
  </si>
  <si>
    <r>
      <t>Set Up Cost(K</t>
    </r>
    <r>
      <rPr>
        <b/>
        <vertAlign val="subscript"/>
        <sz val="10"/>
        <color theme="1"/>
        <rFont val="Arial"/>
        <family val="2"/>
      </rPr>
      <t>i</t>
    </r>
    <r>
      <rPr>
        <b/>
        <sz val="10"/>
        <color theme="1"/>
        <rFont val="Arial"/>
        <family val="2"/>
      </rPr>
      <t>)</t>
    </r>
  </si>
  <si>
    <r>
      <t>g</t>
    </r>
    <r>
      <rPr>
        <b/>
        <vertAlign val="subscript"/>
        <sz val="10"/>
        <color theme="1"/>
        <rFont val="Arial"/>
        <family val="2"/>
      </rPr>
      <t>i</t>
    </r>
  </si>
  <si>
    <r>
      <t>g</t>
    </r>
    <r>
      <rPr>
        <b/>
        <vertAlign val="superscript"/>
        <sz val="10"/>
        <color theme="1"/>
        <rFont val="Arial"/>
        <family val="2"/>
      </rPr>
      <t>i</t>
    </r>
  </si>
  <si>
    <r>
      <t>tau</t>
    </r>
    <r>
      <rPr>
        <b/>
        <vertAlign val="superscript"/>
        <sz val="10"/>
        <color theme="1"/>
        <rFont val="Arial"/>
        <family val="2"/>
      </rPr>
      <t>i</t>
    </r>
  </si>
  <si>
    <r>
      <t>tau</t>
    </r>
    <r>
      <rPr>
        <b/>
        <vertAlign val="subscript"/>
        <sz val="10"/>
        <color theme="1"/>
        <rFont val="Arial"/>
        <family val="2"/>
      </rPr>
      <t>i</t>
    </r>
  </si>
  <si>
    <t>T0
(Iteration 1))in years</t>
  </si>
  <si>
    <t>Classification
(Iteration 1)</t>
  </si>
  <si>
    <t>Hi
(Iteration 1)</t>
  </si>
  <si>
    <r>
      <t>T</t>
    </r>
    <r>
      <rPr>
        <b/>
        <vertAlign val="subscript"/>
        <sz val="10"/>
        <color theme="1"/>
        <rFont val="Arial"/>
        <family val="2"/>
      </rPr>
      <t>i</t>
    </r>
    <r>
      <rPr>
        <b/>
        <sz val="10"/>
        <color theme="1"/>
        <rFont val="Arial"/>
        <family val="2"/>
      </rPr>
      <t>* for every retailer</t>
    </r>
  </si>
  <si>
    <t>T0
(Iteration 2))in years</t>
  </si>
  <si>
    <t>Classification
(Iteration 2)</t>
  </si>
  <si>
    <t>Ti*</t>
  </si>
  <si>
    <r>
      <t>T</t>
    </r>
    <r>
      <rPr>
        <b/>
        <vertAlign val="subscript"/>
        <sz val="10"/>
        <color theme="1"/>
        <rFont val="Arial"/>
        <family val="2"/>
      </rPr>
      <t xml:space="preserve">0
</t>
    </r>
    <r>
      <rPr>
        <b/>
        <sz val="10"/>
        <color theme="1"/>
        <rFont val="Arial"/>
        <family val="2"/>
      </rPr>
      <t>(Iteration 3))in years</t>
    </r>
  </si>
  <si>
    <t>Classification
(Iteration 3)</t>
  </si>
  <si>
    <t>Hi
(Iteration 3)</t>
  </si>
  <si>
    <r>
      <t>T</t>
    </r>
    <r>
      <rPr>
        <b/>
        <vertAlign val="subscript"/>
        <sz val="10"/>
        <color theme="1"/>
        <rFont val="Arial"/>
        <family val="2"/>
      </rPr>
      <t>0</t>
    </r>
    <r>
      <rPr>
        <b/>
        <sz val="10"/>
        <color theme="1"/>
        <rFont val="Arial"/>
        <family val="2"/>
      </rPr>
      <t>=2T</t>
    </r>
    <r>
      <rPr>
        <b/>
        <vertAlign val="subscript"/>
        <sz val="10"/>
        <color theme="1"/>
        <rFont val="Arial"/>
        <family val="2"/>
      </rPr>
      <t>0</t>
    </r>
    <r>
      <rPr>
        <b/>
        <sz val="10"/>
        <color theme="1"/>
        <rFont val="Arial"/>
        <family val="2"/>
      </rPr>
      <t xml:space="preserve">
(Iteration 4))in years</t>
    </r>
  </si>
  <si>
    <t>Classification
(Iteration 4)</t>
  </si>
  <si>
    <t>Hi
(Iteration 4)</t>
  </si>
  <si>
    <t>G</t>
  </si>
  <si>
    <t>L</t>
  </si>
  <si>
    <t>E</t>
  </si>
  <si>
    <t>Summation Hi</t>
  </si>
  <si>
    <t>T0*</t>
  </si>
  <si>
    <t xml:space="preserve">Since T* is found as 0.438 years, the solution lies between (T*/ √2, T* √2) Hence the solution will lie on (0.309, 0.619) yrs. i.e. (112.78, 226.09) days. Thus, according to power of two policy the time cycle for whole supply chain would be 128 days. The total cost of distribution is $22,472.8. </t>
  </si>
  <si>
    <t>√</t>
  </si>
  <si>
    <t xml:space="preserve">Note: The improved solution by using Excel solver is done in next spread sheet. </t>
  </si>
  <si>
    <t>Difference in total cost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</si>
</sst>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 #,##0.0_);_(* \(#,##0.0\);_(* &quot;-&quot;?_);_(@_)"/>
    <numFmt numFmtId="166" formatCode="0.0"/>
    <numFmt numFmtId="167" formatCode="0.000"/>
  </numFmts>
  <fonts count="8" x14ac:knownFonts="1">
    <font>
      <sz val="11"/>
      <color theme="1"/>
      <name val="Calibri"/>
      <family val="2"/>
      <scheme val="minor"/>
    </font>
    <font>
      <sz val="11"/>
      <color theme="1"/>
      <name val="Calibri"/>
      <family val="2"/>
      <scheme val="minor"/>
    </font>
    <font>
      <b/>
      <sz val="10"/>
      <color theme="1"/>
      <name val="Arial"/>
      <family val="2"/>
    </font>
    <font>
      <b/>
      <vertAlign val="subscript"/>
      <sz val="10"/>
      <color theme="1"/>
      <name val="Arial"/>
      <family val="2"/>
    </font>
    <font>
      <b/>
      <vertAlign val="superscript"/>
      <sz val="10"/>
      <color theme="1"/>
      <name val="Arial"/>
      <family val="2"/>
    </font>
    <font>
      <sz val="10"/>
      <color theme="1"/>
      <name val="Arial"/>
      <family val="2"/>
    </font>
    <font>
      <b/>
      <sz val="11"/>
      <color theme="1"/>
      <name val="Calibri"/>
      <family val="2"/>
      <scheme val="minor"/>
    </font>
    <font>
      <b/>
      <sz val="12"/>
      <color rgb="FF222222"/>
      <name val="Arial"/>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double">
        <color indexed="64"/>
      </bottom>
      <diagonal/>
    </border>
    <border>
      <left/>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s>
  <cellStyleXfs count="2">
    <xf numFmtId="0" fontId="0" fillId="0" borderId="0"/>
    <xf numFmtId="43" fontId="1" fillId="0" borderId="0" applyFont="0" applyFill="0" applyBorder="0" applyAlignment="0" applyProtection="0"/>
  </cellStyleXfs>
  <cellXfs count="121">
    <xf numFmtId="0" fontId="0" fillId="0" borderId="0" xfId="0"/>
    <xf numFmtId="166" fontId="0" fillId="0" borderId="0" xfId="0" applyNumberFormat="1"/>
    <xf numFmtId="0" fontId="2" fillId="0" borderId="0" xfId="0" applyFont="1" applyAlignment="1">
      <alignment horizontal="center" vertical="center" wrapText="1"/>
    </xf>
    <xf numFmtId="0" fontId="0" fillId="2" borderId="1" xfId="0" applyFill="1" applyBorder="1" applyAlignment="1">
      <alignment horizontal="center"/>
    </xf>
    <xf numFmtId="167" fontId="0" fillId="2" borderId="1" xfId="0" applyNumberFormat="1" applyFill="1" applyBorder="1" applyAlignment="1">
      <alignment horizontal="center"/>
    </xf>
    <xf numFmtId="0" fontId="0" fillId="0" borderId="0" xfId="0" applyBorder="1" applyAlignment="1">
      <alignment horizontal="center"/>
    </xf>
    <xf numFmtId="0" fontId="0" fillId="0" borderId="0" xfId="0" applyBorder="1"/>
    <xf numFmtId="0" fontId="0" fillId="0" borderId="1" xfId="0" applyBorder="1" applyAlignment="1">
      <alignment horizontal="center"/>
    </xf>
    <xf numFmtId="164" fontId="0" fillId="0" borderId="1" xfId="1" applyNumberFormat="1" applyFont="1" applyBorder="1" applyAlignment="1">
      <alignment horizontal="center"/>
    </xf>
    <xf numFmtId="166" fontId="0" fillId="0" borderId="1" xfId="0" applyNumberFormat="1" applyBorder="1" applyAlignment="1">
      <alignment horizontal="center"/>
    </xf>
    <xf numFmtId="165" fontId="5" fillId="0" borderId="1" xfId="0" applyNumberFormat="1" applyFont="1" applyBorder="1" applyAlignment="1">
      <alignment horizontal="center"/>
    </xf>
    <xf numFmtId="167" fontId="0" fillId="0" borderId="1" xfId="1" applyNumberFormat="1" applyFont="1" applyBorder="1" applyAlignment="1">
      <alignment horizontal="center"/>
    </xf>
    <xf numFmtId="167" fontId="0" fillId="0" borderId="1" xfId="0" applyNumberFormat="1" applyBorder="1" applyAlignment="1">
      <alignment horizontal="center"/>
    </xf>
    <xf numFmtId="0" fontId="2" fillId="0" borderId="10" xfId="0" applyFont="1" applyBorder="1" applyAlignment="1">
      <alignment horizontal="center"/>
    </xf>
    <xf numFmtId="0" fontId="2" fillId="2"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0" fillId="0" borderId="11" xfId="0" applyBorder="1" applyAlignment="1">
      <alignment horizontal="center"/>
    </xf>
    <xf numFmtId="164" fontId="0" fillId="0" borderId="11" xfId="1" applyNumberFormat="1" applyFont="1" applyBorder="1" applyAlignment="1">
      <alignment horizontal="center"/>
    </xf>
    <xf numFmtId="166" fontId="0" fillId="0" borderId="11" xfId="0" applyNumberFormat="1" applyBorder="1" applyAlignment="1">
      <alignment horizontal="center"/>
    </xf>
    <xf numFmtId="165" fontId="5" fillId="0" borderId="11" xfId="0" applyNumberFormat="1" applyFont="1" applyBorder="1" applyAlignment="1">
      <alignment horizontal="center"/>
    </xf>
    <xf numFmtId="167" fontId="0" fillId="0" borderId="11" xfId="1" applyNumberFormat="1" applyFont="1" applyBorder="1" applyAlignment="1">
      <alignment horizontal="center"/>
    </xf>
    <xf numFmtId="167" fontId="0" fillId="0" borderId="11" xfId="0" applyNumberFormat="1" applyBorder="1" applyAlignment="1">
      <alignment horizontal="center"/>
    </xf>
    <xf numFmtId="167" fontId="0" fillId="2" borderId="11" xfId="0" applyNumberFormat="1" applyFill="1" applyBorder="1" applyAlignment="1">
      <alignment horizontal="center"/>
    </xf>
    <xf numFmtId="0" fontId="0" fillId="0" borderId="12" xfId="0" applyBorder="1" applyAlignment="1">
      <alignment horizontal="center"/>
    </xf>
    <xf numFmtId="164" fontId="0" fillId="0" borderId="12" xfId="1" applyNumberFormat="1" applyFont="1" applyBorder="1" applyAlignment="1">
      <alignment horizontal="center"/>
    </xf>
    <xf numFmtId="165" fontId="0" fillId="0" borderId="12" xfId="0" applyNumberFormat="1" applyBorder="1" applyAlignment="1">
      <alignment horizontal="center"/>
    </xf>
    <xf numFmtId="0" fontId="0" fillId="2" borderId="12" xfId="0" applyFill="1" applyBorder="1" applyAlignment="1">
      <alignment horizontal="center"/>
    </xf>
    <xf numFmtId="166" fontId="0" fillId="2" borderId="12" xfId="0" applyNumberFormat="1" applyFill="1" applyBorder="1" applyAlignment="1">
      <alignment horizontal="center"/>
    </xf>
    <xf numFmtId="166" fontId="0" fillId="0" borderId="12" xfId="0" applyNumberFormat="1" applyBorder="1" applyAlignment="1">
      <alignment horizontal="center"/>
    </xf>
    <xf numFmtId="166" fontId="0" fillId="0" borderId="13" xfId="0" applyNumberFormat="1" applyBorder="1" applyAlignment="1">
      <alignment horizontal="center"/>
    </xf>
    <xf numFmtId="0" fontId="0" fillId="0" borderId="13" xfId="0" applyBorder="1"/>
    <xf numFmtId="167" fontId="0" fillId="2" borderId="10" xfId="0" applyNumberFormat="1" applyFill="1" applyBorder="1" applyAlignment="1">
      <alignment horizontal="center"/>
    </xf>
    <xf numFmtId="0" fontId="0" fillId="2" borderId="14" xfId="0" applyFont="1" applyFill="1" applyBorder="1"/>
    <xf numFmtId="0" fontId="2" fillId="2" borderId="14" xfId="0" applyFont="1" applyFill="1" applyBorder="1" applyAlignment="1">
      <alignment horizontal="center" vertical="center"/>
    </xf>
    <xf numFmtId="167" fontId="2" fillId="2" borderId="14" xfId="0" applyNumberFormat="1" applyFont="1" applyFill="1" applyBorder="1" applyAlignment="1">
      <alignment horizontal="center" vertical="center"/>
    </xf>
    <xf numFmtId="167" fontId="0" fillId="2" borderId="14" xfId="0" applyNumberFormat="1" applyFont="1" applyFill="1" applyBorder="1"/>
    <xf numFmtId="2" fontId="0" fillId="0" borderId="1" xfId="0" applyNumberFormat="1" applyBorder="1" applyAlignment="1">
      <alignment horizontal="center"/>
    </xf>
    <xf numFmtId="0" fontId="5" fillId="0" borderId="1" xfId="0" applyFont="1" applyBorder="1" applyAlignment="1">
      <alignment horizontal="center"/>
    </xf>
    <xf numFmtId="43" fontId="0" fillId="0" borderId="1" xfId="0" applyNumberFormat="1" applyBorder="1" applyAlignment="1">
      <alignment horizontal="center"/>
    </xf>
    <xf numFmtId="167" fontId="0" fillId="0" borderId="10" xfId="0" applyNumberFormat="1" applyBorder="1" applyAlignment="1">
      <alignment horizontal="center"/>
    </xf>
    <xf numFmtId="43" fontId="0" fillId="0" borderId="10" xfId="0" applyNumberFormat="1" applyBorder="1" applyAlignment="1">
      <alignment horizontal="center"/>
    </xf>
    <xf numFmtId="43" fontId="0" fillId="0" borderId="14" xfId="0" applyNumberFormat="1" applyBorder="1" applyAlignment="1">
      <alignment horizontal="center"/>
    </xf>
    <xf numFmtId="0" fontId="2" fillId="2" borderId="14" xfId="0" applyFont="1" applyFill="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12" xfId="0" applyFont="1" applyBorder="1" applyAlignment="1">
      <alignment horizontal="center" vertical="center"/>
    </xf>
    <xf numFmtId="166" fontId="0" fillId="0" borderId="12" xfId="0" applyNumberFormat="1" applyFont="1" applyBorder="1" applyAlignment="1">
      <alignment horizontal="center" vertical="center"/>
    </xf>
    <xf numFmtId="166" fontId="0" fillId="0" borderId="12" xfId="0" applyNumberFormat="1" applyBorder="1" applyAlignment="1">
      <alignment horizontal="center" vertical="center"/>
    </xf>
    <xf numFmtId="0" fontId="0" fillId="2" borderId="0" xfId="0" applyFont="1" applyFill="1" applyBorder="1" applyAlignment="1">
      <alignment horizontal="center"/>
    </xf>
    <xf numFmtId="167" fontId="0" fillId="2" borderId="0" xfId="0" applyNumberFormat="1" applyFont="1" applyFill="1" applyBorder="1" applyAlignment="1">
      <alignment horizontal="center"/>
    </xf>
    <xf numFmtId="2" fontId="0" fillId="0" borderId="1" xfId="0" applyNumberFormat="1" applyFill="1" applyBorder="1" applyAlignment="1">
      <alignment horizontal="center"/>
    </xf>
    <xf numFmtId="0" fontId="6" fillId="0" borderId="1" xfId="0" applyFont="1" applyBorder="1" applyAlignment="1">
      <alignment horizontal="center"/>
    </xf>
    <xf numFmtId="167" fontId="2" fillId="2" borderId="14" xfId="0" applyNumberFormat="1" applyFont="1" applyFill="1" applyBorder="1" applyAlignment="1">
      <alignment horizontal="center"/>
    </xf>
    <xf numFmtId="166" fontId="0" fillId="0" borderId="14" xfId="0" applyNumberFormat="1" applyBorder="1" applyAlignment="1">
      <alignment horizontal="center"/>
    </xf>
    <xf numFmtId="0" fontId="5" fillId="0" borderId="10" xfId="0" applyFont="1" applyBorder="1" applyAlignment="1">
      <alignment horizontal="center"/>
    </xf>
    <xf numFmtId="0" fontId="2" fillId="0" borderId="10" xfId="0" applyFont="1" applyBorder="1" applyAlignment="1">
      <alignment horizontal="center" wrapText="1"/>
    </xf>
    <xf numFmtId="2" fontId="0" fillId="0" borderId="11" xfId="0" applyNumberFormat="1" applyFill="1" applyBorder="1" applyAlignment="1">
      <alignment horizontal="center"/>
    </xf>
    <xf numFmtId="0" fontId="0" fillId="2" borderId="11" xfId="0" applyFill="1" applyBorder="1" applyAlignment="1">
      <alignment horizontal="center"/>
    </xf>
    <xf numFmtId="2" fontId="0" fillId="0" borderId="11" xfId="0" applyNumberFormat="1" applyBorder="1" applyAlignment="1">
      <alignment horizontal="center"/>
    </xf>
    <xf numFmtId="0" fontId="5" fillId="0" borderId="11" xfId="0" applyFont="1" applyBorder="1" applyAlignment="1">
      <alignment horizontal="center"/>
    </xf>
    <xf numFmtId="43" fontId="0" fillId="0" borderId="11" xfId="0" applyNumberFormat="1" applyBorder="1" applyAlignment="1">
      <alignment horizontal="center"/>
    </xf>
    <xf numFmtId="0" fontId="0" fillId="0" borderId="12" xfId="0" applyFont="1" applyBorder="1" applyAlignment="1">
      <alignment horizontal="center"/>
    </xf>
    <xf numFmtId="166" fontId="0" fillId="0" borderId="12" xfId="0" applyNumberFormat="1" applyFont="1" applyBorder="1" applyAlignment="1">
      <alignment horizontal="center"/>
    </xf>
    <xf numFmtId="0" fontId="6" fillId="0" borderId="1" xfId="0" applyFont="1" applyBorder="1" applyAlignment="1">
      <alignment horizontal="center" vertical="center"/>
    </xf>
    <xf numFmtId="43" fontId="6" fillId="0" borderId="14" xfId="0" applyNumberFormat="1" applyFont="1" applyBorder="1" applyAlignment="1">
      <alignment horizontal="center" vertical="center"/>
    </xf>
    <xf numFmtId="0" fontId="0" fillId="0" borderId="11" xfId="0" applyFill="1" applyBorder="1" applyAlignment="1">
      <alignment horizontal="center"/>
    </xf>
    <xf numFmtId="164" fontId="0" fillId="0" borderId="11" xfId="1" applyNumberFormat="1" applyFont="1" applyFill="1" applyBorder="1" applyAlignment="1">
      <alignment horizontal="center"/>
    </xf>
    <xf numFmtId="166" fontId="0" fillId="0" borderId="11" xfId="0" applyNumberFormat="1" applyFill="1" applyBorder="1" applyAlignment="1">
      <alignment horizontal="center"/>
    </xf>
    <xf numFmtId="165" fontId="5" fillId="0" borderId="11" xfId="0" applyNumberFormat="1" applyFont="1" applyFill="1" applyBorder="1" applyAlignment="1">
      <alignment horizontal="center"/>
    </xf>
    <xf numFmtId="167" fontId="0" fillId="0" borderId="11" xfId="1" applyNumberFormat="1" applyFont="1" applyFill="1" applyBorder="1" applyAlignment="1">
      <alignment horizontal="center"/>
    </xf>
    <xf numFmtId="167" fontId="0" fillId="0" borderId="11" xfId="0" applyNumberFormat="1" applyFill="1" applyBorder="1" applyAlignment="1">
      <alignment horizontal="center"/>
    </xf>
    <xf numFmtId="0" fontId="0" fillId="0" borderId="11" xfId="0" applyFill="1" applyBorder="1"/>
    <xf numFmtId="167" fontId="0" fillId="0" borderId="0" xfId="0" applyNumberFormat="1" applyFill="1" applyAlignment="1">
      <alignment horizontal="center"/>
    </xf>
    <xf numFmtId="2" fontId="0" fillId="0" borderId="11" xfId="0" applyNumberFormat="1" applyFill="1" applyBorder="1" applyAlignment="1">
      <alignment horizontal="center" vertical="center"/>
    </xf>
    <xf numFmtId="0" fontId="5" fillId="0" borderId="11" xfId="0" applyFont="1" applyFill="1" applyBorder="1" applyAlignment="1">
      <alignment horizontal="center" vertical="center"/>
    </xf>
    <xf numFmtId="43" fontId="0" fillId="0" borderId="11" xfId="0" applyNumberFormat="1" applyFill="1" applyBorder="1" applyAlignment="1">
      <alignment horizontal="center" vertical="center"/>
    </xf>
    <xf numFmtId="0" fontId="0" fillId="0" borderId="11" xfId="0" applyFill="1" applyBorder="1" applyAlignment="1">
      <alignment horizontal="center" vertical="center"/>
    </xf>
    <xf numFmtId="0" fontId="0" fillId="0" borderId="0" xfId="0" applyFill="1"/>
    <xf numFmtId="0" fontId="0" fillId="0" borderId="1" xfId="0" applyFill="1" applyBorder="1" applyAlignment="1">
      <alignment horizontal="center"/>
    </xf>
    <xf numFmtId="164" fontId="0" fillId="0" borderId="1" xfId="1" applyNumberFormat="1" applyFont="1" applyFill="1" applyBorder="1" applyAlignment="1">
      <alignment horizontal="center"/>
    </xf>
    <xf numFmtId="166" fontId="0" fillId="0" borderId="1" xfId="0" applyNumberFormat="1" applyFill="1" applyBorder="1" applyAlignment="1">
      <alignment horizontal="center"/>
    </xf>
    <xf numFmtId="165" fontId="5" fillId="0" borderId="1" xfId="0" applyNumberFormat="1" applyFont="1" applyFill="1" applyBorder="1" applyAlignment="1">
      <alignment horizontal="center"/>
    </xf>
    <xf numFmtId="167" fontId="0" fillId="0" borderId="1" xfId="1" applyNumberFormat="1" applyFont="1" applyFill="1" applyBorder="1" applyAlignment="1">
      <alignment horizontal="center"/>
    </xf>
    <xf numFmtId="167" fontId="0" fillId="0" borderId="1" xfId="0" applyNumberFormat="1" applyFill="1" applyBorder="1" applyAlignment="1">
      <alignment horizontal="center"/>
    </xf>
    <xf numFmtId="0" fontId="0" fillId="0" borderId="1" xfId="0" applyFill="1" applyBorder="1"/>
    <xf numFmtId="2" fontId="0" fillId="0" borderId="1" xfId="0" applyNumberFormat="1" applyFill="1" applyBorder="1" applyAlignment="1">
      <alignment horizontal="center" vertical="center"/>
    </xf>
    <xf numFmtId="0" fontId="5" fillId="0" borderId="1" xfId="0" applyFont="1" applyFill="1" applyBorder="1" applyAlignment="1">
      <alignment horizontal="center" vertical="center"/>
    </xf>
    <xf numFmtId="43"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0" xfId="0" applyFill="1" applyBorder="1"/>
    <xf numFmtId="167" fontId="0" fillId="0" borderId="10" xfId="0" applyNumberFormat="1" applyFill="1" applyBorder="1" applyAlignment="1">
      <alignment horizontal="center"/>
    </xf>
    <xf numFmtId="43" fontId="0" fillId="0" borderId="10" xfId="0" applyNumberFormat="1" applyFill="1" applyBorder="1" applyAlignment="1">
      <alignment horizontal="center" vertical="center"/>
    </xf>
    <xf numFmtId="0" fontId="2" fillId="3" borderId="10" xfId="0" applyFont="1" applyFill="1" applyBorder="1" applyAlignment="1">
      <alignment horizontal="center" vertical="center" wrapText="1"/>
    </xf>
    <xf numFmtId="0" fontId="0" fillId="3" borderId="12" xfId="0" applyFill="1" applyBorder="1" applyAlignment="1">
      <alignment horizontal="center"/>
    </xf>
    <xf numFmtId="166" fontId="0" fillId="3" borderId="12" xfId="0" applyNumberFormat="1" applyFill="1" applyBorder="1" applyAlignment="1">
      <alignment horizontal="center"/>
    </xf>
    <xf numFmtId="167" fontId="0" fillId="3" borderId="11" xfId="0" applyNumberFormat="1" applyFill="1" applyBorder="1" applyAlignment="1">
      <alignment horizontal="center"/>
    </xf>
    <xf numFmtId="167" fontId="0" fillId="3" borderId="1" xfId="0" applyNumberFormat="1" applyFill="1" applyBorder="1" applyAlignment="1">
      <alignment horizontal="center"/>
    </xf>
    <xf numFmtId="167" fontId="0" fillId="3" borderId="10" xfId="0" applyNumberFormat="1" applyFill="1" applyBorder="1" applyAlignment="1">
      <alignment horizontal="center"/>
    </xf>
    <xf numFmtId="0" fontId="0" fillId="3" borderId="0" xfId="0" applyFill="1" applyBorder="1"/>
    <xf numFmtId="0" fontId="2" fillId="3" borderId="14" xfId="0" applyFont="1" applyFill="1" applyBorder="1" applyAlignment="1">
      <alignment horizontal="center" vertical="center"/>
    </xf>
    <xf numFmtId="166" fontId="6" fillId="3" borderId="14" xfId="0" applyNumberFormat="1" applyFont="1" applyFill="1" applyBorder="1" applyAlignment="1">
      <alignment horizontal="center" vertical="center"/>
    </xf>
    <xf numFmtId="166" fontId="0" fillId="3" borderId="0" xfId="0" applyNumberFormat="1" applyFill="1" applyBorder="1"/>
    <xf numFmtId="0" fontId="0" fillId="3" borderId="0" xfId="0" applyFill="1"/>
    <xf numFmtId="167" fontId="0" fillId="3" borderId="0" xfId="0" applyNumberFormat="1" applyFill="1" applyBorder="1" applyAlignment="1">
      <alignment horizontal="center"/>
    </xf>
    <xf numFmtId="0" fontId="6" fillId="3" borderId="1" xfId="0" applyFont="1" applyFill="1" applyBorder="1" applyAlignment="1">
      <alignment horizontal="center" vertical="center"/>
    </xf>
    <xf numFmtId="167" fontId="6" fillId="3" borderId="1" xfId="0" applyNumberFormat="1" applyFont="1" applyFill="1" applyBorder="1" applyAlignment="1">
      <alignment horizontal="center" vertical="center"/>
    </xf>
    <xf numFmtId="0" fontId="7" fillId="0" borderId="0" xfId="0" applyFont="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6" fillId="0" borderId="3" xfId="0" applyFont="1" applyBorder="1" applyAlignment="1">
      <alignment horizontal="center" vertical="center" wrapText="1"/>
    </xf>
    <xf numFmtId="0" fontId="6" fillId="0" borderId="8" xfId="0" applyFont="1" applyBorder="1" applyAlignment="1">
      <alignment horizontal="center" vertical="center" wrapText="1"/>
    </xf>
    <xf numFmtId="166" fontId="6" fillId="0" borderId="5" xfId="0" applyNumberFormat="1" applyFont="1" applyBorder="1" applyAlignment="1">
      <alignment horizontal="center" vertical="center" wrapText="1"/>
    </xf>
    <xf numFmtId="166" fontId="6" fillId="0" borderId="9" xfId="0" applyNumberFormat="1"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
  <sheetViews>
    <sheetView topLeftCell="D1" zoomScaleNormal="100" workbookViewId="0">
      <selection activeCell="R27" sqref="R27"/>
    </sheetView>
  </sheetViews>
  <sheetFormatPr defaultRowHeight="14.4" x14ac:dyDescent="0.3"/>
  <cols>
    <col min="1" max="1" width="12.109375" bestFit="1" customWidth="1"/>
    <col min="2" max="2" width="7.44140625" bestFit="1" customWidth="1"/>
    <col min="3" max="3" width="6.6640625" bestFit="1" customWidth="1"/>
    <col min="4" max="4" width="8.33203125" bestFit="1" customWidth="1"/>
    <col min="5" max="5" width="7.44140625" bestFit="1" customWidth="1"/>
    <col min="6" max="6" width="13.33203125" bestFit="1" customWidth="1"/>
    <col min="7" max="7" width="19" bestFit="1" customWidth="1"/>
    <col min="8" max="8" width="8.33203125" bestFit="1" customWidth="1"/>
    <col min="9" max="9" width="8.5546875" bestFit="1" customWidth="1"/>
    <col min="10" max="11" width="8.88671875" bestFit="1" customWidth="1"/>
    <col min="12" max="12" width="18.33203125" bestFit="1" customWidth="1"/>
    <col min="13" max="13" width="17.6640625" bestFit="1" customWidth="1"/>
    <col min="14" max="14" width="15.88671875" bestFit="1" customWidth="1"/>
    <col min="15" max="15" width="16.44140625" bestFit="1" customWidth="1"/>
    <col min="16" max="16" width="18.33203125" bestFit="1" customWidth="1"/>
    <col min="17" max="17" width="17.6640625" bestFit="1" customWidth="1"/>
    <col min="18" max="18" width="15.88671875" bestFit="1" customWidth="1"/>
    <col min="19" max="19" width="8" bestFit="1" customWidth="1"/>
    <col min="20" max="20" width="13.6640625" customWidth="1"/>
    <col min="21" max="21" width="18.33203125" bestFit="1" customWidth="1"/>
    <col min="22" max="22" width="17.6640625" bestFit="1" customWidth="1"/>
    <col min="23" max="23" width="15.88671875" bestFit="1" customWidth="1"/>
    <col min="24" max="24" width="14.88671875" bestFit="1" customWidth="1"/>
    <col min="25" max="25" width="17.6640625" bestFit="1" customWidth="1"/>
    <col min="26" max="26" width="15.88671875" bestFit="1" customWidth="1"/>
  </cols>
  <sheetData>
    <row r="1" spans="1:26" ht="42.6" thickBot="1" x14ac:dyDescent="0.4">
      <c r="A1" s="13" t="s">
        <v>0</v>
      </c>
      <c r="B1" s="13" t="s">
        <v>1</v>
      </c>
      <c r="C1" s="13" t="s">
        <v>2</v>
      </c>
      <c r="D1" s="13" t="s">
        <v>3</v>
      </c>
      <c r="E1" s="13" t="s">
        <v>4</v>
      </c>
      <c r="F1" s="13" t="s">
        <v>5</v>
      </c>
      <c r="G1" s="13" t="s">
        <v>6</v>
      </c>
      <c r="H1" s="13" t="s">
        <v>7</v>
      </c>
      <c r="I1" s="13" t="s">
        <v>8</v>
      </c>
      <c r="J1" s="13" t="s">
        <v>9</v>
      </c>
      <c r="K1" s="13" t="s">
        <v>10</v>
      </c>
      <c r="L1" s="14" t="s">
        <v>11</v>
      </c>
      <c r="M1" s="14" t="s">
        <v>12</v>
      </c>
      <c r="N1" s="14" t="s">
        <v>13</v>
      </c>
      <c r="O1" s="14" t="s">
        <v>14</v>
      </c>
      <c r="P1" s="93" t="s">
        <v>15</v>
      </c>
      <c r="Q1" s="93" t="s">
        <v>16</v>
      </c>
      <c r="R1" s="93" t="s">
        <v>13</v>
      </c>
      <c r="S1" s="93" t="s">
        <v>17</v>
      </c>
      <c r="T1" s="2"/>
      <c r="U1" s="15" t="s">
        <v>18</v>
      </c>
      <c r="V1" s="15" t="s">
        <v>19</v>
      </c>
      <c r="W1" s="15" t="s">
        <v>20</v>
      </c>
      <c r="X1" s="15" t="s">
        <v>21</v>
      </c>
      <c r="Y1" s="15" t="s">
        <v>22</v>
      </c>
      <c r="Z1" s="15" t="s">
        <v>23</v>
      </c>
    </row>
    <row r="2" spans="1:26" s="30" customFormat="1" ht="15.6" thickTop="1" thickBot="1" x14ac:dyDescent="0.35">
      <c r="A2" s="23">
        <v>0</v>
      </c>
      <c r="B2" s="23">
        <v>470</v>
      </c>
      <c r="C2" s="23">
        <v>390</v>
      </c>
      <c r="D2" s="23">
        <v>1</v>
      </c>
      <c r="E2" s="24">
        <f>SUM(E3:E26)</f>
        <v>8110</v>
      </c>
      <c r="F2" s="23"/>
      <c r="G2" s="23">
        <v>400</v>
      </c>
      <c r="H2" s="23"/>
      <c r="I2" s="25">
        <f>0.5*D2*E2</f>
        <v>4055</v>
      </c>
      <c r="J2" s="23"/>
      <c r="K2" s="23"/>
      <c r="L2" s="26">
        <v>0.25</v>
      </c>
      <c r="M2" s="26"/>
      <c r="N2" s="27">
        <f>400</f>
        <v>400</v>
      </c>
      <c r="O2" s="27"/>
      <c r="P2" s="94">
        <v>0.5</v>
      </c>
      <c r="Q2" s="94"/>
      <c r="R2" s="95">
        <f>800</f>
        <v>800</v>
      </c>
      <c r="S2" s="95"/>
      <c r="T2" s="29"/>
      <c r="U2" s="45">
        <v>1</v>
      </c>
      <c r="V2" s="46"/>
      <c r="W2" s="45">
        <v>400</v>
      </c>
      <c r="X2" s="45">
        <f>2*$U$2</f>
        <v>2</v>
      </c>
      <c r="Y2" s="47"/>
      <c r="Z2" s="48">
        <v>200</v>
      </c>
    </row>
    <row r="3" spans="1:26" s="78" customFormat="1" ht="15" thickTop="1" x14ac:dyDescent="0.3">
      <c r="A3" s="66">
        <v>1</v>
      </c>
      <c r="B3" s="66">
        <v>20</v>
      </c>
      <c r="C3" s="66">
        <v>560</v>
      </c>
      <c r="D3" s="66">
        <v>10</v>
      </c>
      <c r="E3" s="67">
        <v>200</v>
      </c>
      <c r="F3" s="68">
        <f>SQRT(($B$2-B3)^2+($C$2-C3)^2)</f>
        <v>481.04053883222775</v>
      </c>
      <c r="G3" s="68">
        <f>0.32*F3+150</f>
        <v>303.93297242631286</v>
      </c>
      <c r="H3" s="69">
        <f>0.5*(D3-$D$2)*E3</f>
        <v>900</v>
      </c>
      <c r="I3" s="67">
        <f>0.5*$D$2*E3</f>
        <v>100</v>
      </c>
      <c r="J3" s="70">
        <f>SQRT(G3/(H3+I3))</f>
        <v>0.55130116309174682</v>
      </c>
      <c r="K3" s="71">
        <f>SQRT(G3/H3)</f>
        <v>0.58112245068995838</v>
      </c>
      <c r="L3" s="72"/>
      <c r="M3" s="71" t="s">
        <v>24</v>
      </c>
      <c r="N3" s="71">
        <f>2*SQRT(G3*(H3+I3))</f>
        <v>1102.6023261834937</v>
      </c>
      <c r="O3" s="71">
        <f>SQRT(G3/(H3+I3))</f>
        <v>0.55130116309174682</v>
      </c>
      <c r="P3" s="96"/>
      <c r="Q3" s="96" t="s">
        <v>24</v>
      </c>
      <c r="R3" s="96">
        <f>2*SQRT(G3*(H3+I3))</f>
        <v>1102.6023261834937</v>
      </c>
      <c r="S3" s="96">
        <f>SQRT((G3)/(H3+I3))</f>
        <v>0.55130116309174682</v>
      </c>
      <c r="T3" s="73"/>
      <c r="U3" s="74"/>
      <c r="V3" s="75" t="s">
        <v>25</v>
      </c>
      <c r="W3" s="76">
        <f>2*SQRT(G3*H3)+ (I3*$U$2)</f>
        <v>1146.0204112419253</v>
      </c>
      <c r="X3" s="77"/>
      <c r="Y3" s="75" t="s">
        <v>25</v>
      </c>
      <c r="Z3" s="76">
        <f>2*SQRT(G3*H3)+ (I3*$X$2)</f>
        <v>1246.0204112419253</v>
      </c>
    </row>
    <row r="4" spans="1:26" s="78" customFormat="1" x14ac:dyDescent="0.3">
      <c r="A4" s="79">
        <v>2</v>
      </c>
      <c r="B4" s="79">
        <v>270</v>
      </c>
      <c r="C4" s="79">
        <v>90</v>
      </c>
      <c r="D4" s="79">
        <v>10</v>
      </c>
      <c r="E4" s="80">
        <v>700</v>
      </c>
      <c r="F4" s="81">
        <f t="shared" ref="F4:F26" si="0">SQRT(($B$2-B4)^2+($C$2-C4)^2)</f>
        <v>360.55512754639892</v>
      </c>
      <c r="G4" s="81">
        <f t="shared" ref="G4:G26" si="1">0.32*F4+150</f>
        <v>265.37764081484767</v>
      </c>
      <c r="H4" s="82">
        <f t="shared" ref="H4:H26" si="2">0.5*(D4-$D$2)*E4</f>
        <v>3150</v>
      </c>
      <c r="I4" s="80">
        <f t="shared" ref="I4:I26" si="3">0.5*$D$2*E4</f>
        <v>350</v>
      </c>
      <c r="J4" s="83">
        <f t="shared" ref="J4:J26" si="4">SQRT(G4/(H4+I4))</f>
        <v>0.27535828131718948</v>
      </c>
      <c r="K4" s="84">
        <f t="shared" ref="K4:K26" si="5">SQRT(G4/H4)</f>
        <v>0.29025311385056946</v>
      </c>
      <c r="L4" s="85"/>
      <c r="M4" s="84" t="s">
        <v>24</v>
      </c>
      <c r="N4" s="84">
        <f t="shared" ref="N4:N26" si="6">2*SQRT(G4*(H4+I4))</f>
        <v>1927.5079692203267</v>
      </c>
      <c r="O4" s="84">
        <f t="shared" ref="O4:O26" si="7">SQRT(G4/(H4+I4))</f>
        <v>0.27535828131718948</v>
      </c>
      <c r="P4" s="97"/>
      <c r="Q4" s="97" t="s">
        <v>25</v>
      </c>
      <c r="R4" s="97">
        <f>2*SQRT(G4*H4)+ (I4*$P$2)</f>
        <v>2003.5946172585877</v>
      </c>
      <c r="S4" s="97">
        <f>SQRT(G4/H4)</f>
        <v>0.29025311385056946</v>
      </c>
      <c r="T4" s="73"/>
      <c r="U4" s="86"/>
      <c r="V4" s="87" t="s">
        <v>25</v>
      </c>
      <c r="W4" s="88">
        <f>2*SQRT(G4*H4)+ (I4*$U$2)</f>
        <v>2178.5946172585877</v>
      </c>
      <c r="X4" s="89"/>
      <c r="Y4" s="87" t="s">
        <v>25</v>
      </c>
      <c r="Z4" s="88">
        <f>2*SQRT(G4*H4)+ (I4*$X$2)</f>
        <v>2528.5946172585877</v>
      </c>
    </row>
    <row r="5" spans="1:26" s="78" customFormat="1" x14ac:dyDescent="0.3">
      <c r="A5" s="79">
        <v>3</v>
      </c>
      <c r="B5" s="79">
        <v>610</v>
      </c>
      <c r="C5" s="79">
        <v>430</v>
      </c>
      <c r="D5" s="79">
        <v>5</v>
      </c>
      <c r="E5" s="80">
        <v>50</v>
      </c>
      <c r="F5" s="81">
        <f t="shared" si="0"/>
        <v>145.60219778561037</v>
      </c>
      <c r="G5" s="81">
        <f t="shared" si="1"/>
        <v>196.59270329139531</v>
      </c>
      <c r="H5" s="82">
        <f t="shared" si="2"/>
        <v>100</v>
      </c>
      <c r="I5" s="80">
        <f t="shared" si="3"/>
        <v>25</v>
      </c>
      <c r="J5" s="83">
        <f t="shared" si="4"/>
        <v>1.2540899594252251</v>
      </c>
      <c r="K5" s="84">
        <f t="shared" si="5"/>
        <v>1.4021151995873782</v>
      </c>
      <c r="L5" s="85"/>
      <c r="M5" s="84" t="s">
        <v>24</v>
      </c>
      <c r="N5" s="84">
        <f t="shared" si="6"/>
        <v>313.52248985630627</v>
      </c>
      <c r="O5" s="84">
        <f t="shared" si="7"/>
        <v>1.2540899594252251</v>
      </c>
      <c r="P5" s="97"/>
      <c r="Q5" s="97" t="s">
        <v>24</v>
      </c>
      <c r="R5" s="97">
        <f t="shared" ref="R5:R6" si="8">2*SQRT(G5*(H5+I5))</f>
        <v>313.52248985630627</v>
      </c>
      <c r="S5" s="97">
        <f>SQRT((G5)/(H5+I5))</f>
        <v>1.2540899594252251</v>
      </c>
      <c r="T5" s="73"/>
      <c r="U5" s="86"/>
      <c r="V5" s="87" t="s">
        <v>24</v>
      </c>
      <c r="W5" s="88">
        <f>2*SQRT(G5*(H5+I5))</f>
        <v>313.52248985630627</v>
      </c>
      <c r="X5" s="89"/>
      <c r="Y5" s="87" t="s">
        <v>25</v>
      </c>
      <c r="Z5" s="88">
        <f>2*SQRT(G5*H5)+ (I5*$X$2)</f>
        <v>330.42303991747559</v>
      </c>
    </row>
    <row r="6" spans="1:26" s="78" customFormat="1" x14ac:dyDescent="0.3">
      <c r="A6" s="79">
        <v>4</v>
      </c>
      <c r="B6" s="79">
        <v>710</v>
      </c>
      <c r="C6" s="79">
        <v>790</v>
      </c>
      <c r="D6" s="79">
        <v>2</v>
      </c>
      <c r="E6" s="80">
        <v>20</v>
      </c>
      <c r="F6" s="81">
        <f t="shared" si="0"/>
        <v>466.47615158762403</v>
      </c>
      <c r="G6" s="81">
        <f t="shared" si="1"/>
        <v>299.27236850803968</v>
      </c>
      <c r="H6" s="82">
        <f t="shared" si="2"/>
        <v>10</v>
      </c>
      <c r="I6" s="80">
        <f t="shared" si="3"/>
        <v>10</v>
      </c>
      <c r="J6" s="83">
        <f t="shared" si="4"/>
        <v>3.8682836536895771</v>
      </c>
      <c r="K6" s="84">
        <f t="shared" si="5"/>
        <v>5.4705792061539489</v>
      </c>
      <c r="L6" s="85"/>
      <c r="M6" s="84" t="s">
        <v>24</v>
      </c>
      <c r="N6" s="84">
        <f t="shared" si="6"/>
        <v>154.73134614758308</v>
      </c>
      <c r="O6" s="84">
        <f t="shared" si="7"/>
        <v>3.8682836536895771</v>
      </c>
      <c r="P6" s="97"/>
      <c r="Q6" s="97" t="s">
        <v>24</v>
      </c>
      <c r="R6" s="97">
        <f t="shared" si="8"/>
        <v>154.73134614758308</v>
      </c>
      <c r="S6" s="97">
        <f>SQRT((G6)/(H6+I6))</f>
        <v>3.8682836536895771</v>
      </c>
      <c r="T6" s="73"/>
      <c r="U6" s="86"/>
      <c r="V6" s="87" t="s">
        <v>24</v>
      </c>
      <c r="W6" s="88">
        <f>2*SQRT(G6*(H6+I6))</f>
        <v>154.73134614758308</v>
      </c>
      <c r="X6" s="89"/>
      <c r="Y6" s="87" t="s">
        <v>24</v>
      </c>
      <c r="Z6" s="88">
        <f>2*SQRT(G6*(H6+I6))</f>
        <v>154.73134614758308</v>
      </c>
    </row>
    <row r="7" spans="1:26" s="78" customFormat="1" x14ac:dyDescent="0.3">
      <c r="A7" s="79">
        <v>5</v>
      </c>
      <c r="B7" s="79">
        <v>840</v>
      </c>
      <c r="C7" s="79">
        <v>240</v>
      </c>
      <c r="D7" s="79">
        <v>10</v>
      </c>
      <c r="E7" s="80">
        <v>300</v>
      </c>
      <c r="F7" s="81">
        <f t="shared" si="0"/>
        <v>399.24929555354259</v>
      </c>
      <c r="G7" s="81">
        <f t="shared" si="1"/>
        <v>277.75977457713361</v>
      </c>
      <c r="H7" s="82">
        <f t="shared" si="2"/>
        <v>1350</v>
      </c>
      <c r="I7" s="80">
        <f t="shared" si="3"/>
        <v>150</v>
      </c>
      <c r="J7" s="83">
        <f t="shared" si="4"/>
        <v>0.43031753746672052</v>
      </c>
      <c r="K7" s="84">
        <f t="shared" si="5"/>
        <v>0.45359451183655991</v>
      </c>
      <c r="L7" s="85"/>
      <c r="M7" s="84" t="s">
        <v>24</v>
      </c>
      <c r="N7" s="84">
        <f t="shared" si="6"/>
        <v>1290.9526124001616</v>
      </c>
      <c r="O7" s="84">
        <f t="shared" si="7"/>
        <v>0.43031753746672052</v>
      </c>
      <c r="P7" s="97"/>
      <c r="Q7" s="97" t="s">
        <v>25</v>
      </c>
      <c r="R7" s="97">
        <f>2*SQRT(G7*H7)+ (I7*$P$2)</f>
        <v>1299.7051819587118</v>
      </c>
      <c r="S7" s="97">
        <f>SQRT(G7/H7)</f>
        <v>0.45359451183655991</v>
      </c>
      <c r="T7" s="73"/>
      <c r="U7" s="86"/>
      <c r="V7" s="87" t="s">
        <v>25</v>
      </c>
      <c r="W7" s="88">
        <f>2*SQRT(G7*H7)+ (I7*$U$2)</f>
        <v>1374.7051819587118</v>
      </c>
      <c r="X7" s="89"/>
      <c r="Y7" s="87" t="s">
        <v>25</v>
      </c>
      <c r="Z7" s="88">
        <f>2*SQRT(G7*H7)+ (I7*$X$2)</f>
        <v>1524.7051819587118</v>
      </c>
    </row>
    <row r="8" spans="1:26" s="78" customFormat="1" x14ac:dyDescent="0.3">
      <c r="A8" s="79">
        <v>6</v>
      </c>
      <c r="B8" s="79">
        <v>570</v>
      </c>
      <c r="C8" s="79">
        <v>610</v>
      </c>
      <c r="D8" s="79">
        <v>2</v>
      </c>
      <c r="E8" s="80">
        <v>20</v>
      </c>
      <c r="F8" s="81">
        <f t="shared" si="0"/>
        <v>241.66091947189145</v>
      </c>
      <c r="G8" s="81">
        <f t="shared" si="1"/>
        <v>227.33149423100525</v>
      </c>
      <c r="H8" s="82">
        <f t="shared" si="2"/>
        <v>10</v>
      </c>
      <c r="I8" s="80">
        <f t="shared" si="3"/>
        <v>10</v>
      </c>
      <c r="J8" s="83">
        <f t="shared" si="4"/>
        <v>3.3714351115734473</v>
      </c>
      <c r="K8" s="84">
        <f t="shared" si="5"/>
        <v>4.7679292594480183</v>
      </c>
      <c r="L8" s="85"/>
      <c r="M8" s="84" t="s">
        <v>24</v>
      </c>
      <c r="N8" s="84">
        <f t="shared" si="6"/>
        <v>134.85740446293789</v>
      </c>
      <c r="O8" s="84">
        <f t="shared" si="7"/>
        <v>3.3714351115734473</v>
      </c>
      <c r="P8" s="97"/>
      <c r="Q8" s="97" t="s">
        <v>24</v>
      </c>
      <c r="R8" s="97">
        <f t="shared" ref="R8:R9" si="9">2*SQRT(G8*(H8+I8))</f>
        <v>134.85740446293789</v>
      </c>
      <c r="S8" s="97">
        <f>SQRT((G8)/(H8+I8))</f>
        <v>3.3714351115734473</v>
      </c>
      <c r="T8" s="73"/>
      <c r="U8" s="86"/>
      <c r="V8" s="87" t="s">
        <v>24</v>
      </c>
      <c r="W8" s="88">
        <f>2*SQRT(G8*(H8+I8))</f>
        <v>134.85740446293789</v>
      </c>
      <c r="X8" s="89"/>
      <c r="Y8" s="87" t="s">
        <v>24</v>
      </c>
      <c r="Z8" s="88">
        <f>2*SQRT(G8*(H8+I8))</f>
        <v>134.85740446293789</v>
      </c>
    </row>
    <row r="9" spans="1:26" s="78" customFormat="1" x14ac:dyDescent="0.3">
      <c r="A9" s="79">
        <v>7</v>
      </c>
      <c r="B9" s="79">
        <v>870</v>
      </c>
      <c r="C9" s="79">
        <v>620</v>
      </c>
      <c r="D9" s="79">
        <v>2</v>
      </c>
      <c r="E9" s="80">
        <v>40</v>
      </c>
      <c r="F9" s="81">
        <f t="shared" si="0"/>
        <v>461.41087980237313</v>
      </c>
      <c r="G9" s="81">
        <f t="shared" si="1"/>
        <v>297.65148153675943</v>
      </c>
      <c r="H9" s="82">
        <f t="shared" si="2"/>
        <v>20</v>
      </c>
      <c r="I9" s="80">
        <f t="shared" si="3"/>
        <v>20</v>
      </c>
      <c r="J9" s="83">
        <f t="shared" si="4"/>
        <v>2.7278722547837511</v>
      </c>
      <c r="K9" s="84">
        <f t="shared" si="5"/>
        <v>3.8577939391364557</v>
      </c>
      <c r="L9" s="85"/>
      <c r="M9" s="84" t="s">
        <v>24</v>
      </c>
      <c r="N9" s="84">
        <f t="shared" si="6"/>
        <v>218.22978038270008</v>
      </c>
      <c r="O9" s="84">
        <f t="shared" si="7"/>
        <v>2.7278722547837511</v>
      </c>
      <c r="P9" s="97"/>
      <c r="Q9" s="97" t="s">
        <v>24</v>
      </c>
      <c r="R9" s="97">
        <f t="shared" si="9"/>
        <v>218.22978038270008</v>
      </c>
      <c r="S9" s="97">
        <f>SQRT((G9)/(H9+I9))</f>
        <v>2.7278722547837511</v>
      </c>
      <c r="T9" s="73"/>
      <c r="U9" s="86"/>
      <c r="V9" s="87" t="s">
        <v>24</v>
      </c>
      <c r="W9" s="88">
        <f>2*SQRT(G9*(H9+I9))</f>
        <v>218.22978038270008</v>
      </c>
      <c r="X9" s="89"/>
      <c r="Y9" s="87" t="s">
        <v>26</v>
      </c>
      <c r="Z9" s="88">
        <f>(G9/$X$2)+((H9+I9)*$X$2)</f>
        <v>228.82574076837972</v>
      </c>
    </row>
    <row r="10" spans="1:26" s="78" customFormat="1" x14ac:dyDescent="0.3">
      <c r="A10" s="79">
        <v>8</v>
      </c>
      <c r="B10" s="79">
        <v>150</v>
      </c>
      <c r="C10" s="79">
        <v>460</v>
      </c>
      <c r="D10" s="79">
        <v>10</v>
      </c>
      <c r="E10" s="80">
        <v>500</v>
      </c>
      <c r="F10" s="81">
        <f t="shared" si="0"/>
        <v>327.56678708318401</v>
      </c>
      <c r="G10" s="81">
        <f t="shared" si="1"/>
        <v>254.8213718666189</v>
      </c>
      <c r="H10" s="82">
        <f t="shared" si="2"/>
        <v>2250</v>
      </c>
      <c r="I10" s="80">
        <f t="shared" si="3"/>
        <v>250</v>
      </c>
      <c r="J10" s="83">
        <f t="shared" si="4"/>
        <v>0.31926250758059199</v>
      </c>
      <c r="K10" s="84">
        <f t="shared" si="5"/>
        <v>0.33653223181714798</v>
      </c>
      <c r="L10" s="85"/>
      <c r="M10" s="84" t="s">
        <v>24</v>
      </c>
      <c r="N10" s="84">
        <f t="shared" si="6"/>
        <v>1596.31253790296</v>
      </c>
      <c r="O10" s="84">
        <f t="shared" si="7"/>
        <v>0.31926250758059199</v>
      </c>
      <c r="P10" s="97"/>
      <c r="Q10" s="97" t="s">
        <v>25</v>
      </c>
      <c r="R10" s="97">
        <f>2*SQRT(G10*H10)+ (I10*$P$2)</f>
        <v>1639.3950431771659</v>
      </c>
      <c r="S10" s="97">
        <f>SQRT(G10/H10)</f>
        <v>0.33653223181714798</v>
      </c>
      <c r="T10" s="73"/>
      <c r="U10" s="86"/>
      <c r="V10" s="87" t="s">
        <v>25</v>
      </c>
      <c r="W10" s="88">
        <f>2*SQRT(G10*H10)+ (I10*$U$2)</f>
        <v>1764.3950431771659</v>
      </c>
      <c r="X10" s="89"/>
      <c r="Y10" s="87" t="s">
        <v>25</v>
      </c>
      <c r="Z10" s="88">
        <f t="shared" ref="Z10:Z26" si="10">2*SQRT(G10*H10)+ (I10*$X$2)</f>
        <v>2014.3950431771659</v>
      </c>
    </row>
    <row r="11" spans="1:26" s="78" customFormat="1" x14ac:dyDescent="0.3">
      <c r="A11" s="79">
        <v>9</v>
      </c>
      <c r="B11" s="79">
        <v>990</v>
      </c>
      <c r="C11" s="79">
        <v>430</v>
      </c>
      <c r="D11" s="79">
        <v>3</v>
      </c>
      <c r="E11" s="80">
        <v>60</v>
      </c>
      <c r="F11" s="81">
        <f t="shared" si="0"/>
        <v>521.53619241621186</v>
      </c>
      <c r="G11" s="81">
        <f t="shared" si="1"/>
        <v>316.89158157318781</v>
      </c>
      <c r="H11" s="82">
        <f t="shared" si="2"/>
        <v>60</v>
      </c>
      <c r="I11" s="80">
        <f t="shared" si="3"/>
        <v>30</v>
      </c>
      <c r="J11" s="83">
        <f t="shared" si="4"/>
        <v>1.8764374684586269</v>
      </c>
      <c r="K11" s="84">
        <f t="shared" si="5"/>
        <v>2.2981571659817197</v>
      </c>
      <c r="L11" s="85"/>
      <c r="M11" s="84" t="s">
        <v>24</v>
      </c>
      <c r="N11" s="84">
        <f t="shared" si="6"/>
        <v>337.75874432255284</v>
      </c>
      <c r="O11" s="84">
        <f t="shared" si="7"/>
        <v>1.8764374684586269</v>
      </c>
      <c r="P11" s="97"/>
      <c r="Q11" s="97" t="s">
        <v>24</v>
      </c>
      <c r="R11" s="97">
        <f t="shared" ref="R11:R15" si="11">2*SQRT(G11*(H11+I11))</f>
        <v>337.75874432255284</v>
      </c>
      <c r="S11" s="97">
        <f>SQRT((G11)/(H11+I11))</f>
        <v>1.8764374684586269</v>
      </c>
      <c r="T11" s="73"/>
      <c r="U11" s="86"/>
      <c r="V11" s="87" t="s">
        <v>24</v>
      </c>
      <c r="W11" s="88">
        <f>2*SQRT(G11*(H11+I11))</f>
        <v>337.75874432255284</v>
      </c>
      <c r="X11" s="89"/>
      <c r="Y11" s="87" t="s">
        <v>25</v>
      </c>
      <c r="Z11" s="88">
        <f t="shared" si="10"/>
        <v>335.77885991780636</v>
      </c>
    </row>
    <row r="12" spans="1:26" s="78" customFormat="1" x14ac:dyDescent="0.3">
      <c r="A12" s="79">
        <v>10</v>
      </c>
      <c r="B12" s="79">
        <v>790</v>
      </c>
      <c r="C12" s="79">
        <v>290</v>
      </c>
      <c r="D12" s="79">
        <v>10</v>
      </c>
      <c r="E12" s="80">
        <v>70</v>
      </c>
      <c r="F12" s="81">
        <f t="shared" si="0"/>
        <v>335.26109228480419</v>
      </c>
      <c r="G12" s="81">
        <f t="shared" si="1"/>
        <v>257.28354953113734</v>
      </c>
      <c r="H12" s="82">
        <f t="shared" si="2"/>
        <v>315</v>
      </c>
      <c r="I12" s="80">
        <f t="shared" si="3"/>
        <v>35</v>
      </c>
      <c r="J12" s="83">
        <f t="shared" si="4"/>
        <v>0.85737731239125381</v>
      </c>
      <c r="K12" s="84">
        <f t="shared" si="5"/>
        <v>0.90375504043668919</v>
      </c>
      <c r="L12" s="85"/>
      <c r="M12" s="84" t="s">
        <v>24</v>
      </c>
      <c r="N12" s="84">
        <f t="shared" si="6"/>
        <v>600.16411867387762</v>
      </c>
      <c r="O12" s="84">
        <f t="shared" si="7"/>
        <v>0.85737731239125381</v>
      </c>
      <c r="P12" s="97"/>
      <c r="Q12" s="97" t="s">
        <v>24</v>
      </c>
      <c r="R12" s="97">
        <f t="shared" si="11"/>
        <v>600.16411867387762</v>
      </c>
      <c r="S12" s="97">
        <f>SQRT((G12)/(H12+I12))</f>
        <v>0.85737731239125381</v>
      </c>
      <c r="T12" s="73"/>
      <c r="U12" s="86"/>
      <c r="V12" s="87" t="s">
        <v>25</v>
      </c>
      <c r="W12" s="88">
        <f>2*SQRT(G12*H12)+ (I12*$U$2)</f>
        <v>604.36567547511413</v>
      </c>
      <c r="X12" s="89"/>
      <c r="Y12" s="87" t="s">
        <v>25</v>
      </c>
      <c r="Z12" s="88">
        <f t="shared" si="10"/>
        <v>639.36567547511413</v>
      </c>
    </row>
    <row r="13" spans="1:26" s="78" customFormat="1" x14ac:dyDescent="0.3">
      <c r="A13" s="79">
        <v>11</v>
      </c>
      <c r="B13" s="79">
        <v>970</v>
      </c>
      <c r="C13" s="79">
        <v>250</v>
      </c>
      <c r="D13" s="79">
        <v>3</v>
      </c>
      <c r="E13" s="80">
        <v>80</v>
      </c>
      <c r="F13" s="81">
        <f t="shared" si="0"/>
        <v>519.23019942988674</v>
      </c>
      <c r="G13" s="81">
        <f t="shared" si="1"/>
        <v>316.15366381756377</v>
      </c>
      <c r="H13" s="82">
        <f t="shared" si="2"/>
        <v>80</v>
      </c>
      <c r="I13" s="80">
        <f t="shared" si="3"/>
        <v>40</v>
      </c>
      <c r="J13" s="83">
        <f t="shared" si="4"/>
        <v>1.6231493662464846</v>
      </c>
      <c r="K13" s="84">
        <f t="shared" si="5"/>
        <v>1.9879438618128902</v>
      </c>
      <c r="L13" s="85"/>
      <c r="M13" s="84" t="s">
        <v>24</v>
      </c>
      <c r="N13" s="84">
        <f t="shared" si="6"/>
        <v>389.55584789915633</v>
      </c>
      <c r="O13" s="84">
        <f t="shared" si="7"/>
        <v>1.6231493662464846</v>
      </c>
      <c r="P13" s="97"/>
      <c r="Q13" s="97" t="s">
        <v>24</v>
      </c>
      <c r="R13" s="97">
        <f t="shared" si="11"/>
        <v>389.55584789915633</v>
      </c>
      <c r="S13" s="97">
        <f>SQRT((G13)/(H13+I13))</f>
        <v>1.6231493662464846</v>
      </c>
      <c r="T13" s="73"/>
      <c r="U13" s="86"/>
      <c r="V13" s="87" t="s">
        <v>24</v>
      </c>
      <c r="W13" s="88">
        <f>2*SQRT(G13*(H13+I13))</f>
        <v>389.55584789915633</v>
      </c>
      <c r="X13" s="89"/>
      <c r="Y13" s="87" t="s">
        <v>25</v>
      </c>
      <c r="Z13" s="88">
        <f t="shared" si="10"/>
        <v>398.07101789006242</v>
      </c>
    </row>
    <row r="14" spans="1:26" s="78" customFormat="1" x14ac:dyDescent="0.3">
      <c r="A14" s="79">
        <v>12</v>
      </c>
      <c r="B14" s="79">
        <v>650</v>
      </c>
      <c r="C14" s="79">
        <v>150</v>
      </c>
      <c r="D14" s="79">
        <v>2</v>
      </c>
      <c r="E14" s="80">
        <v>700</v>
      </c>
      <c r="F14" s="81">
        <f t="shared" si="0"/>
        <v>300</v>
      </c>
      <c r="G14" s="81">
        <f t="shared" si="1"/>
        <v>246</v>
      </c>
      <c r="H14" s="82">
        <f t="shared" si="2"/>
        <v>350</v>
      </c>
      <c r="I14" s="80">
        <f t="shared" si="3"/>
        <v>350</v>
      </c>
      <c r="J14" s="83">
        <f t="shared" si="4"/>
        <v>0.5928141120356123</v>
      </c>
      <c r="K14" s="84">
        <f t="shared" si="5"/>
        <v>0.8383657572069263</v>
      </c>
      <c r="L14" s="85"/>
      <c r="M14" s="84" t="s">
        <v>24</v>
      </c>
      <c r="N14" s="84">
        <f t="shared" si="6"/>
        <v>829.93975684985719</v>
      </c>
      <c r="O14" s="84">
        <f t="shared" si="7"/>
        <v>0.5928141120356123</v>
      </c>
      <c r="P14" s="97"/>
      <c r="Q14" s="97" t="s">
        <v>24</v>
      </c>
      <c r="R14" s="97">
        <f t="shared" si="11"/>
        <v>829.93975684985719</v>
      </c>
      <c r="S14" s="97">
        <f>SQRT((G14)/(H14+I14))</f>
        <v>0.5928141120356123</v>
      </c>
      <c r="T14" s="73"/>
      <c r="U14" s="86"/>
      <c r="V14" s="87" t="s">
        <v>25</v>
      </c>
      <c r="W14" s="88">
        <f t="shared" ref="W14:W22" si="12">2*SQRT(G14*H14)+ (I14*$U$2)</f>
        <v>936.85603004484835</v>
      </c>
      <c r="X14" s="89"/>
      <c r="Y14" s="87" t="s">
        <v>25</v>
      </c>
      <c r="Z14" s="88">
        <f t="shared" si="10"/>
        <v>1286.8560300448485</v>
      </c>
    </row>
    <row r="15" spans="1:26" s="78" customFormat="1" x14ac:dyDescent="0.3">
      <c r="A15" s="79">
        <v>13</v>
      </c>
      <c r="B15" s="79">
        <v>330</v>
      </c>
      <c r="C15" s="79">
        <v>580</v>
      </c>
      <c r="D15" s="79">
        <v>2</v>
      </c>
      <c r="E15" s="80">
        <v>900</v>
      </c>
      <c r="F15" s="81">
        <f t="shared" si="0"/>
        <v>236.00847442411893</v>
      </c>
      <c r="G15" s="81">
        <f t="shared" si="1"/>
        <v>225.52271181571805</v>
      </c>
      <c r="H15" s="82">
        <f t="shared" si="2"/>
        <v>450</v>
      </c>
      <c r="I15" s="80">
        <f t="shared" si="3"/>
        <v>450</v>
      </c>
      <c r="J15" s="83">
        <f t="shared" si="4"/>
        <v>0.50058045397953099</v>
      </c>
      <c r="K15" s="84">
        <f t="shared" si="5"/>
        <v>0.70792766707673371</v>
      </c>
      <c r="L15" s="85"/>
      <c r="M15" s="84" t="s">
        <v>24</v>
      </c>
      <c r="N15" s="84">
        <f t="shared" si="6"/>
        <v>901.04481716315581</v>
      </c>
      <c r="O15" s="84">
        <f t="shared" si="7"/>
        <v>0.50058045397953099</v>
      </c>
      <c r="P15" s="97"/>
      <c r="Q15" s="97" t="s">
        <v>24</v>
      </c>
      <c r="R15" s="97">
        <f t="shared" si="11"/>
        <v>901.04481716315581</v>
      </c>
      <c r="S15" s="97">
        <f>SQRT((G15)/(H15+I15))</f>
        <v>0.50058045397953099</v>
      </c>
      <c r="T15" s="73"/>
      <c r="U15" s="86"/>
      <c r="V15" s="87" t="s">
        <v>25</v>
      </c>
      <c r="W15" s="88">
        <f t="shared" si="12"/>
        <v>1087.1349003690602</v>
      </c>
      <c r="X15" s="89"/>
      <c r="Y15" s="87" t="s">
        <v>25</v>
      </c>
      <c r="Z15" s="88">
        <f t="shared" si="10"/>
        <v>1537.1349003690602</v>
      </c>
    </row>
    <row r="16" spans="1:26" s="78" customFormat="1" x14ac:dyDescent="0.3">
      <c r="A16" s="79">
        <v>14</v>
      </c>
      <c r="B16" s="79">
        <v>360</v>
      </c>
      <c r="C16" s="79">
        <v>910</v>
      </c>
      <c r="D16" s="79">
        <v>10</v>
      </c>
      <c r="E16" s="80">
        <v>600</v>
      </c>
      <c r="F16" s="81">
        <f t="shared" si="0"/>
        <v>531.50729063673248</v>
      </c>
      <c r="G16" s="81">
        <f t="shared" si="1"/>
        <v>320.0823330037544</v>
      </c>
      <c r="H16" s="82">
        <f t="shared" si="2"/>
        <v>2700</v>
      </c>
      <c r="I16" s="80">
        <f t="shared" si="3"/>
        <v>300</v>
      </c>
      <c r="J16" s="83">
        <f t="shared" si="4"/>
        <v>0.32664064505393609</v>
      </c>
      <c r="K16" s="84">
        <f t="shared" si="5"/>
        <v>0.3443094715856837</v>
      </c>
      <c r="L16" s="85"/>
      <c r="M16" s="84" t="s">
        <v>24</v>
      </c>
      <c r="N16" s="84">
        <f t="shared" si="6"/>
        <v>1959.8438703236166</v>
      </c>
      <c r="O16" s="84">
        <f t="shared" si="7"/>
        <v>0.32664064505393609</v>
      </c>
      <c r="P16" s="97"/>
      <c r="Q16" s="97" t="s">
        <v>25</v>
      </c>
      <c r="R16" s="97">
        <f t="shared" ref="R16:R19" si="13">2*SQRT(G16*H16)+ (I16*$P$2)</f>
        <v>2009.2711465626921</v>
      </c>
      <c r="S16" s="97">
        <f>SQRT(G16/H16)</f>
        <v>0.3443094715856837</v>
      </c>
      <c r="T16" s="73"/>
      <c r="U16" s="86"/>
      <c r="V16" s="87" t="s">
        <v>25</v>
      </c>
      <c r="W16" s="88">
        <f t="shared" si="12"/>
        <v>2159.2711465626921</v>
      </c>
      <c r="X16" s="89"/>
      <c r="Y16" s="87" t="s">
        <v>25</v>
      </c>
      <c r="Z16" s="88">
        <f t="shared" si="10"/>
        <v>2459.2711465626921</v>
      </c>
    </row>
    <row r="17" spans="1:26" s="78" customFormat="1" x14ac:dyDescent="0.3">
      <c r="A17" s="79">
        <v>15</v>
      </c>
      <c r="B17" s="79">
        <v>690</v>
      </c>
      <c r="C17" s="79">
        <v>60</v>
      </c>
      <c r="D17" s="79">
        <v>14</v>
      </c>
      <c r="E17" s="80">
        <v>500</v>
      </c>
      <c r="F17" s="81">
        <f t="shared" si="0"/>
        <v>396.61064030103881</v>
      </c>
      <c r="G17" s="81">
        <f t="shared" si="1"/>
        <v>276.9154048963324</v>
      </c>
      <c r="H17" s="82">
        <f t="shared" si="2"/>
        <v>3250</v>
      </c>
      <c r="I17" s="80">
        <f t="shared" si="3"/>
        <v>250</v>
      </c>
      <c r="J17" s="83">
        <f t="shared" si="4"/>
        <v>0.28128044210936143</v>
      </c>
      <c r="K17" s="84">
        <f t="shared" si="5"/>
        <v>0.29189850970517522</v>
      </c>
      <c r="L17" s="85"/>
      <c r="M17" s="84" t="s">
        <v>24</v>
      </c>
      <c r="N17" s="84">
        <f t="shared" si="6"/>
        <v>1968.9630947655301</v>
      </c>
      <c r="O17" s="84">
        <f t="shared" si="7"/>
        <v>0.28128044210936143</v>
      </c>
      <c r="P17" s="97"/>
      <c r="Q17" s="97" t="s">
        <v>25</v>
      </c>
      <c r="R17" s="97">
        <f t="shared" si="13"/>
        <v>2022.3403130836391</v>
      </c>
      <c r="S17" s="97">
        <f>SQRT(G17/H17)</f>
        <v>0.29189850970517522</v>
      </c>
      <c r="T17" s="73"/>
      <c r="U17" s="86"/>
      <c r="V17" s="87" t="s">
        <v>25</v>
      </c>
      <c r="W17" s="88">
        <f t="shared" si="12"/>
        <v>2147.3403130836391</v>
      </c>
      <c r="X17" s="89"/>
      <c r="Y17" s="87" t="s">
        <v>25</v>
      </c>
      <c r="Z17" s="88">
        <f t="shared" si="10"/>
        <v>2397.3403130836391</v>
      </c>
    </row>
    <row r="18" spans="1:26" s="78" customFormat="1" x14ac:dyDescent="0.3">
      <c r="A18" s="79">
        <v>16</v>
      </c>
      <c r="B18" s="79">
        <v>500</v>
      </c>
      <c r="C18" s="79">
        <v>50</v>
      </c>
      <c r="D18" s="79">
        <v>5</v>
      </c>
      <c r="E18" s="80">
        <v>1200</v>
      </c>
      <c r="F18" s="81">
        <f t="shared" si="0"/>
        <v>341.32096331752024</v>
      </c>
      <c r="G18" s="81">
        <f t="shared" si="1"/>
        <v>259.2227082616065</v>
      </c>
      <c r="H18" s="82">
        <f t="shared" si="2"/>
        <v>2400</v>
      </c>
      <c r="I18" s="80">
        <f t="shared" si="3"/>
        <v>600</v>
      </c>
      <c r="J18" s="83">
        <f t="shared" si="4"/>
        <v>0.29395164469778956</v>
      </c>
      <c r="K18" s="84">
        <f t="shared" si="5"/>
        <v>0.3286479298210615</v>
      </c>
      <c r="L18" s="85"/>
      <c r="M18" s="84" t="s">
        <v>24</v>
      </c>
      <c r="N18" s="84">
        <f t="shared" si="6"/>
        <v>1763.7098681867374</v>
      </c>
      <c r="O18" s="84">
        <f t="shared" si="7"/>
        <v>0.29395164469778956</v>
      </c>
      <c r="P18" s="97"/>
      <c r="Q18" s="97" t="s">
        <v>25</v>
      </c>
      <c r="R18" s="97">
        <f t="shared" si="13"/>
        <v>1877.5100631410953</v>
      </c>
      <c r="S18" s="97">
        <f>SQRT(G18/H18)</f>
        <v>0.3286479298210615</v>
      </c>
      <c r="T18" s="73"/>
      <c r="U18" s="86"/>
      <c r="V18" s="87" t="s">
        <v>25</v>
      </c>
      <c r="W18" s="88">
        <f t="shared" si="12"/>
        <v>2177.5100631410951</v>
      </c>
      <c r="X18" s="89"/>
      <c r="Y18" s="87" t="s">
        <v>25</v>
      </c>
      <c r="Z18" s="88">
        <f t="shared" si="10"/>
        <v>2777.5100631410951</v>
      </c>
    </row>
    <row r="19" spans="1:26" s="78" customFormat="1" x14ac:dyDescent="0.3">
      <c r="A19" s="79">
        <v>17</v>
      </c>
      <c r="B19" s="79">
        <v>570</v>
      </c>
      <c r="C19" s="79">
        <v>680</v>
      </c>
      <c r="D19" s="79">
        <v>10</v>
      </c>
      <c r="E19" s="80">
        <v>600</v>
      </c>
      <c r="F19" s="81">
        <f t="shared" si="0"/>
        <v>306.75723300355935</v>
      </c>
      <c r="G19" s="81">
        <f t="shared" si="1"/>
        <v>248.162314561139</v>
      </c>
      <c r="H19" s="82">
        <f t="shared" si="2"/>
        <v>2700</v>
      </c>
      <c r="I19" s="80">
        <f t="shared" si="3"/>
        <v>300</v>
      </c>
      <c r="J19" s="83">
        <f t="shared" si="4"/>
        <v>0.28761218945027289</v>
      </c>
      <c r="K19" s="84">
        <f t="shared" si="5"/>
        <v>0.30316986716357119</v>
      </c>
      <c r="L19" s="85"/>
      <c r="M19" s="84" t="s">
        <v>24</v>
      </c>
      <c r="N19" s="84">
        <f t="shared" si="6"/>
        <v>1725.6731367016375</v>
      </c>
      <c r="O19" s="84">
        <f t="shared" si="7"/>
        <v>0.28761218945027289</v>
      </c>
      <c r="P19" s="97"/>
      <c r="Q19" s="97" t="s">
        <v>25</v>
      </c>
      <c r="R19" s="97">
        <f t="shared" si="13"/>
        <v>1787.1172826832844</v>
      </c>
      <c r="S19" s="97">
        <f>SQRT(G19/H19)</f>
        <v>0.30316986716357119</v>
      </c>
      <c r="T19" s="73"/>
      <c r="U19" s="86"/>
      <c r="V19" s="87" t="s">
        <v>25</v>
      </c>
      <c r="W19" s="88">
        <f t="shared" si="12"/>
        <v>1937.1172826832844</v>
      </c>
      <c r="X19" s="89"/>
      <c r="Y19" s="87" t="s">
        <v>25</v>
      </c>
      <c r="Z19" s="88">
        <f t="shared" si="10"/>
        <v>2237.1172826832844</v>
      </c>
    </row>
    <row r="20" spans="1:26" s="78" customFormat="1" x14ac:dyDescent="0.3">
      <c r="A20" s="79">
        <v>18</v>
      </c>
      <c r="B20" s="79">
        <v>370</v>
      </c>
      <c r="C20" s="79">
        <v>800</v>
      </c>
      <c r="D20" s="79">
        <v>3</v>
      </c>
      <c r="E20" s="80">
        <v>300</v>
      </c>
      <c r="F20" s="81">
        <f t="shared" si="0"/>
        <v>422.01895692018388</v>
      </c>
      <c r="G20" s="81">
        <f t="shared" si="1"/>
        <v>285.04606621445885</v>
      </c>
      <c r="H20" s="82">
        <f t="shared" si="2"/>
        <v>300</v>
      </c>
      <c r="I20" s="80">
        <f t="shared" si="3"/>
        <v>150</v>
      </c>
      <c r="J20" s="83">
        <f t="shared" si="4"/>
        <v>0.79588673986868097</v>
      </c>
      <c r="K20" s="84">
        <f t="shared" si="5"/>
        <v>0.97475820286273873</v>
      </c>
      <c r="L20" s="85"/>
      <c r="M20" s="84" t="s">
        <v>24</v>
      </c>
      <c r="N20" s="84">
        <f t="shared" si="6"/>
        <v>716.29806588181282</v>
      </c>
      <c r="O20" s="84">
        <f t="shared" si="7"/>
        <v>0.79588673986868097</v>
      </c>
      <c r="P20" s="97"/>
      <c r="Q20" s="97" t="s">
        <v>24</v>
      </c>
      <c r="R20" s="97">
        <f>2*SQRT(G20*(H20+I20))</f>
        <v>716.29806588181282</v>
      </c>
      <c r="S20" s="97">
        <f>SQRT((G20)/(H20+I20))</f>
        <v>0.79588673986868097</v>
      </c>
      <c r="T20" s="73"/>
      <c r="U20" s="86"/>
      <c r="V20" s="87" t="s">
        <v>25</v>
      </c>
      <c r="W20" s="88">
        <f t="shared" si="12"/>
        <v>734.85492171764326</v>
      </c>
      <c r="X20" s="89"/>
      <c r="Y20" s="87" t="s">
        <v>25</v>
      </c>
      <c r="Z20" s="88">
        <f t="shared" si="10"/>
        <v>884.85492171764326</v>
      </c>
    </row>
    <row r="21" spans="1:26" s="78" customFormat="1" x14ac:dyDescent="0.3">
      <c r="A21" s="79">
        <v>19</v>
      </c>
      <c r="B21" s="79">
        <v>370</v>
      </c>
      <c r="C21" s="79">
        <v>560</v>
      </c>
      <c r="D21" s="79">
        <v>5</v>
      </c>
      <c r="E21" s="80">
        <v>400</v>
      </c>
      <c r="F21" s="81">
        <f t="shared" si="0"/>
        <v>197.23082923316019</v>
      </c>
      <c r="G21" s="81">
        <f t="shared" si="1"/>
        <v>213.11386535461128</v>
      </c>
      <c r="H21" s="82">
        <f t="shared" si="2"/>
        <v>800</v>
      </c>
      <c r="I21" s="80">
        <f t="shared" si="3"/>
        <v>200</v>
      </c>
      <c r="J21" s="83">
        <f t="shared" si="4"/>
        <v>0.46164257316089391</v>
      </c>
      <c r="K21" s="84">
        <f t="shared" si="5"/>
        <v>0.51613208744783934</v>
      </c>
      <c r="L21" s="85"/>
      <c r="M21" s="84" t="s">
        <v>24</v>
      </c>
      <c r="N21" s="84">
        <f t="shared" si="6"/>
        <v>923.28514632178781</v>
      </c>
      <c r="O21" s="84">
        <f t="shared" si="7"/>
        <v>0.46164257316089391</v>
      </c>
      <c r="P21" s="97"/>
      <c r="Q21" s="97" t="s">
        <v>26</v>
      </c>
      <c r="R21" s="97">
        <f>(G21/$P$2)+((H21+I21)*$P$2)</f>
        <v>926.22773070922256</v>
      </c>
      <c r="S21" s="97">
        <f>$P$2</f>
        <v>0.5</v>
      </c>
      <c r="T21" s="73"/>
      <c r="U21" s="86"/>
      <c r="V21" s="87" t="s">
        <v>25</v>
      </c>
      <c r="W21" s="88">
        <f t="shared" si="12"/>
        <v>1025.8113399165429</v>
      </c>
      <c r="X21" s="89"/>
      <c r="Y21" s="87" t="s">
        <v>25</v>
      </c>
      <c r="Z21" s="88">
        <f t="shared" si="10"/>
        <v>1225.8113399165429</v>
      </c>
    </row>
    <row r="22" spans="1:26" s="78" customFormat="1" x14ac:dyDescent="0.3">
      <c r="A22" s="79">
        <v>20</v>
      </c>
      <c r="B22" s="79">
        <v>570</v>
      </c>
      <c r="C22" s="79">
        <v>470</v>
      </c>
      <c r="D22" s="79">
        <v>4</v>
      </c>
      <c r="E22" s="80">
        <v>500</v>
      </c>
      <c r="F22" s="81">
        <f t="shared" si="0"/>
        <v>128.06248474865697</v>
      </c>
      <c r="G22" s="81">
        <f t="shared" si="1"/>
        <v>190.97999511957022</v>
      </c>
      <c r="H22" s="82">
        <f t="shared" si="2"/>
        <v>750</v>
      </c>
      <c r="I22" s="80">
        <f t="shared" si="3"/>
        <v>250</v>
      </c>
      <c r="J22" s="83">
        <f t="shared" si="4"/>
        <v>0.43701258004726845</v>
      </c>
      <c r="K22" s="84">
        <f t="shared" si="5"/>
        <v>0.50461866145908663</v>
      </c>
      <c r="L22" s="85"/>
      <c r="M22" s="84" t="s">
        <v>24</v>
      </c>
      <c r="N22" s="84">
        <f t="shared" si="6"/>
        <v>874.02516009453689</v>
      </c>
      <c r="O22" s="84">
        <f t="shared" si="7"/>
        <v>0.43701258004726845</v>
      </c>
      <c r="P22" s="97"/>
      <c r="Q22" s="97" t="s">
        <v>26</v>
      </c>
      <c r="R22" s="97">
        <f>(G22/$P$2)+((H22+I22)*$P$2)</f>
        <v>881.95999023914044</v>
      </c>
      <c r="S22" s="97">
        <f>$P$2</f>
        <v>0.5</v>
      </c>
      <c r="T22" s="73"/>
      <c r="U22" s="86"/>
      <c r="V22" s="87" t="s">
        <v>25</v>
      </c>
      <c r="W22" s="88">
        <f t="shared" si="12"/>
        <v>1006.9279921886299</v>
      </c>
      <c r="X22" s="89"/>
      <c r="Y22" s="87" t="s">
        <v>25</v>
      </c>
      <c r="Z22" s="88">
        <f t="shared" si="10"/>
        <v>1256.92799218863</v>
      </c>
    </row>
    <row r="23" spans="1:26" s="78" customFormat="1" x14ac:dyDescent="0.3">
      <c r="A23" s="79">
        <v>21</v>
      </c>
      <c r="B23" s="79">
        <v>630</v>
      </c>
      <c r="C23" s="79">
        <v>320</v>
      </c>
      <c r="D23" s="79">
        <v>3</v>
      </c>
      <c r="E23" s="80">
        <v>50</v>
      </c>
      <c r="F23" s="81">
        <f t="shared" si="0"/>
        <v>174.64249196572982</v>
      </c>
      <c r="G23" s="81">
        <f t="shared" si="1"/>
        <v>205.88559742903354</v>
      </c>
      <c r="H23" s="82">
        <f t="shared" si="2"/>
        <v>50</v>
      </c>
      <c r="I23" s="80">
        <f t="shared" si="3"/>
        <v>25</v>
      </c>
      <c r="J23" s="83">
        <f t="shared" si="4"/>
        <v>1.6568467940801832</v>
      </c>
      <c r="K23" s="84">
        <f t="shared" si="5"/>
        <v>2.0292146137313005</v>
      </c>
      <c r="L23" s="85"/>
      <c r="M23" s="84" t="s">
        <v>24</v>
      </c>
      <c r="N23" s="84">
        <f t="shared" si="6"/>
        <v>248.52701911202746</v>
      </c>
      <c r="O23" s="84">
        <f t="shared" si="7"/>
        <v>1.6568467940801832</v>
      </c>
      <c r="P23" s="97"/>
      <c r="Q23" s="97" t="s">
        <v>24</v>
      </c>
      <c r="R23" s="97">
        <f t="shared" ref="R23:R26" si="14">2*SQRT(G23*(H23+I23))</f>
        <v>248.52701911202746</v>
      </c>
      <c r="S23" s="97">
        <f>SQRT((G23)/(H23+I23))</f>
        <v>1.6568467940801832</v>
      </c>
      <c r="T23" s="73"/>
      <c r="U23" s="86"/>
      <c r="V23" s="87" t="s">
        <v>24</v>
      </c>
      <c r="W23" s="88">
        <f>2*SQRT(G23*(H23+I23))</f>
        <v>248.52701911202746</v>
      </c>
      <c r="X23" s="89"/>
      <c r="Y23" s="87" t="s">
        <v>25</v>
      </c>
      <c r="Z23" s="88">
        <f t="shared" si="10"/>
        <v>252.92146137313006</v>
      </c>
    </row>
    <row r="24" spans="1:26" s="78" customFormat="1" x14ac:dyDescent="0.3">
      <c r="A24" s="79">
        <v>22</v>
      </c>
      <c r="B24" s="79">
        <v>340</v>
      </c>
      <c r="C24" s="79">
        <v>440</v>
      </c>
      <c r="D24" s="79">
        <v>5</v>
      </c>
      <c r="E24" s="80">
        <v>100</v>
      </c>
      <c r="F24" s="81">
        <f t="shared" si="0"/>
        <v>139.28388277184121</v>
      </c>
      <c r="G24" s="81">
        <f t="shared" si="1"/>
        <v>194.57084248698919</v>
      </c>
      <c r="H24" s="82">
        <f t="shared" si="2"/>
        <v>200</v>
      </c>
      <c r="I24" s="80">
        <f t="shared" si="3"/>
        <v>50</v>
      </c>
      <c r="J24" s="83">
        <f t="shared" si="4"/>
        <v>0.88220370093757638</v>
      </c>
      <c r="K24" s="84">
        <f t="shared" si="5"/>
        <v>0.98633372264915786</v>
      </c>
      <c r="L24" s="85"/>
      <c r="M24" s="84" t="s">
        <v>24</v>
      </c>
      <c r="N24" s="84">
        <f t="shared" si="6"/>
        <v>441.1018504687882</v>
      </c>
      <c r="O24" s="84">
        <f t="shared" si="7"/>
        <v>0.88220370093757638</v>
      </c>
      <c r="P24" s="97"/>
      <c r="Q24" s="97" t="s">
        <v>24</v>
      </c>
      <c r="R24" s="97">
        <f t="shared" si="14"/>
        <v>441.1018504687882</v>
      </c>
      <c r="S24" s="97">
        <f>SQRT((G24)/(H24+I24))</f>
        <v>0.88220370093757638</v>
      </c>
      <c r="T24" s="73"/>
      <c r="U24" s="86"/>
      <c r="V24" s="87" t="s">
        <v>25</v>
      </c>
      <c r="W24" s="88">
        <f>2*SQRT(G24*H24)+ (I24*$U$2)</f>
        <v>444.53348905966317</v>
      </c>
      <c r="X24" s="89"/>
      <c r="Y24" s="87" t="s">
        <v>25</v>
      </c>
      <c r="Z24" s="88">
        <f t="shared" si="10"/>
        <v>494.53348905966317</v>
      </c>
    </row>
    <row r="25" spans="1:26" s="78" customFormat="1" x14ac:dyDescent="0.3">
      <c r="A25" s="79">
        <v>23</v>
      </c>
      <c r="B25" s="79">
        <v>510</v>
      </c>
      <c r="C25" s="79">
        <v>380</v>
      </c>
      <c r="D25" s="79">
        <v>3</v>
      </c>
      <c r="E25" s="80">
        <v>70</v>
      </c>
      <c r="F25" s="81">
        <f t="shared" si="0"/>
        <v>41.231056256176608</v>
      </c>
      <c r="G25" s="81">
        <f t="shared" si="1"/>
        <v>163.19393800197651</v>
      </c>
      <c r="H25" s="82">
        <f t="shared" si="2"/>
        <v>70</v>
      </c>
      <c r="I25" s="80">
        <f t="shared" si="3"/>
        <v>35</v>
      </c>
      <c r="J25" s="83">
        <f t="shared" si="4"/>
        <v>1.2466868014746946</v>
      </c>
      <c r="K25" s="84">
        <f t="shared" si="5"/>
        <v>1.5268732663377165</v>
      </c>
      <c r="L25" s="85"/>
      <c r="M25" s="84" t="s">
        <v>24</v>
      </c>
      <c r="N25" s="84">
        <f t="shared" si="6"/>
        <v>261.80422830968587</v>
      </c>
      <c r="O25" s="84">
        <f t="shared" si="7"/>
        <v>1.2466868014746946</v>
      </c>
      <c r="P25" s="97"/>
      <c r="Q25" s="97" t="s">
        <v>24</v>
      </c>
      <c r="R25" s="97">
        <f t="shared" si="14"/>
        <v>261.80422830968587</v>
      </c>
      <c r="S25" s="97">
        <f>SQRT((G25)/(H25+I25))</f>
        <v>1.2466868014746946</v>
      </c>
      <c r="T25" s="73"/>
      <c r="U25" s="86"/>
      <c r="V25" s="87" t="s">
        <v>24</v>
      </c>
      <c r="W25" s="88">
        <f>2*SQRT(G25*(H25+I25))</f>
        <v>261.80422830968587</v>
      </c>
      <c r="X25" s="89"/>
      <c r="Y25" s="87" t="s">
        <v>25</v>
      </c>
      <c r="Z25" s="88">
        <f t="shared" si="10"/>
        <v>283.76225728728031</v>
      </c>
    </row>
    <row r="26" spans="1:26" s="78" customFormat="1" ht="15" thickBot="1" x14ac:dyDescent="0.35">
      <c r="A26" s="79">
        <v>24</v>
      </c>
      <c r="B26" s="79">
        <v>400</v>
      </c>
      <c r="C26" s="79">
        <v>600</v>
      </c>
      <c r="D26" s="79">
        <v>5</v>
      </c>
      <c r="E26" s="80">
        <v>150</v>
      </c>
      <c r="F26" s="81">
        <f t="shared" si="0"/>
        <v>221.35943621178654</v>
      </c>
      <c r="G26" s="81">
        <f t="shared" si="1"/>
        <v>220.83501958777168</v>
      </c>
      <c r="H26" s="82">
        <f t="shared" si="2"/>
        <v>300</v>
      </c>
      <c r="I26" s="80">
        <f t="shared" si="3"/>
        <v>75</v>
      </c>
      <c r="J26" s="83">
        <f t="shared" si="4"/>
        <v>0.76739389205765196</v>
      </c>
      <c r="K26" s="84">
        <f t="shared" si="5"/>
        <v>0.85797245407952283</v>
      </c>
      <c r="L26" s="90"/>
      <c r="M26" s="91" t="s">
        <v>24</v>
      </c>
      <c r="N26" s="91">
        <f t="shared" si="6"/>
        <v>575.54541904323901</v>
      </c>
      <c r="O26" s="91">
        <f t="shared" si="7"/>
        <v>0.76739389205765196</v>
      </c>
      <c r="P26" s="97"/>
      <c r="Q26" s="97" t="s">
        <v>24</v>
      </c>
      <c r="R26" s="98">
        <f t="shared" si="14"/>
        <v>575.54541904323901</v>
      </c>
      <c r="S26" s="97">
        <f>SQRT((G26)/(H26+I26))</f>
        <v>0.76739389205765196</v>
      </c>
      <c r="T26" s="73"/>
      <c r="U26" s="86"/>
      <c r="V26" s="87" t="s">
        <v>25</v>
      </c>
      <c r="W26" s="92">
        <f>2*SQRT(G26*H26)+ (I26*$U$2)</f>
        <v>589.78347244771373</v>
      </c>
      <c r="X26" s="89"/>
      <c r="Y26" s="87" t="s">
        <v>25</v>
      </c>
      <c r="Z26" s="92">
        <f t="shared" si="10"/>
        <v>664.78347244771373</v>
      </c>
    </row>
    <row r="27" spans="1:26" ht="15" thickTop="1" x14ac:dyDescent="0.3">
      <c r="A27" s="6"/>
      <c r="B27" s="6"/>
      <c r="C27" s="6"/>
      <c r="D27" s="6"/>
      <c r="E27" s="6"/>
      <c r="F27" s="6"/>
      <c r="G27" s="6"/>
      <c r="H27" s="6"/>
      <c r="I27" s="6"/>
      <c r="J27" s="6"/>
      <c r="K27" s="6"/>
      <c r="L27" s="32"/>
      <c r="M27" s="33" t="s">
        <v>27</v>
      </c>
      <c r="N27" s="34">
        <f>SUM(N2:N26)</f>
        <v>21655.956610674475</v>
      </c>
      <c r="O27" s="35"/>
      <c r="P27" s="99"/>
      <c r="Q27" s="100" t="s">
        <v>27</v>
      </c>
      <c r="R27" s="101">
        <f>SUM(R2:R26)</f>
        <v>22472.804583570723</v>
      </c>
      <c r="S27" s="102"/>
      <c r="T27" s="1"/>
      <c r="U27" s="44"/>
      <c r="V27" s="33" t="s">
        <v>27</v>
      </c>
      <c r="W27" s="65">
        <f>SUM(W2:W26)</f>
        <v>23774.208740819271</v>
      </c>
      <c r="X27" s="43"/>
      <c r="Y27" s="33" t="s">
        <v>27</v>
      </c>
      <c r="Z27" s="65">
        <f>SUM(Z2:Z26)</f>
        <v>27494.593008090971</v>
      </c>
    </row>
    <row r="28" spans="1:26" x14ac:dyDescent="0.3">
      <c r="P28" s="103"/>
      <c r="Q28" s="103"/>
      <c r="R28" s="104"/>
      <c r="S28" s="103"/>
    </row>
    <row r="29" spans="1:26" x14ac:dyDescent="0.3">
      <c r="P29" s="103"/>
      <c r="Q29" s="103"/>
      <c r="R29" s="103"/>
      <c r="S29" s="103"/>
    </row>
    <row r="30" spans="1:26" x14ac:dyDescent="0.3">
      <c r="P30" s="103"/>
      <c r="Q30" s="105" t="s">
        <v>28</v>
      </c>
      <c r="R30" s="106">
        <f>SQRT((G21+G22+G2)/((H21+I21+H22+I22)+(I4+I7+I10+I16+I17+I18+I19)))</f>
        <v>0.43755104749105495</v>
      </c>
      <c r="S30" s="103"/>
    </row>
    <row r="31" spans="1:26" ht="15" thickBot="1" x14ac:dyDescent="0.35"/>
    <row r="32" spans="1:26" x14ac:dyDescent="0.3">
      <c r="P32" s="108" t="s">
        <v>29</v>
      </c>
      <c r="Q32" s="109"/>
      <c r="R32" s="109"/>
      <c r="S32" s="109"/>
      <c r="T32" s="110"/>
    </row>
    <row r="33" spans="8:20" x14ac:dyDescent="0.3">
      <c r="P33" s="111"/>
      <c r="Q33" s="112"/>
      <c r="R33" s="112"/>
      <c r="S33" s="112"/>
      <c r="T33" s="113"/>
    </row>
    <row r="34" spans="8:20" x14ac:dyDescent="0.3">
      <c r="P34" s="111"/>
      <c r="Q34" s="112"/>
      <c r="R34" s="112"/>
      <c r="S34" s="112"/>
      <c r="T34" s="113"/>
    </row>
    <row r="35" spans="8:20" x14ac:dyDescent="0.3">
      <c r="P35" s="111"/>
      <c r="Q35" s="112"/>
      <c r="R35" s="112"/>
      <c r="S35" s="112"/>
      <c r="T35" s="113"/>
    </row>
    <row r="36" spans="8:20" x14ac:dyDescent="0.3">
      <c r="P36" s="111"/>
      <c r="Q36" s="112"/>
      <c r="R36" s="112"/>
      <c r="S36" s="112"/>
      <c r="T36" s="113"/>
    </row>
    <row r="37" spans="8:20" x14ac:dyDescent="0.3">
      <c r="P37" s="111"/>
      <c r="Q37" s="112"/>
      <c r="R37" s="112"/>
      <c r="S37" s="112"/>
      <c r="T37" s="113"/>
    </row>
    <row r="38" spans="8:20" x14ac:dyDescent="0.3">
      <c r="P38" s="111"/>
      <c r="Q38" s="112"/>
      <c r="R38" s="112"/>
      <c r="S38" s="112"/>
      <c r="T38" s="113"/>
    </row>
    <row r="39" spans="8:20" ht="15.6" x14ac:dyDescent="0.3">
      <c r="H39" s="107" t="s">
        <v>30</v>
      </c>
      <c r="P39" s="111"/>
      <c r="Q39" s="112"/>
      <c r="R39" s="112"/>
      <c r="S39" s="112"/>
      <c r="T39" s="113"/>
    </row>
    <row r="40" spans="8:20" x14ac:dyDescent="0.3">
      <c r="P40" s="111"/>
      <c r="Q40" s="112"/>
      <c r="R40" s="112"/>
      <c r="S40" s="112"/>
      <c r="T40" s="113"/>
    </row>
    <row r="41" spans="8:20" ht="15" thickBot="1" x14ac:dyDescent="0.35">
      <c r="P41" s="114" t="s">
        <v>31</v>
      </c>
      <c r="Q41" s="115"/>
      <c r="R41" s="115"/>
      <c r="S41" s="115"/>
      <c r="T41" s="116"/>
    </row>
  </sheetData>
  <autoFilter ref="A1:Z27" xr:uid="{00000000-0009-0000-0000-000000000000}"/>
  <mergeCells count="2">
    <mergeCell ref="P32:T40"/>
    <mergeCell ref="P41:T4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2"/>
  <sheetViews>
    <sheetView tabSelected="1" zoomScaleNormal="100" workbookViewId="0">
      <selection activeCell="K31" sqref="K31"/>
    </sheetView>
  </sheetViews>
  <sheetFormatPr defaultRowHeight="14.4" x14ac:dyDescent="0.3"/>
  <cols>
    <col min="1" max="1" width="12.109375" bestFit="1" customWidth="1"/>
    <col min="2" max="2" width="7.44140625" bestFit="1" customWidth="1"/>
    <col min="3" max="3" width="6.6640625" bestFit="1" customWidth="1"/>
    <col min="4" max="4" width="8.33203125" bestFit="1" customWidth="1"/>
    <col min="5" max="5" width="7.44140625" bestFit="1" customWidth="1"/>
    <col min="6" max="6" width="13.33203125" bestFit="1" customWidth="1"/>
    <col min="7" max="7" width="19" bestFit="1" customWidth="1"/>
    <col min="8" max="8" width="8.33203125" bestFit="1" customWidth="1"/>
    <col min="9" max="9" width="8.5546875" bestFit="1" customWidth="1"/>
    <col min="10" max="11" width="8.88671875" bestFit="1" customWidth="1"/>
    <col min="12" max="12" width="13.6640625" bestFit="1" customWidth="1"/>
    <col min="13" max="13" width="17.6640625" bestFit="1" customWidth="1"/>
    <col min="14" max="14" width="13.6640625" bestFit="1" customWidth="1"/>
    <col min="15" max="15" width="12.109375" bestFit="1" customWidth="1"/>
    <col min="16" max="16" width="14.88671875" bestFit="1" customWidth="1"/>
    <col min="17" max="17" width="17.6640625" bestFit="1" customWidth="1"/>
    <col min="18" max="19" width="13.6640625" bestFit="1" customWidth="1"/>
    <col min="20" max="20" width="17.6640625" bestFit="1" customWidth="1"/>
    <col min="21" max="22" width="13.6640625" bestFit="1" customWidth="1"/>
    <col min="23" max="23" width="17.6640625" bestFit="1" customWidth="1"/>
    <col min="24" max="24" width="13.6640625" bestFit="1" customWidth="1"/>
  </cols>
  <sheetData>
    <row r="1" spans="1:24" ht="43.8" thickBot="1" x14ac:dyDescent="0.4">
      <c r="A1" s="13" t="s">
        <v>0</v>
      </c>
      <c r="B1" s="13" t="s">
        <v>1</v>
      </c>
      <c r="C1" s="13" t="s">
        <v>2</v>
      </c>
      <c r="D1" s="13" t="s">
        <v>3</v>
      </c>
      <c r="E1" s="13" t="s">
        <v>4</v>
      </c>
      <c r="F1" s="13" t="s">
        <v>5</v>
      </c>
      <c r="G1" s="13" t="s">
        <v>6</v>
      </c>
      <c r="H1" s="13" t="s">
        <v>7</v>
      </c>
      <c r="I1" s="13" t="s">
        <v>8</v>
      </c>
      <c r="J1" s="13" t="s">
        <v>9</v>
      </c>
      <c r="K1" s="13" t="s">
        <v>10</v>
      </c>
      <c r="L1" s="14" t="s">
        <v>11</v>
      </c>
      <c r="M1" s="14" t="s">
        <v>12</v>
      </c>
      <c r="N1" s="14" t="s">
        <v>13</v>
      </c>
      <c r="O1" s="14" t="s">
        <v>14</v>
      </c>
      <c r="P1" s="15" t="s">
        <v>15</v>
      </c>
      <c r="Q1" s="15" t="s">
        <v>16</v>
      </c>
      <c r="R1" s="15" t="s">
        <v>13</v>
      </c>
      <c r="S1" s="15" t="s">
        <v>18</v>
      </c>
      <c r="T1" s="15" t="s">
        <v>19</v>
      </c>
      <c r="U1" s="15" t="s">
        <v>20</v>
      </c>
      <c r="V1" s="56" t="s">
        <v>21</v>
      </c>
      <c r="W1" s="56" t="s">
        <v>22</v>
      </c>
      <c r="X1" s="56" t="s">
        <v>23</v>
      </c>
    </row>
    <row r="2" spans="1:24" ht="15.6" thickTop="1" thickBot="1" x14ac:dyDescent="0.35">
      <c r="A2" s="23">
        <v>0</v>
      </c>
      <c r="B2" s="23">
        <v>470</v>
      </c>
      <c r="C2" s="23">
        <v>390</v>
      </c>
      <c r="D2" s="23">
        <v>1</v>
      </c>
      <c r="E2" s="24">
        <f>SUM(E3:E26)</f>
        <v>8110</v>
      </c>
      <c r="F2" s="23"/>
      <c r="G2" s="23">
        <v>400</v>
      </c>
      <c r="H2" s="23"/>
      <c r="I2" s="25">
        <f>0.5*D2*E2</f>
        <v>4055</v>
      </c>
      <c r="J2" s="23"/>
      <c r="K2" s="23"/>
      <c r="L2" s="26">
        <v>0.25</v>
      </c>
      <c r="M2" s="26"/>
      <c r="N2" s="27">
        <f>400</f>
        <v>400</v>
      </c>
      <c r="O2" s="27"/>
      <c r="P2" s="94">
        <v>0.31018196239257173</v>
      </c>
      <c r="Q2" s="23"/>
      <c r="R2" s="28">
        <v>800</v>
      </c>
      <c r="S2" s="23">
        <v>1</v>
      </c>
      <c r="T2" s="62"/>
      <c r="U2" s="23">
        <v>400</v>
      </c>
      <c r="V2" s="23">
        <f>2*$S$2</f>
        <v>2</v>
      </c>
      <c r="W2" s="63"/>
      <c r="X2" s="28">
        <v>200</v>
      </c>
    </row>
    <row r="3" spans="1:24" ht="15" thickTop="1" x14ac:dyDescent="0.3">
      <c r="A3" s="16">
        <v>1</v>
      </c>
      <c r="B3" s="16">
        <v>20</v>
      </c>
      <c r="C3" s="16">
        <v>560</v>
      </c>
      <c r="D3" s="16">
        <v>10</v>
      </c>
      <c r="E3" s="17">
        <v>200</v>
      </c>
      <c r="F3" s="18">
        <f>SQRT(($B$2-B3)^2+($C$2-C3)^2)</f>
        <v>481.04053883222775</v>
      </c>
      <c r="G3" s="57">
        <f>0.32*F3+150</f>
        <v>303.93297242631286</v>
      </c>
      <c r="H3" s="19">
        <f>0.5*(D3-$D$2)*E3</f>
        <v>900</v>
      </c>
      <c r="I3" s="17">
        <f>0.5*$D$2*E3</f>
        <v>100</v>
      </c>
      <c r="J3" s="20">
        <f>SQRT(G3/(H3+I3))</f>
        <v>0.55130116309174682</v>
      </c>
      <c r="K3" s="21">
        <f>SQRT(G3/H3)</f>
        <v>0.58112245068995838</v>
      </c>
      <c r="L3" s="58"/>
      <c r="M3" s="22" t="s">
        <v>24</v>
      </c>
      <c r="N3" s="22">
        <f>2*SQRT(G3*(H3+I3))</f>
        <v>1102.6023261834937</v>
      </c>
      <c r="O3" s="22">
        <f>SQRT(G3/(H3+I3))</f>
        <v>0.55130116309174682</v>
      </c>
      <c r="P3" s="21"/>
      <c r="Q3" s="21" t="s">
        <v>24</v>
      </c>
      <c r="R3" s="21">
        <f>2*SQRT(G3*(H3+I3))</f>
        <v>1102.6023261834937</v>
      </c>
      <c r="S3" s="59"/>
      <c r="T3" s="60" t="s">
        <v>25</v>
      </c>
      <c r="U3" s="61">
        <f>2*SQRT(G3*H3)+ (I3*$S$2)</f>
        <v>1146.0204112419253</v>
      </c>
      <c r="V3" s="16"/>
      <c r="W3" s="60" t="s">
        <v>25</v>
      </c>
      <c r="X3" s="61">
        <f>2*SQRT(G3*H3)+ (I3*$V$2)</f>
        <v>1246.0204112419253</v>
      </c>
    </row>
    <row r="4" spans="1:24" x14ac:dyDescent="0.3">
      <c r="A4" s="7">
        <v>2</v>
      </c>
      <c r="B4" s="7">
        <v>270</v>
      </c>
      <c r="C4" s="7">
        <v>90</v>
      </c>
      <c r="D4" s="7">
        <v>10</v>
      </c>
      <c r="E4" s="8">
        <v>700</v>
      </c>
      <c r="F4" s="9">
        <f t="shared" ref="F4:F26" si="0">SQRT(($B$2-B4)^2+($C$2-C4)^2)</f>
        <v>360.55512754639892</v>
      </c>
      <c r="G4" s="51">
        <f t="shared" ref="G4:G26" si="1">0.32*F4+150</f>
        <v>265.37764081484767</v>
      </c>
      <c r="H4" s="10">
        <f t="shared" ref="H4:H26" si="2">0.5*(D4-$D$2)*E4</f>
        <v>3150</v>
      </c>
      <c r="I4" s="8">
        <f t="shared" ref="I4:I26" si="3">0.5*$D$2*E4</f>
        <v>350</v>
      </c>
      <c r="J4" s="11">
        <f t="shared" ref="J4:J26" si="4">SQRT(G4/(H4+I4))</f>
        <v>0.27535828131718948</v>
      </c>
      <c r="K4" s="12">
        <f t="shared" ref="K4:K26" si="5">SQRT(G4/H4)</f>
        <v>0.29025311385056946</v>
      </c>
      <c r="L4" s="3"/>
      <c r="M4" s="4" t="s">
        <v>24</v>
      </c>
      <c r="N4" s="4">
        <f t="shared" ref="N4:N26" si="6">2*SQRT(G4*(H4+I4))</f>
        <v>1927.5079692203267</v>
      </c>
      <c r="O4" s="4">
        <f t="shared" ref="O4:O26" si="7">SQRT(G4/(H4+I4))</f>
        <v>0.27535828131718948</v>
      </c>
      <c r="P4" s="12"/>
      <c r="Q4" s="12" t="s">
        <v>25</v>
      </c>
      <c r="R4" s="12">
        <f>2*SQRT(G4*H4)+ (I4*$P$2)</f>
        <v>1937.1583040959879</v>
      </c>
      <c r="S4" s="36"/>
      <c r="T4" s="37" t="s">
        <v>25</v>
      </c>
      <c r="U4" s="38">
        <f>2*SQRT(G4*H4)+ (I4*$S$2)</f>
        <v>2178.5946172585877</v>
      </c>
      <c r="V4" s="7"/>
      <c r="W4" s="37" t="s">
        <v>25</v>
      </c>
      <c r="X4" s="38">
        <f>2*SQRT(G4*H4)+ (I4*$V$2)</f>
        <v>2528.5946172585877</v>
      </c>
    </row>
    <row r="5" spans="1:24" x14ac:dyDescent="0.3">
      <c r="A5" s="7">
        <v>3</v>
      </c>
      <c r="B5" s="7">
        <v>610</v>
      </c>
      <c r="C5" s="7">
        <v>430</v>
      </c>
      <c r="D5" s="7">
        <v>5</v>
      </c>
      <c r="E5" s="8">
        <v>50</v>
      </c>
      <c r="F5" s="9">
        <f t="shared" si="0"/>
        <v>145.60219778561037</v>
      </c>
      <c r="G5" s="51">
        <f t="shared" si="1"/>
        <v>196.59270329139531</v>
      </c>
      <c r="H5" s="10">
        <f t="shared" si="2"/>
        <v>100</v>
      </c>
      <c r="I5" s="8">
        <f t="shared" si="3"/>
        <v>25</v>
      </c>
      <c r="J5" s="11">
        <f t="shared" si="4"/>
        <v>1.2540899594252251</v>
      </c>
      <c r="K5" s="12">
        <f t="shared" si="5"/>
        <v>1.4021151995873782</v>
      </c>
      <c r="L5" s="3"/>
      <c r="M5" s="4" t="s">
        <v>24</v>
      </c>
      <c r="N5" s="4">
        <f t="shared" si="6"/>
        <v>313.52248985630627</v>
      </c>
      <c r="O5" s="4">
        <f t="shared" si="7"/>
        <v>1.2540899594252251</v>
      </c>
      <c r="P5" s="12"/>
      <c r="Q5" s="12" t="s">
        <v>24</v>
      </c>
      <c r="R5" s="12">
        <f t="shared" ref="R5:R6" si="8">2*SQRT(G5*(H5+I5))</f>
        <v>313.52248985630627</v>
      </c>
      <c r="S5" s="36"/>
      <c r="T5" s="37" t="s">
        <v>24</v>
      </c>
      <c r="U5" s="38">
        <f>2*SQRT(G5*(H5+I5))</f>
        <v>313.52248985630627</v>
      </c>
      <c r="V5" s="7"/>
      <c r="W5" s="37" t="s">
        <v>25</v>
      </c>
      <c r="X5" s="38">
        <f>2*SQRT(G5*H5)+ (I5*$V$2)</f>
        <v>330.42303991747559</v>
      </c>
    </row>
    <row r="6" spans="1:24" x14ac:dyDescent="0.3">
      <c r="A6" s="7">
        <v>4</v>
      </c>
      <c r="B6" s="7">
        <v>710</v>
      </c>
      <c r="C6" s="7">
        <v>790</v>
      </c>
      <c r="D6" s="7">
        <v>2</v>
      </c>
      <c r="E6" s="8">
        <v>20</v>
      </c>
      <c r="F6" s="9">
        <f t="shared" si="0"/>
        <v>466.47615158762403</v>
      </c>
      <c r="G6" s="51">
        <f t="shared" si="1"/>
        <v>299.27236850803968</v>
      </c>
      <c r="H6" s="10">
        <f t="shared" si="2"/>
        <v>10</v>
      </c>
      <c r="I6" s="8">
        <f t="shared" si="3"/>
        <v>10</v>
      </c>
      <c r="J6" s="11">
        <f t="shared" si="4"/>
        <v>3.8682836536895771</v>
      </c>
      <c r="K6" s="12">
        <f t="shared" si="5"/>
        <v>5.4705792061539489</v>
      </c>
      <c r="L6" s="3"/>
      <c r="M6" s="4" t="s">
        <v>24</v>
      </c>
      <c r="N6" s="4">
        <f t="shared" si="6"/>
        <v>154.73134614758308</v>
      </c>
      <c r="O6" s="4">
        <f t="shared" si="7"/>
        <v>3.8682836536895771</v>
      </c>
      <c r="P6" s="12"/>
      <c r="Q6" s="12" t="s">
        <v>24</v>
      </c>
      <c r="R6" s="12">
        <f t="shared" si="8"/>
        <v>154.73134614758308</v>
      </c>
      <c r="S6" s="36"/>
      <c r="T6" s="37" t="s">
        <v>24</v>
      </c>
      <c r="U6" s="38">
        <f>2*SQRT(G6*(H6+I6))</f>
        <v>154.73134614758308</v>
      </c>
      <c r="V6" s="7"/>
      <c r="W6" s="37" t="s">
        <v>24</v>
      </c>
      <c r="X6" s="38">
        <f>2*SQRT(G6*(H6+I6))</f>
        <v>154.73134614758308</v>
      </c>
    </row>
    <row r="7" spans="1:24" x14ac:dyDescent="0.3">
      <c r="A7" s="7">
        <v>5</v>
      </c>
      <c r="B7" s="7">
        <v>840</v>
      </c>
      <c r="C7" s="7">
        <v>240</v>
      </c>
      <c r="D7" s="7">
        <v>10</v>
      </c>
      <c r="E7" s="8">
        <v>300</v>
      </c>
      <c r="F7" s="9">
        <f t="shared" si="0"/>
        <v>399.24929555354259</v>
      </c>
      <c r="G7" s="51">
        <f t="shared" si="1"/>
        <v>277.75977457713361</v>
      </c>
      <c r="H7" s="10">
        <f t="shared" si="2"/>
        <v>1350</v>
      </c>
      <c r="I7" s="8">
        <f t="shared" si="3"/>
        <v>150</v>
      </c>
      <c r="J7" s="11">
        <f t="shared" si="4"/>
        <v>0.43031753746672052</v>
      </c>
      <c r="K7" s="12">
        <f t="shared" si="5"/>
        <v>0.45359451183655991</v>
      </c>
      <c r="L7" s="3"/>
      <c r="M7" s="4" t="s">
        <v>24</v>
      </c>
      <c r="N7" s="4">
        <f t="shared" si="6"/>
        <v>1290.9526124001616</v>
      </c>
      <c r="O7" s="4">
        <f t="shared" si="7"/>
        <v>0.43031753746672052</v>
      </c>
      <c r="P7" s="12"/>
      <c r="Q7" s="12" t="s">
        <v>25</v>
      </c>
      <c r="R7" s="12">
        <f>2*SQRT(G7*H7)+ (I7*$P$2)</f>
        <v>1271.2324763175975</v>
      </c>
      <c r="S7" s="36"/>
      <c r="T7" s="37" t="s">
        <v>25</v>
      </c>
      <c r="U7" s="38">
        <f>2*SQRT(G7*H7)+ (I7*$S$2)</f>
        <v>1374.7051819587118</v>
      </c>
      <c r="V7" s="7"/>
      <c r="W7" s="37" t="s">
        <v>25</v>
      </c>
      <c r="X7" s="38">
        <f>2*SQRT(G7*H7)+ (I7*$V$2)</f>
        <v>1524.7051819587118</v>
      </c>
    </row>
    <row r="8" spans="1:24" x14ac:dyDescent="0.3">
      <c r="A8" s="7">
        <v>6</v>
      </c>
      <c r="B8" s="7">
        <v>570</v>
      </c>
      <c r="C8" s="7">
        <v>610</v>
      </c>
      <c r="D8" s="7">
        <v>2</v>
      </c>
      <c r="E8" s="8">
        <v>20</v>
      </c>
      <c r="F8" s="9">
        <f t="shared" si="0"/>
        <v>241.66091947189145</v>
      </c>
      <c r="G8" s="51">
        <f t="shared" si="1"/>
        <v>227.33149423100525</v>
      </c>
      <c r="H8" s="10">
        <f t="shared" si="2"/>
        <v>10</v>
      </c>
      <c r="I8" s="8">
        <f t="shared" si="3"/>
        <v>10</v>
      </c>
      <c r="J8" s="11">
        <f t="shared" si="4"/>
        <v>3.3714351115734473</v>
      </c>
      <c r="K8" s="12">
        <f t="shared" si="5"/>
        <v>4.7679292594480183</v>
      </c>
      <c r="L8" s="3"/>
      <c r="M8" s="4" t="s">
        <v>24</v>
      </c>
      <c r="N8" s="4">
        <f t="shared" si="6"/>
        <v>134.85740446293789</v>
      </c>
      <c r="O8" s="4">
        <f t="shared" si="7"/>
        <v>3.3714351115734473</v>
      </c>
      <c r="P8" s="12"/>
      <c r="Q8" s="12" t="s">
        <v>24</v>
      </c>
      <c r="R8" s="12">
        <f t="shared" ref="R8:R9" si="9">2*SQRT(G8*(H8+I8))</f>
        <v>134.85740446293789</v>
      </c>
      <c r="S8" s="36"/>
      <c r="T8" s="37" t="s">
        <v>24</v>
      </c>
      <c r="U8" s="38">
        <f>2*SQRT(G8*(H8+I8))</f>
        <v>134.85740446293789</v>
      </c>
      <c r="V8" s="7"/>
      <c r="W8" s="37" t="s">
        <v>24</v>
      </c>
      <c r="X8" s="38">
        <f>2*SQRT(G8*(H8+I8))</f>
        <v>134.85740446293789</v>
      </c>
    </row>
    <row r="9" spans="1:24" x14ac:dyDescent="0.3">
      <c r="A9" s="7">
        <v>7</v>
      </c>
      <c r="B9" s="7">
        <v>870</v>
      </c>
      <c r="C9" s="7">
        <v>620</v>
      </c>
      <c r="D9" s="7">
        <v>2</v>
      </c>
      <c r="E9" s="8">
        <v>40</v>
      </c>
      <c r="F9" s="9">
        <f t="shared" si="0"/>
        <v>461.41087980237313</v>
      </c>
      <c r="G9" s="51">
        <f t="shared" si="1"/>
        <v>297.65148153675943</v>
      </c>
      <c r="H9" s="10">
        <f t="shared" si="2"/>
        <v>20</v>
      </c>
      <c r="I9" s="8">
        <f t="shared" si="3"/>
        <v>20</v>
      </c>
      <c r="J9" s="11">
        <f t="shared" si="4"/>
        <v>2.7278722547837511</v>
      </c>
      <c r="K9" s="12">
        <f t="shared" si="5"/>
        <v>3.8577939391364557</v>
      </c>
      <c r="L9" s="3"/>
      <c r="M9" s="4" t="s">
        <v>24</v>
      </c>
      <c r="N9" s="4">
        <f t="shared" si="6"/>
        <v>218.22978038270008</v>
      </c>
      <c r="O9" s="4">
        <f t="shared" si="7"/>
        <v>2.7278722547837511</v>
      </c>
      <c r="P9" s="12"/>
      <c r="Q9" s="12" t="s">
        <v>24</v>
      </c>
      <c r="R9" s="12">
        <f t="shared" si="9"/>
        <v>218.22978038270008</v>
      </c>
      <c r="S9" s="36"/>
      <c r="T9" s="37" t="s">
        <v>24</v>
      </c>
      <c r="U9" s="38">
        <f>2*SQRT(G9*(H9+I9))</f>
        <v>218.22978038270008</v>
      </c>
      <c r="V9" s="7"/>
      <c r="W9" s="37" t="s">
        <v>26</v>
      </c>
      <c r="X9" s="38">
        <f>(G9/$V$2)+((H9+I9)*$V$2)</f>
        <v>228.82574076837972</v>
      </c>
    </row>
    <row r="10" spans="1:24" x14ac:dyDescent="0.3">
      <c r="A10" s="7">
        <v>8</v>
      </c>
      <c r="B10" s="7">
        <v>150</v>
      </c>
      <c r="C10" s="7">
        <v>460</v>
      </c>
      <c r="D10" s="7">
        <v>10</v>
      </c>
      <c r="E10" s="8">
        <v>500</v>
      </c>
      <c r="F10" s="9">
        <f t="shared" si="0"/>
        <v>327.56678708318401</v>
      </c>
      <c r="G10" s="51">
        <f t="shared" si="1"/>
        <v>254.8213718666189</v>
      </c>
      <c r="H10" s="10">
        <f t="shared" si="2"/>
        <v>2250</v>
      </c>
      <c r="I10" s="8">
        <f t="shared" si="3"/>
        <v>250</v>
      </c>
      <c r="J10" s="11">
        <f t="shared" si="4"/>
        <v>0.31926250758059199</v>
      </c>
      <c r="K10" s="12">
        <f t="shared" si="5"/>
        <v>0.33653223181714798</v>
      </c>
      <c r="L10" s="3"/>
      <c r="M10" s="4" t="s">
        <v>24</v>
      </c>
      <c r="N10" s="4">
        <f t="shared" si="6"/>
        <v>1596.31253790296</v>
      </c>
      <c r="O10" s="4">
        <f t="shared" si="7"/>
        <v>0.31926250758059199</v>
      </c>
      <c r="P10" s="12"/>
      <c r="Q10" s="12" t="s">
        <v>25</v>
      </c>
      <c r="R10" s="12">
        <f>2*SQRT(G10*H10)+ (I10*$P$2)</f>
        <v>1591.9405337753089</v>
      </c>
      <c r="S10" s="36"/>
      <c r="T10" s="37" t="s">
        <v>25</v>
      </c>
      <c r="U10" s="38">
        <f>2*SQRT(G10*H10)+ (I10*$S$2)</f>
        <v>1764.3950431771659</v>
      </c>
      <c r="V10" s="7"/>
      <c r="W10" s="37" t="s">
        <v>25</v>
      </c>
      <c r="X10" s="38">
        <f t="shared" ref="X10:X26" si="10">2*SQRT(G10*H10)+ (I10*$V$2)</f>
        <v>2014.3950431771659</v>
      </c>
    </row>
    <row r="11" spans="1:24" x14ac:dyDescent="0.3">
      <c r="A11" s="7">
        <v>9</v>
      </c>
      <c r="B11" s="7">
        <v>990</v>
      </c>
      <c r="C11" s="7">
        <v>430</v>
      </c>
      <c r="D11" s="7">
        <v>3</v>
      </c>
      <c r="E11" s="8">
        <v>60</v>
      </c>
      <c r="F11" s="9">
        <f t="shared" si="0"/>
        <v>521.53619241621186</v>
      </c>
      <c r="G11" s="51">
        <f t="shared" si="1"/>
        <v>316.89158157318781</v>
      </c>
      <c r="H11" s="10">
        <f t="shared" si="2"/>
        <v>60</v>
      </c>
      <c r="I11" s="8">
        <f t="shared" si="3"/>
        <v>30</v>
      </c>
      <c r="J11" s="11">
        <f t="shared" si="4"/>
        <v>1.8764374684586269</v>
      </c>
      <c r="K11" s="12">
        <f t="shared" si="5"/>
        <v>2.2981571659817197</v>
      </c>
      <c r="L11" s="3"/>
      <c r="M11" s="4" t="s">
        <v>24</v>
      </c>
      <c r="N11" s="4">
        <f t="shared" si="6"/>
        <v>337.75874432255284</v>
      </c>
      <c r="O11" s="4">
        <f t="shared" si="7"/>
        <v>1.8764374684586269</v>
      </c>
      <c r="P11" s="12"/>
      <c r="Q11" s="12" t="s">
        <v>24</v>
      </c>
      <c r="R11" s="12">
        <f t="shared" ref="R11:R15" si="11">2*SQRT(G11*(H11+I11))</f>
        <v>337.75874432255284</v>
      </c>
      <c r="S11" s="36"/>
      <c r="T11" s="37" t="s">
        <v>24</v>
      </c>
      <c r="U11" s="38">
        <f>2*SQRT(G11*(H11+I11))</f>
        <v>337.75874432255284</v>
      </c>
      <c r="V11" s="7"/>
      <c r="W11" s="37" t="s">
        <v>25</v>
      </c>
      <c r="X11" s="38">
        <f t="shared" si="10"/>
        <v>335.77885991780636</v>
      </c>
    </row>
    <row r="12" spans="1:24" x14ac:dyDescent="0.3">
      <c r="A12" s="7">
        <v>10</v>
      </c>
      <c r="B12" s="7">
        <v>790</v>
      </c>
      <c r="C12" s="7">
        <v>290</v>
      </c>
      <c r="D12" s="7">
        <v>10</v>
      </c>
      <c r="E12" s="8">
        <v>70</v>
      </c>
      <c r="F12" s="9">
        <f t="shared" si="0"/>
        <v>335.26109228480419</v>
      </c>
      <c r="G12" s="51">
        <f t="shared" si="1"/>
        <v>257.28354953113734</v>
      </c>
      <c r="H12" s="10">
        <f t="shared" si="2"/>
        <v>315</v>
      </c>
      <c r="I12" s="8">
        <f t="shared" si="3"/>
        <v>35</v>
      </c>
      <c r="J12" s="11">
        <f t="shared" si="4"/>
        <v>0.85737731239125381</v>
      </c>
      <c r="K12" s="12">
        <f t="shared" si="5"/>
        <v>0.90375504043668919</v>
      </c>
      <c r="L12" s="3"/>
      <c r="M12" s="4" t="s">
        <v>24</v>
      </c>
      <c r="N12" s="4">
        <f t="shared" si="6"/>
        <v>600.16411867387762</v>
      </c>
      <c r="O12" s="4">
        <f t="shared" si="7"/>
        <v>0.85737731239125381</v>
      </c>
      <c r="P12" s="12"/>
      <c r="Q12" s="12" t="s">
        <v>24</v>
      </c>
      <c r="R12" s="12">
        <f t="shared" si="11"/>
        <v>600.16411867387762</v>
      </c>
      <c r="S12" s="36"/>
      <c r="T12" s="37" t="s">
        <v>25</v>
      </c>
      <c r="U12" s="38">
        <f>2*SQRT(G12*H12)+ (I12*$S$2)</f>
        <v>604.36567547511413</v>
      </c>
      <c r="V12" s="7"/>
      <c r="W12" s="37" t="s">
        <v>25</v>
      </c>
      <c r="X12" s="38">
        <f t="shared" si="10"/>
        <v>639.36567547511413</v>
      </c>
    </row>
    <row r="13" spans="1:24" x14ac:dyDescent="0.3">
      <c r="A13" s="7">
        <v>11</v>
      </c>
      <c r="B13" s="7">
        <v>970</v>
      </c>
      <c r="C13" s="7">
        <v>250</v>
      </c>
      <c r="D13" s="7">
        <v>3</v>
      </c>
      <c r="E13" s="8">
        <v>80</v>
      </c>
      <c r="F13" s="9">
        <f t="shared" si="0"/>
        <v>519.23019942988674</v>
      </c>
      <c r="G13" s="51">
        <f t="shared" si="1"/>
        <v>316.15366381756377</v>
      </c>
      <c r="H13" s="10">
        <f t="shared" si="2"/>
        <v>80</v>
      </c>
      <c r="I13" s="8">
        <f t="shared" si="3"/>
        <v>40</v>
      </c>
      <c r="J13" s="11">
        <f t="shared" si="4"/>
        <v>1.6231493662464846</v>
      </c>
      <c r="K13" s="12">
        <f t="shared" si="5"/>
        <v>1.9879438618128902</v>
      </c>
      <c r="L13" s="3"/>
      <c r="M13" s="4" t="s">
        <v>24</v>
      </c>
      <c r="N13" s="4">
        <f t="shared" si="6"/>
        <v>389.55584789915633</v>
      </c>
      <c r="O13" s="4">
        <f t="shared" si="7"/>
        <v>1.6231493662464846</v>
      </c>
      <c r="P13" s="12"/>
      <c r="Q13" s="12" t="s">
        <v>24</v>
      </c>
      <c r="R13" s="12">
        <f t="shared" si="11"/>
        <v>389.55584789915633</v>
      </c>
      <c r="S13" s="36"/>
      <c r="T13" s="37" t="s">
        <v>24</v>
      </c>
      <c r="U13" s="38">
        <f>2*SQRT(G13*(H13+I13))</f>
        <v>389.55584789915633</v>
      </c>
      <c r="V13" s="7"/>
      <c r="W13" s="37" t="s">
        <v>25</v>
      </c>
      <c r="X13" s="38">
        <f t="shared" si="10"/>
        <v>398.07101789006242</v>
      </c>
    </row>
    <row r="14" spans="1:24" x14ac:dyDescent="0.3">
      <c r="A14" s="7">
        <v>12</v>
      </c>
      <c r="B14" s="7">
        <v>650</v>
      </c>
      <c r="C14" s="7">
        <v>150</v>
      </c>
      <c r="D14" s="7">
        <v>2</v>
      </c>
      <c r="E14" s="8">
        <v>700</v>
      </c>
      <c r="F14" s="9">
        <f t="shared" si="0"/>
        <v>300</v>
      </c>
      <c r="G14" s="51">
        <f t="shared" si="1"/>
        <v>246</v>
      </c>
      <c r="H14" s="10">
        <f t="shared" si="2"/>
        <v>350</v>
      </c>
      <c r="I14" s="8">
        <f t="shared" si="3"/>
        <v>350</v>
      </c>
      <c r="J14" s="11">
        <f t="shared" si="4"/>
        <v>0.5928141120356123</v>
      </c>
      <c r="K14" s="12">
        <f t="shared" si="5"/>
        <v>0.8383657572069263</v>
      </c>
      <c r="L14" s="3"/>
      <c r="M14" s="4" t="s">
        <v>24</v>
      </c>
      <c r="N14" s="4">
        <f t="shared" si="6"/>
        <v>829.93975684985719</v>
      </c>
      <c r="O14" s="4">
        <f t="shared" si="7"/>
        <v>0.5928141120356123</v>
      </c>
      <c r="P14" s="12"/>
      <c r="Q14" s="12" t="s">
        <v>24</v>
      </c>
      <c r="R14" s="12">
        <f t="shared" si="11"/>
        <v>829.93975684985719</v>
      </c>
      <c r="S14" s="36"/>
      <c r="T14" s="37" t="s">
        <v>25</v>
      </c>
      <c r="U14" s="38">
        <f t="shared" ref="U14:U22" si="12">2*SQRT(G14*H14)+ (I14*$S$2)</f>
        <v>936.85603004484835</v>
      </c>
      <c r="V14" s="7"/>
      <c r="W14" s="37" t="s">
        <v>25</v>
      </c>
      <c r="X14" s="38">
        <f t="shared" si="10"/>
        <v>1286.8560300448485</v>
      </c>
    </row>
    <row r="15" spans="1:24" x14ac:dyDescent="0.3">
      <c r="A15" s="7">
        <v>13</v>
      </c>
      <c r="B15" s="7">
        <v>330</v>
      </c>
      <c r="C15" s="7">
        <v>580</v>
      </c>
      <c r="D15" s="7">
        <v>2</v>
      </c>
      <c r="E15" s="8">
        <v>900</v>
      </c>
      <c r="F15" s="9">
        <f t="shared" si="0"/>
        <v>236.00847442411893</v>
      </c>
      <c r="G15" s="51">
        <f t="shared" si="1"/>
        <v>225.52271181571805</v>
      </c>
      <c r="H15" s="10">
        <f t="shared" si="2"/>
        <v>450</v>
      </c>
      <c r="I15" s="8">
        <f t="shared" si="3"/>
        <v>450</v>
      </c>
      <c r="J15" s="11">
        <f t="shared" si="4"/>
        <v>0.50058045397953099</v>
      </c>
      <c r="K15" s="12">
        <f t="shared" si="5"/>
        <v>0.70792766707673371</v>
      </c>
      <c r="L15" s="3"/>
      <c r="M15" s="4" t="s">
        <v>24</v>
      </c>
      <c r="N15" s="4">
        <f t="shared" si="6"/>
        <v>901.04481716315581</v>
      </c>
      <c r="O15" s="4">
        <f t="shared" si="7"/>
        <v>0.50058045397953099</v>
      </c>
      <c r="P15" s="12"/>
      <c r="Q15" s="12" t="s">
        <v>24</v>
      </c>
      <c r="R15" s="12">
        <f t="shared" si="11"/>
        <v>901.04481716315581</v>
      </c>
      <c r="S15" s="36"/>
      <c r="T15" s="37" t="s">
        <v>25</v>
      </c>
      <c r="U15" s="38">
        <f t="shared" si="12"/>
        <v>1087.1349003690602</v>
      </c>
      <c r="V15" s="7"/>
      <c r="W15" s="37" t="s">
        <v>25</v>
      </c>
      <c r="X15" s="38">
        <f t="shared" si="10"/>
        <v>1537.1349003690602</v>
      </c>
    </row>
    <row r="16" spans="1:24" x14ac:dyDescent="0.3">
      <c r="A16" s="7">
        <v>14</v>
      </c>
      <c r="B16" s="7">
        <v>360</v>
      </c>
      <c r="C16" s="7">
        <v>910</v>
      </c>
      <c r="D16" s="7">
        <v>10</v>
      </c>
      <c r="E16" s="8">
        <v>600</v>
      </c>
      <c r="F16" s="9">
        <f t="shared" si="0"/>
        <v>531.50729063673248</v>
      </c>
      <c r="G16" s="51">
        <f t="shared" si="1"/>
        <v>320.0823330037544</v>
      </c>
      <c r="H16" s="10">
        <f t="shared" si="2"/>
        <v>2700</v>
      </c>
      <c r="I16" s="8">
        <f t="shared" si="3"/>
        <v>300</v>
      </c>
      <c r="J16" s="11">
        <f t="shared" si="4"/>
        <v>0.32664064505393609</v>
      </c>
      <c r="K16" s="12">
        <f t="shared" si="5"/>
        <v>0.3443094715856837</v>
      </c>
      <c r="L16" s="3"/>
      <c r="M16" s="4" t="s">
        <v>24</v>
      </c>
      <c r="N16" s="4">
        <f t="shared" si="6"/>
        <v>1959.8438703236166</v>
      </c>
      <c r="O16" s="4">
        <f t="shared" si="7"/>
        <v>0.32664064505393609</v>
      </c>
      <c r="P16" s="12"/>
      <c r="Q16" s="12" t="s">
        <v>25</v>
      </c>
      <c r="R16" s="12">
        <f t="shared" ref="R16:R19" si="13">2*SQRT(G16*H16)+ (I16*$P$2)</f>
        <v>1952.3257352804637</v>
      </c>
      <c r="S16" s="36"/>
      <c r="T16" s="37" t="s">
        <v>25</v>
      </c>
      <c r="U16" s="38">
        <f t="shared" si="12"/>
        <v>2159.2711465626921</v>
      </c>
      <c r="V16" s="7"/>
      <c r="W16" s="37" t="s">
        <v>25</v>
      </c>
      <c r="X16" s="38">
        <f t="shared" si="10"/>
        <v>2459.2711465626921</v>
      </c>
    </row>
    <row r="17" spans="1:24" x14ac:dyDescent="0.3">
      <c r="A17" s="7">
        <v>15</v>
      </c>
      <c r="B17" s="7">
        <v>690</v>
      </c>
      <c r="C17" s="7">
        <v>60</v>
      </c>
      <c r="D17" s="7">
        <v>14</v>
      </c>
      <c r="E17" s="8">
        <v>500</v>
      </c>
      <c r="F17" s="9">
        <f t="shared" si="0"/>
        <v>396.61064030103881</v>
      </c>
      <c r="G17" s="51">
        <f t="shared" si="1"/>
        <v>276.9154048963324</v>
      </c>
      <c r="H17" s="10">
        <f t="shared" si="2"/>
        <v>3250</v>
      </c>
      <c r="I17" s="8">
        <f t="shared" si="3"/>
        <v>250</v>
      </c>
      <c r="J17" s="11">
        <f t="shared" si="4"/>
        <v>0.28128044210936143</v>
      </c>
      <c r="K17" s="12">
        <f t="shared" si="5"/>
        <v>0.29189850970517522</v>
      </c>
      <c r="L17" s="3"/>
      <c r="M17" s="4" t="s">
        <v>24</v>
      </c>
      <c r="N17" s="4">
        <f t="shared" si="6"/>
        <v>1968.9630947655301</v>
      </c>
      <c r="O17" s="4">
        <f t="shared" si="7"/>
        <v>0.28128044210936143</v>
      </c>
      <c r="P17" s="12"/>
      <c r="Q17" s="12" t="s">
        <v>25</v>
      </c>
      <c r="R17" s="12">
        <f t="shared" si="13"/>
        <v>1974.8858036817821</v>
      </c>
      <c r="S17" s="36"/>
      <c r="T17" s="37" t="s">
        <v>25</v>
      </c>
      <c r="U17" s="38">
        <f t="shared" si="12"/>
        <v>2147.3403130836391</v>
      </c>
      <c r="V17" s="7"/>
      <c r="W17" s="37" t="s">
        <v>25</v>
      </c>
      <c r="X17" s="38">
        <f t="shared" si="10"/>
        <v>2397.3403130836391</v>
      </c>
    </row>
    <row r="18" spans="1:24" x14ac:dyDescent="0.3">
      <c r="A18" s="7">
        <v>16</v>
      </c>
      <c r="B18" s="7">
        <v>500</v>
      </c>
      <c r="C18" s="7">
        <v>50</v>
      </c>
      <c r="D18" s="7">
        <v>5</v>
      </c>
      <c r="E18" s="8">
        <v>1200</v>
      </c>
      <c r="F18" s="9">
        <f t="shared" si="0"/>
        <v>341.32096331752024</v>
      </c>
      <c r="G18" s="51">
        <f t="shared" si="1"/>
        <v>259.2227082616065</v>
      </c>
      <c r="H18" s="10">
        <f t="shared" si="2"/>
        <v>2400</v>
      </c>
      <c r="I18" s="8">
        <f t="shared" si="3"/>
        <v>600</v>
      </c>
      <c r="J18" s="11">
        <f t="shared" si="4"/>
        <v>0.29395164469778956</v>
      </c>
      <c r="K18" s="12">
        <f t="shared" si="5"/>
        <v>0.3286479298210615</v>
      </c>
      <c r="L18" s="3"/>
      <c r="M18" s="4" t="s">
        <v>24</v>
      </c>
      <c r="N18" s="4">
        <f t="shared" si="6"/>
        <v>1763.7098681867374</v>
      </c>
      <c r="O18" s="4">
        <f t="shared" si="7"/>
        <v>0.29395164469778956</v>
      </c>
      <c r="P18" s="12"/>
      <c r="Q18" s="12" t="s">
        <v>25</v>
      </c>
      <c r="R18" s="12">
        <f t="shared" si="13"/>
        <v>1763.6192405766383</v>
      </c>
      <c r="S18" s="36"/>
      <c r="T18" s="37" t="s">
        <v>25</v>
      </c>
      <c r="U18" s="38">
        <f t="shared" si="12"/>
        <v>2177.5100631410951</v>
      </c>
      <c r="V18" s="7"/>
      <c r="W18" s="37" t="s">
        <v>25</v>
      </c>
      <c r="X18" s="38">
        <f t="shared" si="10"/>
        <v>2777.5100631410951</v>
      </c>
    </row>
    <row r="19" spans="1:24" x14ac:dyDescent="0.3">
      <c r="A19" s="7">
        <v>17</v>
      </c>
      <c r="B19" s="7">
        <v>570</v>
      </c>
      <c r="C19" s="7">
        <v>680</v>
      </c>
      <c r="D19" s="7">
        <v>10</v>
      </c>
      <c r="E19" s="8">
        <v>600</v>
      </c>
      <c r="F19" s="9">
        <f t="shared" si="0"/>
        <v>306.75723300355935</v>
      </c>
      <c r="G19" s="51">
        <f t="shared" si="1"/>
        <v>248.162314561139</v>
      </c>
      <c r="H19" s="10">
        <f t="shared" si="2"/>
        <v>2700</v>
      </c>
      <c r="I19" s="8">
        <f t="shared" si="3"/>
        <v>300</v>
      </c>
      <c r="J19" s="11">
        <f t="shared" si="4"/>
        <v>0.28761218945027289</v>
      </c>
      <c r="K19" s="12">
        <f t="shared" si="5"/>
        <v>0.30316986716357119</v>
      </c>
      <c r="L19" s="3"/>
      <c r="M19" s="4" t="s">
        <v>24</v>
      </c>
      <c r="N19" s="4">
        <f t="shared" si="6"/>
        <v>1725.6731367016375</v>
      </c>
      <c r="O19" s="4">
        <f t="shared" si="7"/>
        <v>0.28761218945027289</v>
      </c>
      <c r="P19" s="12"/>
      <c r="Q19" s="12" t="s">
        <v>25</v>
      </c>
      <c r="R19" s="12">
        <f t="shared" si="13"/>
        <v>1730.171871401056</v>
      </c>
      <c r="S19" s="36"/>
      <c r="T19" s="37" t="s">
        <v>25</v>
      </c>
      <c r="U19" s="38">
        <f t="shared" si="12"/>
        <v>1937.1172826832844</v>
      </c>
      <c r="V19" s="7"/>
      <c r="W19" s="37" t="s">
        <v>25</v>
      </c>
      <c r="X19" s="38">
        <f t="shared" si="10"/>
        <v>2237.1172826832844</v>
      </c>
    </row>
    <row r="20" spans="1:24" x14ac:dyDescent="0.3">
      <c r="A20" s="7">
        <v>18</v>
      </c>
      <c r="B20" s="7">
        <v>370</v>
      </c>
      <c r="C20" s="7">
        <v>800</v>
      </c>
      <c r="D20" s="7">
        <v>3</v>
      </c>
      <c r="E20" s="8">
        <v>300</v>
      </c>
      <c r="F20" s="9">
        <f t="shared" si="0"/>
        <v>422.01895692018388</v>
      </c>
      <c r="G20" s="51">
        <f t="shared" si="1"/>
        <v>285.04606621445885</v>
      </c>
      <c r="H20" s="10">
        <f t="shared" si="2"/>
        <v>300</v>
      </c>
      <c r="I20" s="8">
        <f t="shared" si="3"/>
        <v>150</v>
      </c>
      <c r="J20" s="11">
        <f t="shared" si="4"/>
        <v>0.79588673986868097</v>
      </c>
      <c r="K20" s="12">
        <f t="shared" si="5"/>
        <v>0.97475820286273873</v>
      </c>
      <c r="L20" s="3"/>
      <c r="M20" s="4" t="s">
        <v>24</v>
      </c>
      <c r="N20" s="4">
        <f t="shared" si="6"/>
        <v>716.29806588181282</v>
      </c>
      <c r="O20" s="4">
        <f t="shared" si="7"/>
        <v>0.79588673986868097</v>
      </c>
      <c r="P20" s="12"/>
      <c r="Q20" s="12" t="s">
        <v>24</v>
      </c>
      <c r="R20" s="12">
        <f>2*SQRT(G20*(H20+I20))</f>
        <v>716.29806588181282</v>
      </c>
      <c r="S20" s="36"/>
      <c r="T20" s="37" t="s">
        <v>25</v>
      </c>
      <c r="U20" s="38">
        <f t="shared" si="12"/>
        <v>734.85492171764326</v>
      </c>
      <c r="V20" s="7"/>
      <c r="W20" s="37" t="s">
        <v>25</v>
      </c>
      <c r="X20" s="38">
        <f t="shared" si="10"/>
        <v>884.85492171764326</v>
      </c>
    </row>
    <row r="21" spans="1:24" x14ac:dyDescent="0.3">
      <c r="A21" s="7">
        <v>19</v>
      </c>
      <c r="B21" s="7">
        <v>370</v>
      </c>
      <c r="C21" s="7">
        <v>560</v>
      </c>
      <c r="D21" s="7">
        <v>5</v>
      </c>
      <c r="E21" s="8">
        <v>400</v>
      </c>
      <c r="F21" s="9">
        <f t="shared" si="0"/>
        <v>197.23082923316019</v>
      </c>
      <c r="G21" s="51">
        <f t="shared" si="1"/>
        <v>213.11386535461128</v>
      </c>
      <c r="H21" s="10">
        <f t="shared" si="2"/>
        <v>800</v>
      </c>
      <c r="I21" s="8">
        <f t="shared" si="3"/>
        <v>200</v>
      </c>
      <c r="J21" s="11">
        <f t="shared" si="4"/>
        <v>0.46164257316089391</v>
      </c>
      <c r="K21" s="12">
        <f t="shared" si="5"/>
        <v>0.51613208744783934</v>
      </c>
      <c r="L21" s="3"/>
      <c r="M21" s="4" t="s">
        <v>24</v>
      </c>
      <c r="N21" s="4">
        <f t="shared" si="6"/>
        <v>923.28514632178781</v>
      </c>
      <c r="O21" s="4">
        <f t="shared" si="7"/>
        <v>0.46164257316089391</v>
      </c>
      <c r="P21" s="12"/>
      <c r="Q21" s="12" t="s">
        <v>26</v>
      </c>
      <c r="R21" s="12">
        <f>(G21/$P$2)+((H21+I21)*$P$2)</f>
        <v>997.24275635611821</v>
      </c>
      <c r="S21" s="36"/>
      <c r="T21" s="37" t="s">
        <v>25</v>
      </c>
      <c r="U21" s="38">
        <f t="shared" si="12"/>
        <v>1025.8113399165429</v>
      </c>
      <c r="V21" s="7"/>
      <c r="W21" s="37" t="s">
        <v>25</v>
      </c>
      <c r="X21" s="38">
        <f t="shared" si="10"/>
        <v>1225.8113399165429</v>
      </c>
    </row>
    <row r="22" spans="1:24" x14ac:dyDescent="0.3">
      <c r="A22" s="7">
        <v>20</v>
      </c>
      <c r="B22" s="7">
        <v>570</v>
      </c>
      <c r="C22" s="7">
        <v>470</v>
      </c>
      <c r="D22" s="7">
        <v>4</v>
      </c>
      <c r="E22" s="8">
        <v>500</v>
      </c>
      <c r="F22" s="9">
        <f t="shared" si="0"/>
        <v>128.06248474865697</v>
      </c>
      <c r="G22" s="51">
        <f t="shared" si="1"/>
        <v>190.97999511957022</v>
      </c>
      <c r="H22" s="10">
        <f t="shared" si="2"/>
        <v>750</v>
      </c>
      <c r="I22" s="8">
        <f t="shared" si="3"/>
        <v>250</v>
      </c>
      <c r="J22" s="11">
        <f t="shared" si="4"/>
        <v>0.43701258004726845</v>
      </c>
      <c r="K22" s="12">
        <f t="shared" si="5"/>
        <v>0.50461866145908663</v>
      </c>
      <c r="L22" s="3"/>
      <c r="M22" s="4" t="s">
        <v>24</v>
      </c>
      <c r="N22" s="4">
        <f t="shared" si="6"/>
        <v>874.02516009453689</v>
      </c>
      <c r="O22" s="4">
        <f t="shared" si="7"/>
        <v>0.43701258004726845</v>
      </c>
      <c r="P22" s="12"/>
      <c r="Q22" s="12" t="s">
        <v>26</v>
      </c>
      <c r="R22" s="12">
        <f>(G22/$P$2)+((H22+I22)*$P$2)</f>
        <v>925.88506016929728</v>
      </c>
      <c r="S22" s="36"/>
      <c r="T22" s="37" t="s">
        <v>25</v>
      </c>
      <c r="U22" s="38">
        <f t="shared" si="12"/>
        <v>1006.9279921886299</v>
      </c>
      <c r="V22" s="7"/>
      <c r="W22" s="37" t="s">
        <v>25</v>
      </c>
      <c r="X22" s="38">
        <f t="shared" si="10"/>
        <v>1256.92799218863</v>
      </c>
    </row>
    <row r="23" spans="1:24" x14ac:dyDescent="0.3">
      <c r="A23" s="7">
        <v>21</v>
      </c>
      <c r="B23" s="7">
        <v>630</v>
      </c>
      <c r="C23" s="7">
        <v>320</v>
      </c>
      <c r="D23" s="7">
        <v>3</v>
      </c>
      <c r="E23" s="8">
        <v>50</v>
      </c>
      <c r="F23" s="9">
        <f t="shared" si="0"/>
        <v>174.64249196572982</v>
      </c>
      <c r="G23" s="51">
        <f t="shared" si="1"/>
        <v>205.88559742903354</v>
      </c>
      <c r="H23" s="10">
        <f t="shared" si="2"/>
        <v>50</v>
      </c>
      <c r="I23" s="8">
        <f t="shared" si="3"/>
        <v>25</v>
      </c>
      <c r="J23" s="11">
        <f t="shared" si="4"/>
        <v>1.6568467940801832</v>
      </c>
      <c r="K23" s="12">
        <f t="shared" si="5"/>
        <v>2.0292146137313005</v>
      </c>
      <c r="L23" s="3"/>
      <c r="M23" s="4" t="s">
        <v>24</v>
      </c>
      <c r="N23" s="4">
        <f t="shared" si="6"/>
        <v>248.52701911202746</v>
      </c>
      <c r="O23" s="4">
        <f t="shared" si="7"/>
        <v>1.6568467940801832</v>
      </c>
      <c r="P23" s="12"/>
      <c r="Q23" s="12" t="s">
        <v>24</v>
      </c>
      <c r="R23" s="12">
        <f t="shared" ref="R23:R26" si="14">2*SQRT(G23*(H23+I23))</f>
        <v>248.52701911202746</v>
      </c>
      <c r="S23" s="36"/>
      <c r="T23" s="37" t="s">
        <v>24</v>
      </c>
      <c r="U23" s="38">
        <f>2*SQRT(G23*(H23+I23))</f>
        <v>248.52701911202746</v>
      </c>
      <c r="V23" s="7"/>
      <c r="W23" s="37" t="s">
        <v>25</v>
      </c>
      <c r="X23" s="38">
        <f t="shared" si="10"/>
        <v>252.92146137313006</v>
      </c>
    </row>
    <row r="24" spans="1:24" x14ac:dyDescent="0.3">
      <c r="A24" s="7">
        <v>22</v>
      </c>
      <c r="B24" s="7">
        <v>340</v>
      </c>
      <c r="C24" s="7">
        <v>440</v>
      </c>
      <c r="D24" s="7">
        <v>5</v>
      </c>
      <c r="E24" s="8">
        <v>100</v>
      </c>
      <c r="F24" s="9">
        <f t="shared" si="0"/>
        <v>139.28388277184121</v>
      </c>
      <c r="G24" s="51">
        <f t="shared" si="1"/>
        <v>194.57084248698919</v>
      </c>
      <c r="H24" s="10">
        <f t="shared" si="2"/>
        <v>200</v>
      </c>
      <c r="I24" s="8">
        <f t="shared" si="3"/>
        <v>50</v>
      </c>
      <c r="J24" s="11">
        <f t="shared" si="4"/>
        <v>0.88220370093757638</v>
      </c>
      <c r="K24" s="12">
        <f t="shared" si="5"/>
        <v>0.98633372264915786</v>
      </c>
      <c r="L24" s="3"/>
      <c r="M24" s="4" t="s">
        <v>24</v>
      </c>
      <c r="N24" s="4">
        <f t="shared" si="6"/>
        <v>441.1018504687882</v>
      </c>
      <c r="O24" s="4">
        <f t="shared" si="7"/>
        <v>0.88220370093757638</v>
      </c>
      <c r="P24" s="12"/>
      <c r="Q24" s="12" t="s">
        <v>24</v>
      </c>
      <c r="R24" s="12">
        <f t="shared" si="14"/>
        <v>441.1018504687882</v>
      </c>
      <c r="S24" s="36"/>
      <c r="T24" s="37" t="s">
        <v>25</v>
      </c>
      <c r="U24" s="38">
        <f>2*SQRT(G24*H24)+ (I24*$S$2)</f>
        <v>444.53348905966317</v>
      </c>
      <c r="V24" s="7"/>
      <c r="W24" s="37" t="s">
        <v>25</v>
      </c>
      <c r="X24" s="38">
        <f t="shared" si="10"/>
        <v>494.53348905966317</v>
      </c>
    </row>
    <row r="25" spans="1:24" x14ac:dyDescent="0.3">
      <c r="A25" s="7">
        <v>23</v>
      </c>
      <c r="B25" s="7">
        <v>510</v>
      </c>
      <c r="C25" s="7">
        <v>380</v>
      </c>
      <c r="D25" s="7">
        <v>3</v>
      </c>
      <c r="E25" s="8">
        <v>70</v>
      </c>
      <c r="F25" s="9">
        <f t="shared" si="0"/>
        <v>41.231056256176608</v>
      </c>
      <c r="G25" s="51">
        <f t="shared" si="1"/>
        <v>163.19393800197651</v>
      </c>
      <c r="H25" s="10">
        <f t="shared" si="2"/>
        <v>70</v>
      </c>
      <c r="I25" s="8">
        <f t="shared" si="3"/>
        <v>35</v>
      </c>
      <c r="J25" s="11">
        <f t="shared" si="4"/>
        <v>1.2466868014746946</v>
      </c>
      <c r="K25" s="12">
        <f t="shared" si="5"/>
        <v>1.5268732663377165</v>
      </c>
      <c r="L25" s="3"/>
      <c r="M25" s="4" t="s">
        <v>24</v>
      </c>
      <c r="N25" s="4">
        <f t="shared" si="6"/>
        <v>261.80422830968587</v>
      </c>
      <c r="O25" s="4">
        <f t="shared" si="7"/>
        <v>1.2466868014746946</v>
      </c>
      <c r="P25" s="12"/>
      <c r="Q25" s="12" t="s">
        <v>24</v>
      </c>
      <c r="R25" s="12">
        <f t="shared" si="14"/>
        <v>261.80422830968587</v>
      </c>
      <c r="S25" s="36"/>
      <c r="T25" s="37" t="s">
        <v>24</v>
      </c>
      <c r="U25" s="38">
        <f>2*SQRT(G25*(H25+I25))</f>
        <v>261.80422830968587</v>
      </c>
      <c r="V25" s="7"/>
      <c r="W25" s="37" t="s">
        <v>25</v>
      </c>
      <c r="X25" s="38">
        <f t="shared" si="10"/>
        <v>283.76225728728031</v>
      </c>
    </row>
    <row r="26" spans="1:24" ht="15" thickBot="1" x14ac:dyDescent="0.35">
      <c r="A26" s="7">
        <v>24</v>
      </c>
      <c r="B26" s="7">
        <v>400</v>
      </c>
      <c r="C26" s="7">
        <v>600</v>
      </c>
      <c r="D26" s="7">
        <v>5</v>
      </c>
      <c r="E26" s="8">
        <v>150</v>
      </c>
      <c r="F26" s="9">
        <f t="shared" si="0"/>
        <v>221.35943621178654</v>
      </c>
      <c r="G26" s="51">
        <f t="shared" si="1"/>
        <v>220.83501958777168</v>
      </c>
      <c r="H26" s="10">
        <f t="shared" si="2"/>
        <v>300</v>
      </c>
      <c r="I26" s="8">
        <f t="shared" si="3"/>
        <v>75</v>
      </c>
      <c r="J26" s="11">
        <f t="shared" si="4"/>
        <v>0.76739389205765196</v>
      </c>
      <c r="K26" s="12">
        <f t="shared" si="5"/>
        <v>0.85797245407952283</v>
      </c>
      <c r="L26" s="3"/>
      <c r="M26" s="31" t="s">
        <v>24</v>
      </c>
      <c r="N26" s="31">
        <f t="shared" si="6"/>
        <v>575.54541904323901</v>
      </c>
      <c r="O26" s="4">
        <f t="shared" si="7"/>
        <v>0.76739389205765196</v>
      </c>
      <c r="P26" s="12"/>
      <c r="Q26" s="39" t="s">
        <v>24</v>
      </c>
      <c r="R26" s="39">
        <f t="shared" si="14"/>
        <v>575.54541904323901</v>
      </c>
      <c r="S26" s="36"/>
      <c r="T26" s="55" t="s">
        <v>25</v>
      </c>
      <c r="U26" s="40">
        <f>2*SQRT(G26*H26)+ (I26*$S$2)</f>
        <v>589.78347244771373</v>
      </c>
      <c r="V26" s="7"/>
      <c r="W26" s="55" t="s">
        <v>25</v>
      </c>
      <c r="X26" s="40">
        <f t="shared" si="10"/>
        <v>664.78347244771373</v>
      </c>
    </row>
    <row r="27" spans="1:24" ht="15" thickTop="1" x14ac:dyDescent="0.3">
      <c r="A27" s="5"/>
      <c r="B27" s="5"/>
      <c r="C27" s="5"/>
      <c r="D27" s="5"/>
      <c r="E27" s="5"/>
      <c r="F27" s="5"/>
      <c r="G27" s="5"/>
      <c r="H27" s="5"/>
      <c r="I27" s="5"/>
      <c r="J27" s="5"/>
      <c r="K27" s="5"/>
      <c r="L27" s="49"/>
      <c r="M27" s="42" t="s">
        <v>27</v>
      </c>
      <c r="N27" s="53">
        <f>SUM(N2:N26)</f>
        <v>21655.956610674475</v>
      </c>
      <c r="O27" s="50"/>
      <c r="P27" s="5"/>
      <c r="Q27" s="42" t="s">
        <v>27</v>
      </c>
      <c r="R27" s="54">
        <f>SUM(R2:R26)</f>
        <v>22170.144996411425</v>
      </c>
      <c r="S27" s="5"/>
      <c r="T27" s="42" t="s">
        <v>27</v>
      </c>
      <c r="U27" s="41">
        <f>SUM(U2:U26)</f>
        <v>23774.208740819271</v>
      </c>
      <c r="V27" s="5"/>
      <c r="W27" s="42" t="s">
        <v>27</v>
      </c>
      <c r="X27" s="41">
        <f>SUM(X2:X26)</f>
        <v>27494.593008090971</v>
      </c>
    </row>
    <row r="29" spans="1:24" x14ac:dyDescent="0.3">
      <c r="Q29" s="52" t="s">
        <v>28</v>
      </c>
      <c r="R29" s="64">
        <f>SQRT(($G$2+G21+G22)/(H21+I21+H22+I22+I4+I7+I10+I19+I18+I17+I16))</f>
        <v>0.43755104749105495</v>
      </c>
    </row>
    <row r="30" spans="1:24" ht="15" thickBot="1" x14ac:dyDescent="0.35"/>
    <row r="31" spans="1:24" x14ac:dyDescent="0.3">
      <c r="Q31" s="117" t="s">
        <v>32</v>
      </c>
      <c r="R31" s="119">
        <f>'POT Policy'!R27-'Using Excel Solver'!R27</f>
        <v>302.6595871592981</v>
      </c>
    </row>
    <row r="32" spans="1:24" ht="15" thickBot="1" x14ac:dyDescent="0.35">
      <c r="Q32" s="118"/>
      <c r="R32" s="120"/>
    </row>
  </sheetData>
  <autoFilter ref="A1:X27" xr:uid="{00000000-0009-0000-0000-000001000000}"/>
  <mergeCells count="2">
    <mergeCell ref="Q31:Q32"/>
    <mergeCell ref="R31:R3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POT Policy</vt:lpstr>
      <vt:lpstr>Using Excel Solver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Abhimanyu Sah</dc:creator>
  <cp:keywords/>
  <dc:description/>
  <cp:lastModifiedBy>Devarshi Tharwala</cp:lastModifiedBy>
  <cp:revision/>
  <dcterms:created xsi:type="dcterms:W3CDTF">2019-11-26T17:12:37Z</dcterms:created>
  <dcterms:modified xsi:type="dcterms:W3CDTF">2019-11-28T01:02:03Z</dcterms:modified>
  <cp:category/>
  <cp:contentStatus/>
</cp:coreProperties>
</file>