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franciscobenegas/Desktop/CLAUDE/TCMC/ORDENANDO NUMEROS/"/>
    </mc:Choice>
  </mc:AlternateContent>
  <xr:revisionPtr revIDLastSave="0" documentId="13_ncr:1_{A5E2700F-276F-4643-96A1-4F4990088447}" xr6:coauthVersionLast="47" xr6:coauthVersionMax="47" xr10:uidLastSave="{00000000-0000-0000-0000-000000000000}"/>
  <bookViews>
    <workbookView xWindow="35720" yWindow="-1520" windowWidth="35420" windowHeight="19040" tabRatio="500" xr2:uid="{00000000-000D-0000-FFFF-FFFF00000000}"/>
  </bookViews>
  <sheets>
    <sheet name="00_DASHBOARD" sheetId="1" r:id="rId1"/>
    <sheet name="01_PANEL_CONTROL" sheetId="2" r:id="rId2"/>
    <sheet name="02_COMPARATIVA_LENDAR" sheetId="3" r:id="rId3"/>
    <sheet name="03_CASCADA_FLUJO_5Y" sheetId="4" r:id="rId4"/>
    <sheet name="04_INGRESOS_TCMC" sheetId="5" r:id="rId5"/>
    <sheet name="05_SENSIBILIDADES" sheetId="6" r:id="rId6"/>
    <sheet name="SUPUESTOS" sheetId="7" state="hidden" r:id="rId7"/>
    <sheet name="FLUJO 5 AÑOS (5Y)" sheetId="8" state="hidden" r:id="rId8"/>
    <sheet name="RESULTADOS ASESOR TCMC (5Y)" sheetId="9" state="hidden" r:id="rId9"/>
    <sheet name="FLUJO 11 AÑOS" sheetId="10" state="hidden" r:id="rId10"/>
    <sheet name="CUOTAS TOMADOR" sheetId="11" state="hidden" r:id="rId11"/>
    <sheet name="RESULTADOS ASESOR TCMC" sheetId="12" state="hidden" r:id="rId12"/>
    <sheet name="TCA" sheetId="13" state="hidden" r:id="rId13"/>
    <sheet name="TODO LIST" sheetId="14" state="hidden" r:id="rId14"/>
    <sheet name="Copia de FLUJO 5 AÑOS (5Y)" sheetId="15" state="hidden" r:id="rId15"/>
    <sheet name="Datos extras" sheetId="16" state="hidden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2" l="1"/>
  <c r="F77" i="15"/>
  <c r="E77" i="15"/>
  <c r="D77" i="15"/>
  <c r="C77" i="15"/>
  <c r="B77" i="15"/>
  <c r="B71" i="15"/>
  <c r="B44" i="15"/>
  <c r="B74" i="15" s="1"/>
  <c r="G42" i="15"/>
  <c r="E34" i="15"/>
  <c r="D34" i="15"/>
  <c r="C34" i="15"/>
  <c r="B34" i="15"/>
  <c r="B31" i="15"/>
  <c r="F29" i="15"/>
  <c r="E29" i="15"/>
  <c r="D29" i="15"/>
  <c r="C29" i="15"/>
  <c r="B29" i="15"/>
  <c r="F28" i="15"/>
  <c r="E28" i="15"/>
  <c r="D28" i="15"/>
  <c r="C28" i="15"/>
  <c r="B28" i="15"/>
  <c r="G28" i="15" s="1"/>
  <c r="B26" i="15"/>
  <c r="B25" i="15"/>
  <c r="B24" i="15"/>
  <c r="B16" i="15"/>
  <c r="B15" i="15"/>
  <c r="C14" i="15"/>
  <c r="C31" i="15" s="1"/>
  <c r="B14" i="15"/>
  <c r="B5" i="15" s="1"/>
  <c r="F8" i="15"/>
  <c r="B48" i="12"/>
  <c r="L29" i="12"/>
  <c r="H50" i="11"/>
  <c r="H49" i="11"/>
  <c r="H39" i="11"/>
  <c r="H38" i="11"/>
  <c r="H28" i="11"/>
  <c r="H27" i="11"/>
  <c r="Q18" i="11"/>
  <c r="H17" i="11"/>
  <c r="H16" i="11"/>
  <c r="H6" i="11"/>
  <c r="H5" i="11"/>
  <c r="K77" i="10"/>
  <c r="J77" i="10"/>
  <c r="I77" i="10"/>
  <c r="H77" i="10"/>
  <c r="G77" i="10"/>
  <c r="F77" i="10"/>
  <c r="E77" i="10"/>
  <c r="D77" i="10"/>
  <c r="C77" i="10"/>
  <c r="B77" i="10"/>
  <c r="L55" i="10"/>
  <c r="B44" i="10"/>
  <c r="M42" i="10"/>
  <c r="L38" i="10"/>
  <c r="C34" i="10"/>
  <c r="B34" i="10"/>
  <c r="B31" i="10"/>
  <c r="L29" i="10"/>
  <c r="K29" i="10"/>
  <c r="J29" i="10"/>
  <c r="I29" i="10"/>
  <c r="H29" i="10"/>
  <c r="G29" i="10"/>
  <c r="F29" i="10"/>
  <c r="E29" i="10"/>
  <c r="D29" i="10"/>
  <c r="M29" i="10" s="1"/>
  <c r="C29" i="10"/>
  <c r="B29" i="10"/>
  <c r="L28" i="10"/>
  <c r="K28" i="10"/>
  <c r="J28" i="10"/>
  <c r="I28" i="10"/>
  <c r="H28" i="10"/>
  <c r="G28" i="10"/>
  <c r="F28" i="10"/>
  <c r="E28" i="10"/>
  <c r="M28" i="10" s="1"/>
  <c r="D28" i="10"/>
  <c r="C28" i="10"/>
  <c r="B28" i="10"/>
  <c r="D14" i="10"/>
  <c r="C14" i="10"/>
  <c r="C31" i="10" s="1"/>
  <c r="B14" i="10"/>
  <c r="L8" i="10"/>
  <c r="B48" i="9"/>
  <c r="F80" i="8"/>
  <c r="E80" i="8"/>
  <c r="D80" i="8"/>
  <c r="C80" i="8"/>
  <c r="B80" i="8"/>
  <c r="B74" i="8"/>
  <c r="B47" i="8"/>
  <c r="G45" i="8"/>
  <c r="A36" i="8"/>
  <c r="E34" i="8"/>
  <c r="D34" i="8"/>
  <c r="C34" i="8"/>
  <c r="B34" i="8"/>
  <c r="C31" i="8"/>
  <c r="B31" i="8"/>
  <c r="G29" i="8"/>
  <c r="F29" i="8"/>
  <c r="E29" i="8"/>
  <c r="D29" i="8"/>
  <c r="C29" i="8"/>
  <c r="B29" i="8"/>
  <c r="F28" i="8"/>
  <c r="E28" i="8"/>
  <c r="D28" i="8"/>
  <c r="G28" i="8" s="1"/>
  <c r="C28" i="8"/>
  <c r="B28" i="8"/>
  <c r="B14" i="8"/>
  <c r="C14" i="8" s="1"/>
  <c r="F8" i="8"/>
  <c r="B5" i="8"/>
  <c r="B74" i="7"/>
  <c r="B75" i="7" s="1"/>
  <c r="E46" i="7"/>
  <c r="B21" i="7"/>
  <c r="B24" i="7" s="1"/>
  <c r="C24" i="7" s="1"/>
  <c r="B20" i="7"/>
  <c r="B22" i="7" s="1"/>
  <c r="B6" i="15" s="1"/>
  <c r="G19" i="7"/>
  <c r="G20" i="7" s="1"/>
  <c r="G18" i="7"/>
  <c r="G17" i="7"/>
  <c r="G16" i="7"/>
  <c r="G15" i="7"/>
  <c r="G14" i="7"/>
  <c r="D12" i="5"/>
  <c r="C12" i="5"/>
  <c r="F7" i="5"/>
  <c r="E7" i="5"/>
  <c r="D7" i="5"/>
  <c r="C7" i="5"/>
  <c r="E55" i="3"/>
  <c r="D55" i="3"/>
  <c r="C55" i="3"/>
  <c r="C43" i="3"/>
  <c r="C40" i="3"/>
  <c r="E40" i="3" s="1"/>
  <c r="E39" i="3"/>
  <c r="C39" i="3"/>
  <c r="C38" i="3"/>
  <c r="E38" i="3" s="1"/>
  <c r="E37" i="3"/>
  <c r="C37" i="3"/>
  <c r="C33" i="3"/>
  <c r="E33" i="3" s="1"/>
  <c r="E31" i="3"/>
  <c r="C31" i="3"/>
  <c r="C28" i="3"/>
  <c r="E28" i="3" s="1"/>
  <c r="E27" i="3"/>
  <c r="C27" i="3"/>
  <c r="C24" i="3"/>
  <c r="E24" i="3" s="1"/>
  <c r="C23" i="3"/>
  <c r="E23" i="3" s="1"/>
  <c r="E22" i="3"/>
  <c r="C22" i="3"/>
  <c r="E21" i="3"/>
  <c r="C21" i="3"/>
  <c r="C20" i="3"/>
  <c r="E20" i="3" s="1"/>
  <c r="C19" i="3"/>
  <c r="E19" i="3" s="1"/>
  <c r="E18" i="3"/>
  <c r="C18" i="3"/>
  <c r="E17" i="3"/>
  <c r="C17" i="3"/>
  <c r="C16" i="3"/>
  <c r="E16" i="3" s="1"/>
  <c r="C15" i="3"/>
  <c r="E15" i="3" s="1"/>
  <c r="C12" i="3"/>
  <c r="E12" i="3" s="1"/>
  <c r="C11" i="3"/>
  <c r="E9" i="3"/>
  <c r="C9" i="3"/>
  <c r="C8" i="3"/>
  <c r="C7" i="3"/>
  <c r="E7" i="3" s="1"/>
  <c r="C6" i="3"/>
  <c r="E6" i="3" s="1"/>
  <c r="G58" i="2"/>
  <c r="F58" i="2"/>
  <c r="E58" i="2"/>
  <c r="D58" i="2"/>
  <c r="C58" i="2"/>
  <c r="C55" i="2"/>
  <c r="C39" i="4" s="1"/>
  <c r="C54" i="2"/>
  <c r="C32" i="2"/>
  <c r="C31" i="2"/>
  <c r="C30" i="2"/>
  <c r="F12" i="5" s="1"/>
  <c r="F25" i="2"/>
  <c r="E25" i="2"/>
  <c r="D25" i="2"/>
  <c r="C24" i="2"/>
  <c r="C23" i="2"/>
  <c r="C22" i="2"/>
  <c r="C21" i="2"/>
  <c r="C20" i="2"/>
  <c r="C15" i="2"/>
  <c r="C13" i="2"/>
  <c r="C40" i="1"/>
  <c r="C39" i="1"/>
  <c r="C38" i="1"/>
  <c r="C37" i="1"/>
  <c r="C36" i="1"/>
  <c r="I13" i="1"/>
  <c r="F13" i="1"/>
  <c r="C13" i="1"/>
  <c r="I11" i="1"/>
  <c r="C11" i="1"/>
  <c r="I9" i="1"/>
  <c r="F9" i="1"/>
  <c r="C9" i="1"/>
  <c r="G62" i="4"/>
  <c r="G41" i="4"/>
  <c r="F41" i="4"/>
  <c r="E41" i="4"/>
  <c r="D39" i="4"/>
  <c r="G22" i="4"/>
  <c r="F22" i="4"/>
  <c r="E22" i="4"/>
  <c r="D22" i="4"/>
  <c r="H22" i="4" s="1"/>
  <c r="C22" i="4"/>
  <c r="G15" i="4"/>
  <c r="F15" i="4"/>
  <c r="E15" i="4"/>
  <c r="D15" i="4"/>
  <c r="D41" i="4" s="1"/>
  <c r="C15" i="4"/>
  <c r="C41" i="4" s="1"/>
  <c r="H41" i="4" s="1"/>
  <c r="C11" i="4"/>
  <c r="H11" i="4" s="1"/>
  <c r="C10" i="4"/>
  <c r="G8" i="4"/>
  <c r="G9" i="4" s="1"/>
  <c r="F8" i="4"/>
  <c r="F9" i="4" s="1"/>
  <c r="E8" i="4"/>
  <c r="D8" i="4"/>
  <c r="C8" i="4"/>
  <c r="G5" i="4"/>
  <c r="F5" i="4"/>
  <c r="E5" i="4"/>
  <c r="D5" i="4"/>
  <c r="C5" i="4"/>
  <c r="F42" i="4" l="1"/>
  <c r="D10" i="4"/>
  <c r="H10" i="4" s="1"/>
  <c r="H15" i="4"/>
  <c r="B24" i="8"/>
  <c r="B6" i="9"/>
  <c r="B77" i="8"/>
  <c r="B79" i="8" s="1"/>
  <c r="B26" i="8"/>
  <c r="B25" i="8"/>
  <c r="G10" i="4"/>
  <c r="G42" i="4" s="1"/>
  <c r="B8" i="15"/>
  <c r="B10" i="15" s="1"/>
  <c r="E10" i="4"/>
  <c r="F10" i="4"/>
  <c r="F12" i="4" s="1"/>
  <c r="F16" i="4" s="1"/>
  <c r="G39" i="4"/>
  <c r="E39" i="4"/>
  <c r="F39" i="4"/>
  <c r="H39" i="4" s="1"/>
  <c r="D9" i="4"/>
  <c r="D42" i="4" s="1"/>
  <c r="E9" i="4"/>
  <c r="C16" i="2"/>
  <c r="F11" i="1"/>
  <c r="D37" i="11"/>
  <c r="D38" i="11" s="1"/>
  <c r="D48" i="11"/>
  <c r="D49" i="11" s="1"/>
  <c r="D26" i="11"/>
  <c r="D27" i="11" s="1"/>
  <c r="D15" i="11"/>
  <c r="D16" i="11" s="1"/>
  <c r="D4" i="11"/>
  <c r="D5" i="11" s="1"/>
  <c r="B15" i="8"/>
  <c r="B16" i="8"/>
  <c r="B6" i="8"/>
  <c r="C9" i="4"/>
  <c r="H8" i="4"/>
  <c r="G12" i="5"/>
  <c r="D31" i="10"/>
  <c r="E14" i="10"/>
  <c r="B6" i="12"/>
  <c r="B74" i="10"/>
  <c r="B71" i="10"/>
  <c r="B26" i="10"/>
  <c r="B24" i="10"/>
  <c r="B5" i="10"/>
  <c r="B25" i="10"/>
  <c r="E12" i="5"/>
  <c r="B76" i="15"/>
  <c r="G29" i="15"/>
  <c r="B19" i="15"/>
  <c r="B41" i="8" l="1"/>
  <c r="B83" i="8"/>
  <c r="B81" i="8"/>
  <c r="B82" i="8" s="1"/>
  <c r="G12" i="4"/>
  <c r="G16" i="4" s="1"/>
  <c r="B16" i="10"/>
  <c r="B19" i="10"/>
  <c r="B15" i="10"/>
  <c r="B6" i="10"/>
  <c r="B8" i="10" s="1"/>
  <c r="B10" i="10" s="1"/>
  <c r="C42" i="4"/>
  <c r="H42" i="4" s="1"/>
  <c r="H9" i="4"/>
  <c r="H15" i="11"/>
  <c r="H18" i="11" s="1"/>
  <c r="D17" i="11"/>
  <c r="X4" i="11"/>
  <c r="B20" i="15"/>
  <c r="B27" i="15"/>
  <c r="W10" i="11"/>
  <c r="B8" i="8"/>
  <c r="B10" i="8" s="1"/>
  <c r="D28" i="11"/>
  <c r="X5" i="11"/>
  <c r="H26" i="11"/>
  <c r="H29" i="11" s="1"/>
  <c r="B7" i="12"/>
  <c r="F14" i="10"/>
  <c r="E31" i="10"/>
  <c r="D50" i="11"/>
  <c r="X7" i="11"/>
  <c r="H48" i="11"/>
  <c r="H51" i="11" s="1"/>
  <c r="D39" i="11"/>
  <c r="H37" i="11"/>
  <c r="H40" i="11" s="1"/>
  <c r="X6" i="11"/>
  <c r="B78" i="15"/>
  <c r="B79" i="15" s="1"/>
  <c r="B80" i="15"/>
  <c r="B38" i="15"/>
  <c r="B76" i="10"/>
  <c r="C12" i="4"/>
  <c r="E42" i="4"/>
  <c r="E12" i="4"/>
  <c r="E16" i="4" s="1"/>
  <c r="B7" i="9"/>
  <c r="H4" i="11"/>
  <c r="D6" i="11"/>
  <c r="X3" i="11"/>
  <c r="B9" i="15"/>
  <c r="D12" i="4"/>
  <c r="D16" i="4" s="1"/>
  <c r="B23" i="12" l="1"/>
  <c r="B20" i="10"/>
  <c r="B11" i="10"/>
  <c r="B27" i="10"/>
  <c r="B55" i="15"/>
  <c r="B58" i="8"/>
  <c r="H31" i="11"/>
  <c r="H32" i="11" s="1"/>
  <c r="H33" i="11" s="1"/>
  <c r="W5" i="11"/>
  <c r="B32" i="15"/>
  <c r="W7" i="11"/>
  <c r="H53" i="11"/>
  <c r="H54" i="11" s="1"/>
  <c r="H55" i="11" s="1"/>
  <c r="B30" i="15"/>
  <c r="B21" i="10"/>
  <c r="X8" i="11"/>
  <c r="B9" i="8"/>
  <c r="W6" i="11"/>
  <c r="H42" i="11"/>
  <c r="H43" i="11" s="1"/>
  <c r="H44" i="11" s="1"/>
  <c r="D19" i="11"/>
  <c r="D18" i="11"/>
  <c r="B9" i="10"/>
  <c r="D30" i="11"/>
  <c r="D29" i="11"/>
  <c r="D8" i="11"/>
  <c r="D7" i="11"/>
  <c r="H12" i="4"/>
  <c r="C16" i="4"/>
  <c r="D41" i="11"/>
  <c r="D40" i="11"/>
  <c r="F31" i="10"/>
  <c r="G14" i="10"/>
  <c r="H20" i="11"/>
  <c r="H21" i="11" s="1"/>
  <c r="H22" i="11" s="1"/>
  <c r="W4" i="11"/>
  <c r="B29" i="9"/>
  <c r="B79" i="10"/>
  <c r="B78" i="10"/>
  <c r="B80" i="10"/>
  <c r="B38" i="10"/>
  <c r="D52" i="11"/>
  <c r="D51" i="11"/>
  <c r="B20" i="8"/>
  <c r="B23" i="9"/>
  <c r="B27" i="8"/>
  <c r="P3" i="11"/>
  <c r="H7" i="11"/>
  <c r="B21" i="15"/>
  <c r="B24" i="9" l="1"/>
  <c r="B25" i="9"/>
  <c r="B26" i="9"/>
  <c r="B55" i="10"/>
  <c r="B8" i="12"/>
  <c r="B32" i="12"/>
  <c r="B17" i="12"/>
  <c r="C19" i="4"/>
  <c r="C23" i="4"/>
  <c r="Q3" i="11"/>
  <c r="B30" i="10"/>
  <c r="G31" i="10"/>
  <c r="H14" i="10"/>
  <c r="B19" i="8"/>
  <c r="B30" i="8"/>
  <c r="B57" i="15"/>
  <c r="B36" i="15"/>
  <c r="S14" i="11"/>
  <c r="S4" i="11"/>
  <c r="H9" i="11"/>
  <c r="H10" i="11" s="1"/>
  <c r="H11" i="11" s="1"/>
  <c r="S3" i="11"/>
  <c r="S12" i="11"/>
  <c r="S9" i="11"/>
  <c r="S7" i="11"/>
  <c r="S13" i="11"/>
  <c r="S8" i="11"/>
  <c r="S5" i="11"/>
  <c r="W3" i="11"/>
  <c r="W8" i="11" s="1"/>
  <c r="W9" i="11" s="1"/>
  <c r="S6" i="11"/>
  <c r="S11" i="11"/>
  <c r="S10" i="11"/>
  <c r="B8" i="9"/>
  <c r="B17" i="9"/>
  <c r="B32" i="9"/>
  <c r="B32" i="8"/>
  <c r="B29" i="12"/>
  <c r="B60" i="8"/>
  <c r="B25" i="12"/>
  <c r="B26" i="12"/>
  <c r="B24" i="12"/>
  <c r="B32" i="10" l="1"/>
  <c r="B57" i="10"/>
  <c r="S15" i="11"/>
  <c r="R3" i="11"/>
  <c r="B28" i="9"/>
  <c r="B27" i="9"/>
  <c r="B27" i="12"/>
  <c r="B28" i="12"/>
  <c r="B21" i="8"/>
  <c r="B10" i="12"/>
  <c r="B9" i="12"/>
  <c r="B45" i="15"/>
  <c r="C44" i="15" s="1"/>
  <c r="B39" i="15"/>
  <c r="B37" i="15"/>
  <c r="C24" i="4"/>
  <c r="B9" i="9"/>
  <c r="B30" i="9" s="1"/>
  <c r="H31" i="10"/>
  <c r="I14" i="10"/>
  <c r="C21" i="4"/>
  <c r="C35" i="4"/>
  <c r="C20" i="4"/>
  <c r="B64" i="8"/>
  <c r="B61" i="8"/>
  <c r="B58" i="15"/>
  <c r="B61" i="15"/>
  <c r="B13" i="12"/>
  <c r="B58" i="10" l="1"/>
  <c r="B61" i="10"/>
  <c r="B31" i="9"/>
  <c r="B36" i="10"/>
  <c r="B14" i="12"/>
  <c r="C47" i="4"/>
  <c r="C37" i="4"/>
  <c r="C53" i="4"/>
  <c r="C36" i="4"/>
  <c r="C74" i="15"/>
  <c r="C25" i="15"/>
  <c r="C5" i="15"/>
  <c r="C26" i="15"/>
  <c r="C24" i="15"/>
  <c r="C71" i="15"/>
  <c r="B13" i="9"/>
  <c r="B39" i="8"/>
  <c r="C66" i="4"/>
  <c r="C8" i="5"/>
  <c r="T3" i="11"/>
  <c r="P4" i="11" s="1"/>
  <c r="C27" i="4"/>
  <c r="C38" i="4"/>
  <c r="C25" i="4"/>
  <c r="I31" i="10"/>
  <c r="J14" i="10"/>
  <c r="B30" i="12"/>
  <c r="C46" i="4" l="1"/>
  <c r="B14" i="9"/>
  <c r="C6" i="5"/>
  <c r="D19" i="4"/>
  <c r="C30" i="4"/>
  <c r="B31" i="12"/>
  <c r="B33" i="10"/>
  <c r="B16" i="12"/>
  <c r="B19" i="12" s="1"/>
  <c r="C15" i="12" s="1"/>
  <c r="C26" i="4"/>
  <c r="C13" i="5"/>
  <c r="C76" i="15"/>
  <c r="C68" i="4"/>
  <c r="J31" i="10"/>
  <c r="K14" i="10"/>
  <c r="Q4" i="11"/>
  <c r="C19" i="15"/>
  <c r="C15" i="15"/>
  <c r="C9" i="15"/>
  <c r="C6" i="15"/>
  <c r="C8" i="15" s="1"/>
  <c r="C10" i="15" s="1"/>
  <c r="C16" i="15"/>
  <c r="B42" i="8"/>
  <c r="B48" i="8"/>
  <c r="B40" i="8"/>
  <c r="B39" i="10"/>
  <c r="B45" i="10"/>
  <c r="C44" i="10" s="1"/>
  <c r="B37" i="10"/>
  <c r="C9" i="5" l="1"/>
  <c r="C31" i="4"/>
  <c r="R4" i="11"/>
  <c r="C5" i="8"/>
  <c r="K31" i="10"/>
  <c r="L14" i="10"/>
  <c r="C79" i="15"/>
  <c r="C80" i="15"/>
  <c r="C38" i="15"/>
  <c r="C78" i="15"/>
  <c r="C48" i="4"/>
  <c r="C49" i="4"/>
  <c r="C47" i="8"/>
  <c r="B35" i="8"/>
  <c r="B36" i="8" s="1"/>
  <c r="B33" i="15"/>
  <c r="B16" i="9"/>
  <c r="B19" i="9" s="1"/>
  <c r="C15" i="9" s="1"/>
  <c r="B33" i="8"/>
  <c r="C14" i="5"/>
  <c r="C74" i="10"/>
  <c r="C26" i="10"/>
  <c r="C24" i="10"/>
  <c r="C5" i="10"/>
  <c r="C71" i="10"/>
  <c r="C25" i="10"/>
  <c r="C6" i="12"/>
  <c r="C20" i="15"/>
  <c r="C27" i="15"/>
  <c r="D35" i="4"/>
  <c r="D21" i="4"/>
  <c r="D20" i="4"/>
  <c r="D53" i="4" l="1"/>
  <c r="D47" i="4"/>
  <c r="D36" i="4"/>
  <c r="D37" i="4"/>
  <c r="C16" i="10"/>
  <c r="C19" i="10"/>
  <c r="C6" i="10"/>
  <c r="C8" i="10" s="1"/>
  <c r="C10" i="10" s="1"/>
  <c r="C15" i="10"/>
  <c r="C15" i="5"/>
  <c r="C30" i="15"/>
  <c r="C18" i="5"/>
  <c r="C21" i="5" s="1"/>
  <c r="C40" i="4"/>
  <c r="C76" i="10"/>
  <c r="C32" i="4"/>
  <c r="C15" i="8"/>
  <c r="C6" i="8"/>
  <c r="C8" i="8" s="1"/>
  <c r="C10" i="8" s="1"/>
  <c r="C16" i="8"/>
  <c r="C7" i="12"/>
  <c r="C55" i="15"/>
  <c r="C21" i="15"/>
  <c r="D23" i="4"/>
  <c r="L51" i="10"/>
  <c r="L31" i="10"/>
  <c r="M31" i="10" s="1"/>
  <c r="D8" i="5"/>
  <c r="D66" i="4"/>
  <c r="C6" i="9"/>
  <c r="C74" i="8"/>
  <c r="C24" i="8"/>
  <c r="C25" i="8"/>
  <c r="C77" i="8"/>
  <c r="C26" i="8"/>
  <c r="T4" i="11"/>
  <c r="P5" i="11" s="1"/>
  <c r="D24" i="4" l="1"/>
  <c r="Q5" i="11"/>
  <c r="C9" i="8"/>
  <c r="C32" i="9"/>
  <c r="C9" i="10"/>
  <c r="C79" i="8"/>
  <c r="C7" i="9"/>
  <c r="C79" i="10"/>
  <c r="C80" i="10"/>
  <c r="C38" i="10"/>
  <c r="C78" i="10"/>
  <c r="C23" i="9"/>
  <c r="C27" i="8"/>
  <c r="C20" i="8"/>
  <c r="C20" i="10"/>
  <c r="C11" i="10"/>
  <c r="C27" i="10"/>
  <c r="C23" i="12"/>
  <c r="D68" i="4"/>
  <c r="C21" i="10"/>
  <c r="C57" i="15"/>
  <c r="C23" i="5"/>
  <c r="C43" i="4"/>
  <c r="C32" i="15"/>
  <c r="C36" i="15" s="1"/>
  <c r="C39" i="15" l="1"/>
  <c r="C37" i="15"/>
  <c r="C45" i="15"/>
  <c r="D44" i="15" s="1"/>
  <c r="C25" i="9"/>
  <c r="C24" i="9"/>
  <c r="C26" i="9"/>
  <c r="C26" i="12"/>
  <c r="C25" i="12"/>
  <c r="C24" i="12"/>
  <c r="R5" i="11"/>
  <c r="C61" i="15"/>
  <c r="C58" i="15"/>
  <c r="C8" i="12"/>
  <c r="C17" i="12"/>
  <c r="C32" i="12"/>
  <c r="C52" i="4"/>
  <c r="C29" i="12"/>
  <c r="C30" i="10"/>
  <c r="D38" i="4"/>
  <c r="D25" i="4"/>
  <c r="C30" i="8"/>
  <c r="C32" i="8" s="1"/>
  <c r="C55" i="10"/>
  <c r="C8" i="9"/>
  <c r="C17" i="9"/>
  <c r="C41" i="8"/>
  <c r="C81" i="8"/>
  <c r="C83" i="8"/>
  <c r="C19" i="8"/>
  <c r="T5" i="11" l="1"/>
  <c r="P6" i="11" s="1"/>
  <c r="C21" i="8"/>
  <c r="C9" i="9"/>
  <c r="C28" i="12"/>
  <c r="C27" i="12"/>
  <c r="C32" i="10"/>
  <c r="D26" i="4"/>
  <c r="D13" i="5"/>
  <c r="C13" i="12"/>
  <c r="C10" i="12"/>
  <c r="C9" i="12"/>
  <c r="C29" i="9"/>
  <c r="D6" i="5"/>
  <c r="D46" i="4"/>
  <c r="D26" i="15"/>
  <c r="D71" i="15"/>
  <c r="D74" i="15"/>
  <c r="D14" i="15"/>
  <c r="D24" i="15"/>
  <c r="D25" i="15"/>
  <c r="C82" i="8"/>
  <c r="C56" i="4"/>
  <c r="C54" i="4"/>
  <c r="C57" i="10"/>
  <c r="C28" i="9"/>
  <c r="C27" i="9"/>
  <c r="C13" i="9" l="1"/>
  <c r="C39" i="8"/>
  <c r="C14" i="12"/>
  <c r="D76" i="15"/>
  <c r="D31" i="4"/>
  <c r="D48" i="4"/>
  <c r="D49" i="4"/>
  <c r="Q6" i="11"/>
  <c r="D27" i="4"/>
  <c r="E14" i="15"/>
  <c r="D31" i="15"/>
  <c r="D9" i="5"/>
  <c r="C30" i="9"/>
  <c r="C61" i="10"/>
  <c r="C58" i="10"/>
  <c r="C36" i="10"/>
  <c r="D14" i="5"/>
  <c r="C58" i="8"/>
  <c r="D5" i="15"/>
  <c r="C30" i="12"/>
  <c r="C60" i="8" l="1"/>
  <c r="D40" i="4"/>
  <c r="C31" i="9"/>
  <c r="R6" i="11"/>
  <c r="C39" i="10"/>
  <c r="C45" i="10"/>
  <c r="D44" i="10" s="1"/>
  <c r="C37" i="10"/>
  <c r="D15" i="5"/>
  <c r="D79" i="15"/>
  <c r="D80" i="15"/>
  <c r="D38" i="15"/>
  <c r="D78" i="15"/>
  <c r="C31" i="12"/>
  <c r="C42" i="8"/>
  <c r="C40" i="8"/>
  <c r="C48" i="8"/>
  <c r="E19" i="4"/>
  <c r="D30" i="4"/>
  <c r="D15" i="15"/>
  <c r="D16" i="15"/>
  <c r="D19" i="15"/>
  <c r="D6" i="15"/>
  <c r="D8" i="15" s="1"/>
  <c r="D10" i="15" s="1"/>
  <c r="E31" i="15"/>
  <c r="F14" i="15"/>
  <c r="D18" i="5"/>
  <c r="C16" i="12"/>
  <c r="C19" i="12" s="1"/>
  <c r="D15" i="12" s="1"/>
  <c r="C33" i="10"/>
  <c r="C14" i="9"/>
  <c r="C33" i="15" l="1"/>
  <c r="C16" i="9"/>
  <c r="C19" i="9" s="1"/>
  <c r="D15" i="9" s="1"/>
  <c r="C33" i="8"/>
  <c r="D74" i="10"/>
  <c r="D26" i="10"/>
  <c r="D24" i="10"/>
  <c r="D5" i="10"/>
  <c r="D6" i="12"/>
  <c r="D71" i="10"/>
  <c r="D25" i="10"/>
  <c r="D55" i="15"/>
  <c r="T6" i="11"/>
  <c r="P7" i="11" s="1"/>
  <c r="F51" i="15"/>
  <c r="F31" i="15"/>
  <c r="G31" i="15" s="1"/>
  <c r="D21" i="5"/>
  <c r="D32" i="4"/>
  <c r="D21" i="15"/>
  <c r="E20" i="4"/>
  <c r="E35" i="4"/>
  <c r="E21" i="4"/>
  <c r="D43" i="4"/>
  <c r="C64" i="8"/>
  <c r="C61" i="8"/>
  <c r="D20" i="15"/>
  <c r="D27" i="15"/>
  <c r="D47" i="8"/>
  <c r="C35" i="8"/>
  <c r="C36" i="8" s="1"/>
  <c r="D9" i="15"/>
  <c r="E23" i="4" l="1"/>
  <c r="D23" i="5"/>
  <c r="D76" i="10"/>
  <c r="Q7" i="11"/>
  <c r="R7" i="11" s="1"/>
  <c r="D6" i="9"/>
  <c r="D74" i="8"/>
  <c r="D25" i="8"/>
  <c r="D14" i="8"/>
  <c r="D77" i="8"/>
  <c r="D26" i="8"/>
  <c r="D24" i="8"/>
  <c r="D30" i="15"/>
  <c r="D15" i="10"/>
  <c r="D19" i="10"/>
  <c r="D16" i="10"/>
  <c r="D6" i="10"/>
  <c r="D8" i="10" s="1"/>
  <c r="D10" i="10" s="1"/>
  <c r="D9" i="10"/>
  <c r="D52" i="4"/>
  <c r="E66" i="4"/>
  <c r="E8" i="5"/>
  <c r="D57" i="15"/>
  <c r="D7" i="12"/>
  <c r="E47" i="4"/>
  <c r="E36" i="4"/>
  <c r="E53" i="4"/>
  <c r="E37" i="4"/>
  <c r="D79" i="8" l="1"/>
  <c r="D61" i="15"/>
  <c r="D58" i="15"/>
  <c r="D54" i="4"/>
  <c r="D56" i="4"/>
  <c r="D7" i="9"/>
  <c r="T7" i="11"/>
  <c r="P8" i="11" s="1"/>
  <c r="D31" i="8"/>
  <c r="E14" i="8"/>
  <c r="D5" i="8"/>
  <c r="E24" i="4"/>
  <c r="E68" i="4"/>
  <c r="D32" i="15"/>
  <c r="D20" i="10"/>
  <c r="D11" i="10"/>
  <c r="D23" i="12"/>
  <c r="D27" i="10"/>
  <c r="D78" i="10"/>
  <c r="D80" i="10"/>
  <c r="D79" i="10"/>
  <c r="D38" i="10"/>
  <c r="E27" i="4" l="1"/>
  <c r="D30" i="10"/>
  <c r="D55" i="10"/>
  <c r="D36" i="15"/>
  <c r="E38" i="4"/>
  <c r="E25" i="4"/>
  <c r="D21" i="10"/>
  <c r="D29" i="12"/>
  <c r="Q8" i="11"/>
  <c r="R8" i="11" s="1"/>
  <c r="T8" i="11" s="1"/>
  <c r="P9" i="11" s="1"/>
  <c r="D8" i="12"/>
  <c r="D17" i="12"/>
  <c r="D32" i="10"/>
  <c r="D32" i="12"/>
  <c r="D26" i="12"/>
  <c r="D24" i="12"/>
  <c r="D25" i="12"/>
  <c r="D6" i="8"/>
  <c r="D8" i="8" s="1"/>
  <c r="D10" i="8" s="1"/>
  <c r="D9" i="8"/>
  <c r="D16" i="8"/>
  <c r="D15" i="8"/>
  <c r="D81" i="8"/>
  <c r="D83" i="8"/>
  <c r="D41" i="8"/>
  <c r="D82" i="8"/>
  <c r="E31" i="8"/>
  <c r="F14" i="8"/>
  <c r="T9" i="11" l="1"/>
  <c r="P10" i="11" s="1"/>
  <c r="Q9" i="11"/>
  <c r="R9" i="11" s="1"/>
  <c r="E26" i="4"/>
  <c r="E13" i="5"/>
  <c r="F54" i="8"/>
  <c r="F31" i="8"/>
  <c r="G31" i="8" s="1"/>
  <c r="D28" i="12"/>
  <c r="D27" i="12"/>
  <c r="E6" i="5"/>
  <c r="E46" i="4"/>
  <c r="F19" i="4"/>
  <c r="E30" i="4"/>
  <c r="D23" i="9"/>
  <c r="D27" i="8"/>
  <c r="D20" i="8"/>
  <c r="D19" i="8"/>
  <c r="D57" i="10"/>
  <c r="D39" i="15"/>
  <c r="D45" i="15"/>
  <c r="E44" i="15" s="1"/>
  <c r="D37" i="15"/>
  <c r="D58" i="8"/>
  <c r="D29" i="9"/>
  <c r="D10" i="12"/>
  <c r="D9" i="12"/>
  <c r="D30" i="12" s="1"/>
  <c r="D36" i="10"/>
  <c r="D13" i="12"/>
  <c r="D8" i="9" l="1"/>
  <c r="D17" i="9"/>
  <c r="D32" i="9"/>
  <c r="D25" i="9"/>
  <c r="D26" i="9"/>
  <c r="D24" i="9"/>
  <c r="E14" i="5"/>
  <c r="D61" i="10"/>
  <c r="D58" i="10"/>
  <c r="E31" i="4"/>
  <c r="D31" i="12"/>
  <c r="D60" i="8"/>
  <c r="E26" i="15"/>
  <c r="E71" i="15"/>
  <c r="E74" i="15"/>
  <c r="E24" i="15"/>
  <c r="E5" i="15"/>
  <c r="E25" i="15"/>
  <c r="D30" i="8"/>
  <c r="D32" i="8" s="1"/>
  <c r="E9" i="5"/>
  <c r="D14" i="12"/>
  <c r="D39" i="10"/>
  <c r="D37" i="10"/>
  <c r="D45" i="10"/>
  <c r="E44" i="10" s="1"/>
  <c r="D21" i="8"/>
  <c r="F35" i="4"/>
  <c r="F20" i="4"/>
  <c r="F21" i="4"/>
  <c r="Q10" i="11"/>
  <c r="R10" i="11" s="1"/>
  <c r="T10" i="11"/>
  <c r="P11" i="11" s="1"/>
  <c r="E48" i="4"/>
  <c r="E49" i="4"/>
  <c r="E18" i="5" l="1"/>
  <c r="Q11" i="11"/>
  <c r="R11" i="11" s="1"/>
  <c r="T11" i="11" s="1"/>
  <c r="P12" i="11" s="1"/>
  <c r="E74" i="10"/>
  <c r="E71" i="10"/>
  <c r="E6" i="12"/>
  <c r="E5" i="10"/>
  <c r="E25" i="10"/>
  <c r="E24" i="10"/>
  <c r="E26" i="10"/>
  <c r="F8" i="5"/>
  <c r="F66" i="4"/>
  <c r="E40" i="4"/>
  <c r="D27" i="9"/>
  <c r="D28" i="9"/>
  <c r="D16" i="12"/>
  <c r="D19" i="12" s="1"/>
  <c r="E15" i="12" s="1"/>
  <c r="D33" i="10"/>
  <c r="D64" i="8"/>
  <c r="D61" i="8"/>
  <c r="F36" i="4"/>
  <c r="F53" i="4"/>
  <c r="F37" i="4"/>
  <c r="F47" i="4"/>
  <c r="D13" i="9"/>
  <c r="D39" i="8"/>
  <c r="F23" i="4"/>
  <c r="E15" i="15"/>
  <c r="E9" i="15"/>
  <c r="E6" i="15"/>
  <c r="E8" i="15" s="1"/>
  <c r="E10" i="15" s="1"/>
  <c r="E19" i="15"/>
  <c r="E16" i="15"/>
  <c r="E32" i="4"/>
  <c r="E15" i="5"/>
  <c r="E21" i="5" s="1"/>
  <c r="E76" i="15"/>
  <c r="D9" i="9"/>
  <c r="D30" i="9" s="1"/>
  <c r="E23" i="5" l="1"/>
  <c r="T12" i="11"/>
  <c r="P13" i="11" s="1"/>
  <c r="Q12" i="11"/>
  <c r="R12" i="11" s="1"/>
  <c r="E20" i="15"/>
  <c r="E27" i="15"/>
  <c r="D42" i="8"/>
  <c r="D48" i="8"/>
  <c r="D40" i="8"/>
  <c r="D31" i="9"/>
  <c r="E43" i="4"/>
  <c r="E15" i="10"/>
  <c r="E6" i="10"/>
  <c r="E8" i="10" s="1"/>
  <c r="E10" i="10" s="1"/>
  <c r="E9" i="10"/>
  <c r="E19" i="10"/>
  <c r="E16" i="10"/>
  <c r="E80" i="15"/>
  <c r="E78" i="15"/>
  <c r="E79" i="15"/>
  <c r="E38" i="15"/>
  <c r="F24" i="4"/>
  <c r="F68" i="4"/>
  <c r="E21" i="15"/>
  <c r="D14" i="9"/>
  <c r="E7" i="12"/>
  <c r="E76" i="10"/>
  <c r="F25" i="4" l="1"/>
  <c r="F38" i="4"/>
  <c r="D33" i="15"/>
  <c r="D16" i="9"/>
  <c r="D19" i="9" s="1"/>
  <c r="E15" i="9" s="1"/>
  <c r="D33" i="8"/>
  <c r="E23" i="12"/>
  <c r="E20" i="10"/>
  <c r="E27" i="10"/>
  <c r="E11" i="10"/>
  <c r="E47" i="8"/>
  <c r="D35" i="8"/>
  <c r="D36" i="8" s="1"/>
  <c r="T13" i="11"/>
  <c r="P14" i="11" s="1"/>
  <c r="Q13" i="11"/>
  <c r="R13" i="11" s="1"/>
  <c r="E32" i="15"/>
  <c r="E36" i="15" s="1"/>
  <c r="E55" i="15"/>
  <c r="E30" i="15"/>
  <c r="E5" i="8"/>
  <c r="E78" i="10"/>
  <c r="E80" i="10"/>
  <c r="E38" i="10"/>
  <c r="E52" i="4"/>
  <c r="E21" i="10"/>
  <c r="E39" i="15" l="1"/>
  <c r="E37" i="15"/>
  <c r="E45" i="15"/>
  <c r="F44" i="15" s="1"/>
  <c r="E8" i="12"/>
  <c r="E32" i="12"/>
  <c r="E17" i="12"/>
  <c r="E56" i="4"/>
  <c r="E54" i="4"/>
  <c r="E26" i="12"/>
  <c r="E24" i="12"/>
  <c r="E25" i="12"/>
  <c r="E29" i="12"/>
  <c r="E16" i="8"/>
  <c r="E15" i="8"/>
  <c r="E6" i="8"/>
  <c r="E8" i="8" s="1"/>
  <c r="E10" i="8" s="1"/>
  <c r="E30" i="10"/>
  <c r="E32" i="10" s="1"/>
  <c r="F13" i="5"/>
  <c r="F26" i="4"/>
  <c r="Q14" i="11"/>
  <c r="F6" i="5"/>
  <c r="F46" i="4"/>
  <c r="E79" i="10"/>
  <c r="E77" i="8"/>
  <c r="E6" i="9"/>
  <c r="E74" i="8"/>
  <c r="E25" i="8"/>
  <c r="E24" i="8"/>
  <c r="E26" i="8"/>
  <c r="E57" i="15"/>
  <c r="E36" i="10" l="1"/>
  <c r="E23" i="9"/>
  <c r="E27" i="8"/>
  <c r="E20" i="8"/>
  <c r="E13" i="12"/>
  <c r="E7" i="9"/>
  <c r="F31" i="4"/>
  <c r="E61" i="15"/>
  <c r="E58" i="15"/>
  <c r="R14" i="11"/>
  <c r="Q15" i="11"/>
  <c r="Q17" i="11" s="1"/>
  <c r="Q19" i="11" s="1"/>
  <c r="F9" i="5"/>
  <c r="F14" i="5"/>
  <c r="F27" i="4"/>
  <c r="E55" i="10"/>
  <c r="E9" i="8"/>
  <c r="F49" i="4"/>
  <c r="F48" i="4"/>
  <c r="E28" i="12"/>
  <c r="E27" i="12"/>
  <c r="E10" i="12"/>
  <c r="E9" i="12"/>
  <c r="E30" i="12" s="1"/>
  <c r="F71" i="15"/>
  <c r="F74" i="15"/>
  <c r="G74" i="15" s="1"/>
  <c r="F26" i="15"/>
  <c r="G26" i="15" s="1"/>
  <c r="F25" i="15"/>
  <c r="G25" i="15" s="1"/>
  <c r="F5" i="15"/>
  <c r="F24" i="15"/>
  <c r="E79" i="8"/>
  <c r="E14" i="12" l="1"/>
  <c r="F40" i="4"/>
  <c r="E30" i="8"/>
  <c r="F21" i="5"/>
  <c r="R15" i="11"/>
  <c r="T14" i="11"/>
  <c r="E8" i="9"/>
  <c r="G19" i="4"/>
  <c r="F30" i="4"/>
  <c r="E26" i="9"/>
  <c r="E25" i="9"/>
  <c r="E24" i="9"/>
  <c r="E17" i="9"/>
  <c r="E39" i="10"/>
  <c r="E45" i="10"/>
  <c r="F44" i="10" s="1"/>
  <c r="E37" i="10"/>
  <c r="E31" i="12"/>
  <c r="F18" i="5"/>
  <c r="F15" i="5"/>
  <c r="G24" i="15"/>
  <c r="E19" i="8"/>
  <c r="F6" i="15"/>
  <c r="F48" i="15" s="1"/>
  <c r="F16" i="15"/>
  <c r="F19" i="15"/>
  <c r="F9" i="15"/>
  <c r="F49" i="15" s="1"/>
  <c r="F50" i="15" s="1"/>
  <c r="F15" i="15"/>
  <c r="F10" i="15"/>
  <c r="E57" i="10"/>
  <c r="E32" i="9"/>
  <c r="E32" i="8"/>
  <c r="E81" i="8"/>
  <c r="E82" i="8"/>
  <c r="E83" i="8"/>
  <c r="E41" i="8"/>
  <c r="F76" i="15"/>
  <c r="G71" i="15"/>
  <c r="E9" i="9"/>
  <c r="E58" i="8" l="1"/>
  <c r="E28" i="9"/>
  <c r="E27" i="9"/>
  <c r="F74" i="10"/>
  <c r="F6" i="12"/>
  <c r="F25" i="10"/>
  <c r="F24" i="10"/>
  <c r="F26" i="10"/>
  <c r="F71" i="10"/>
  <c r="F5" i="10"/>
  <c r="E30" i="9"/>
  <c r="G19" i="15"/>
  <c r="F43" i="4"/>
  <c r="F27" i="15"/>
  <c r="F20" i="15"/>
  <c r="G10" i="15"/>
  <c r="F23" i="5"/>
  <c r="E29" i="9"/>
  <c r="F32" i="4"/>
  <c r="G20" i="4"/>
  <c r="G21" i="4"/>
  <c r="G35" i="4"/>
  <c r="F80" i="15"/>
  <c r="F78" i="15"/>
  <c r="G78" i="15" s="1"/>
  <c r="F79" i="15"/>
  <c r="F38" i="15"/>
  <c r="G38" i="15" s="1"/>
  <c r="G76" i="15"/>
  <c r="F52" i="15"/>
  <c r="F56" i="15" s="1"/>
  <c r="G56" i="15" s="1"/>
  <c r="E21" i="8"/>
  <c r="E61" i="10"/>
  <c r="E58" i="10"/>
  <c r="E16" i="12"/>
  <c r="E19" i="12" s="1"/>
  <c r="F15" i="12" s="1"/>
  <c r="E33" i="10"/>
  <c r="F55" i="15" l="1"/>
  <c r="G79" i="15"/>
  <c r="F30" i="15"/>
  <c r="G30" i="15" s="1"/>
  <c r="G20" i="15"/>
  <c r="F15" i="10"/>
  <c r="F19" i="10"/>
  <c r="F9" i="10"/>
  <c r="F6" i="10"/>
  <c r="F8" i="10" s="1"/>
  <c r="F10" i="10" s="1"/>
  <c r="F16" i="10"/>
  <c r="G27" i="15"/>
  <c r="F76" i="10"/>
  <c r="E31" i="9"/>
  <c r="F52" i="4"/>
  <c r="F7" i="12"/>
  <c r="G8" i="5"/>
  <c r="H8" i="5" s="1"/>
  <c r="C29" i="5" s="1"/>
  <c r="G66" i="4"/>
  <c r="H21" i="4"/>
  <c r="E39" i="8"/>
  <c r="E13" i="9"/>
  <c r="G36" i="4"/>
  <c r="G53" i="4"/>
  <c r="H53" i="4" s="1"/>
  <c r="G37" i="4"/>
  <c r="H37" i="4" s="1"/>
  <c r="G47" i="4"/>
  <c r="H47" i="4" s="1"/>
  <c r="G23" i="4"/>
  <c r="G59" i="4"/>
  <c r="H20" i="4"/>
  <c r="F21" i="15"/>
  <c r="E60" i="8"/>
  <c r="E64" i="8" l="1"/>
  <c r="E61" i="8"/>
  <c r="G21" i="15"/>
  <c r="F21" i="10"/>
  <c r="H66" i="4"/>
  <c r="F57" i="15"/>
  <c r="G55" i="15"/>
  <c r="G57" i="15" s="1"/>
  <c r="B63" i="15" s="1"/>
  <c r="H36" i="4"/>
  <c r="D29" i="5"/>
  <c r="F78" i="10"/>
  <c r="F80" i="10"/>
  <c r="F38" i="10"/>
  <c r="F79" i="10"/>
  <c r="G24" i="4"/>
  <c r="H23" i="4"/>
  <c r="E14" i="9"/>
  <c r="E42" i="8"/>
  <c r="E48" i="8"/>
  <c r="E40" i="8"/>
  <c r="F56" i="4"/>
  <c r="F54" i="4"/>
  <c r="F23" i="12"/>
  <c r="F27" i="10"/>
  <c r="F20" i="10"/>
  <c r="F11" i="10"/>
  <c r="F30" i="10" l="1"/>
  <c r="F47" i="8"/>
  <c r="E35" i="8"/>
  <c r="E36" i="8" s="1"/>
  <c r="F55" i="10"/>
  <c r="F13" i="12"/>
  <c r="F36" i="10"/>
  <c r="F26" i="12"/>
  <c r="F24" i="12"/>
  <c r="F25" i="12"/>
  <c r="F8" i="12"/>
  <c r="F17" i="12"/>
  <c r="F32" i="10"/>
  <c r="F32" i="12"/>
  <c r="F5" i="8"/>
  <c r="F29" i="12"/>
  <c r="F61" i="15"/>
  <c r="B62" i="15" s="1"/>
  <c r="F58" i="15"/>
  <c r="E33" i="15"/>
  <c r="E16" i="9"/>
  <c r="E19" i="9" s="1"/>
  <c r="F15" i="9" s="1"/>
  <c r="E33" i="8"/>
  <c r="G27" i="4"/>
  <c r="G25" i="4"/>
  <c r="G38" i="4"/>
  <c r="H24" i="4"/>
  <c r="E21" i="1" s="1"/>
  <c r="G6" i="5" l="1"/>
  <c r="H38" i="4"/>
  <c r="G46" i="4"/>
  <c r="F39" i="10"/>
  <c r="F45" i="10"/>
  <c r="G44" i="10" s="1"/>
  <c r="F37" i="10"/>
  <c r="F15" i="8"/>
  <c r="F16" i="8"/>
  <c r="F6" i="8"/>
  <c r="F51" i="8" s="1"/>
  <c r="F10" i="8"/>
  <c r="F14" i="12"/>
  <c r="G26" i="4"/>
  <c r="G13" i="5"/>
  <c r="H25" i="4"/>
  <c r="H21" i="1" s="1"/>
  <c r="F77" i="8"/>
  <c r="G77" i="8" s="1"/>
  <c r="F26" i="8"/>
  <c r="F24" i="8"/>
  <c r="F74" i="8"/>
  <c r="F6" i="9"/>
  <c r="G6" i="9" s="1"/>
  <c r="F25" i="8"/>
  <c r="G25" i="8" s="1"/>
  <c r="F57" i="10"/>
  <c r="G60" i="4"/>
  <c r="G61" i="4" s="1"/>
  <c r="G30" i="4"/>
  <c r="F28" i="12"/>
  <c r="F27" i="12"/>
  <c r="F10" i="12"/>
  <c r="F9" i="12"/>
  <c r="F30" i="12" s="1"/>
  <c r="G24" i="8" l="1"/>
  <c r="F31" i="12"/>
  <c r="H30" i="4"/>
  <c r="F16" i="12"/>
  <c r="F19" i="12" s="1"/>
  <c r="G15" i="12" s="1"/>
  <c r="F33" i="10"/>
  <c r="F20" i="8"/>
  <c r="F23" i="9"/>
  <c r="F27" i="8"/>
  <c r="G10" i="8"/>
  <c r="F61" i="10"/>
  <c r="F58" i="10"/>
  <c r="G49" i="4"/>
  <c r="G48" i="4"/>
  <c r="H46" i="4"/>
  <c r="G14" i="5"/>
  <c r="H13" i="5"/>
  <c r="F9" i="8"/>
  <c r="G71" i="10"/>
  <c r="G6" i="12"/>
  <c r="G74" i="10"/>
  <c r="G25" i="10"/>
  <c r="G24" i="10"/>
  <c r="G26" i="10"/>
  <c r="G7" i="12" s="1"/>
  <c r="G5" i="10"/>
  <c r="F7" i="9"/>
  <c r="G26" i="8"/>
  <c r="F79" i="8"/>
  <c r="G74" i="8"/>
  <c r="G31" i="4"/>
  <c r="G32" i="4" s="1"/>
  <c r="H26" i="4"/>
  <c r="H6" i="5"/>
  <c r="C27" i="5" s="1"/>
  <c r="F41" i="8" l="1"/>
  <c r="G41" i="8" s="1"/>
  <c r="F81" i="8"/>
  <c r="F83" i="8"/>
  <c r="G79" i="8"/>
  <c r="F8" i="9"/>
  <c r="G8" i="9" s="1"/>
  <c r="G27" i="8"/>
  <c r="F17" i="9"/>
  <c r="G17" i="9" s="1"/>
  <c r="F26" i="9"/>
  <c r="F24" i="9"/>
  <c r="G24" i="9" s="1"/>
  <c r="F25" i="9"/>
  <c r="G25" i="9" s="1"/>
  <c r="G23" i="9"/>
  <c r="G7" i="9"/>
  <c r="G15" i="5"/>
  <c r="H15" i="5" s="1"/>
  <c r="H14" i="5"/>
  <c r="C30" i="5" s="1"/>
  <c r="H32" i="4"/>
  <c r="H17" i="1" s="1"/>
  <c r="F30" i="8"/>
  <c r="G30" i="8" s="1"/>
  <c r="G20" i="8"/>
  <c r="D27" i="5"/>
  <c r="G18" i="5"/>
  <c r="H18" i="5" s="1"/>
  <c r="C31" i="5" s="1"/>
  <c r="H73" i="4"/>
  <c r="H49" i="4"/>
  <c r="G19" i="10"/>
  <c r="G6" i="10"/>
  <c r="G8" i="10" s="1"/>
  <c r="G10" i="10" s="1"/>
  <c r="G9" i="10"/>
  <c r="G15" i="10"/>
  <c r="G16" i="10"/>
  <c r="G76" i="10"/>
  <c r="F32" i="9"/>
  <c r="G40" i="4"/>
  <c r="H31" i="4"/>
  <c r="F52" i="8"/>
  <c r="F53" i="8" s="1"/>
  <c r="F55" i="8" s="1"/>
  <c r="F59" i="8" s="1"/>
  <c r="G59" i="8" s="1"/>
  <c r="F19" i="8"/>
  <c r="H40" i="4" l="1"/>
  <c r="G43" i="4"/>
  <c r="B47" i="9"/>
  <c r="G32" i="9"/>
  <c r="C31" i="1"/>
  <c r="E26" i="1"/>
  <c r="B36" i="9"/>
  <c r="C36" i="9" s="1"/>
  <c r="G80" i="10"/>
  <c r="G38" i="10"/>
  <c r="G78" i="10"/>
  <c r="G29" i="12" s="1"/>
  <c r="D31" i="5"/>
  <c r="F21" i="8"/>
  <c r="G19" i="8"/>
  <c r="D30" i="5"/>
  <c r="F27" i="9"/>
  <c r="G27" i="9" s="1"/>
  <c r="F28" i="9"/>
  <c r="G26" i="9"/>
  <c r="G28" i="9" s="1"/>
  <c r="F29" i="9"/>
  <c r="G29" i="9" s="1"/>
  <c r="G81" i="8"/>
  <c r="G9" i="9"/>
  <c r="F82" i="8"/>
  <c r="G23" i="12"/>
  <c r="G27" i="10"/>
  <c r="G11" i="10"/>
  <c r="G20" i="10"/>
  <c r="G30" i="10" s="1"/>
  <c r="F9" i="9"/>
  <c r="H43" i="4" l="1"/>
  <c r="G52" i="4"/>
  <c r="F58" i="8"/>
  <c r="G82" i="8"/>
  <c r="G8" i="12"/>
  <c r="G17" i="12"/>
  <c r="G32" i="12"/>
  <c r="G32" i="10"/>
  <c r="G26" i="12"/>
  <c r="G25" i="12"/>
  <c r="G24" i="12"/>
  <c r="G79" i="10"/>
  <c r="G55" i="10" s="1"/>
  <c r="G57" i="10" s="1"/>
  <c r="F13" i="9"/>
  <c r="G21" i="8"/>
  <c r="G21" i="10"/>
  <c r="F14" i="9" l="1"/>
  <c r="G13" i="9"/>
  <c r="B44" i="9" s="1"/>
  <c r="G10" i="12"/>
  <c r="G9" i="12"/>
  <c r="G30" i="12" s="1"/>
  <c r="G31" i="12" s="1"/>
  <c r="G61" i="10"/>
  <c r="G58" i="10"/>
  <c r="F60" i="8"/>
  <c r="G58" i="8"/>
  <c r="G60" i="8" s="1"/>
  <c r="B66" i="8" s="1"/>
  <c r="B43" i="9" s="1"/>
  <c r="G27" i="12"/>
  <c r="G28" i="12"/>
  <c r="G54" i="4"/>
  <c r="H52" i="4"/>
  <c r="G36" i="10"/>
  <c r="G13" i="12"/>
  <c r="G14" i="12" s="1"/>
  <c r="G16" i="12" l="1"/>
  <c r="G19" i="12" s="1"/>
  <c r="H15" i="12" s="1"/>
  <c r="G33" i="10"/>
  <c r="F64" i="8"/>
  <c r="B65" i="8" s="1"/>
  <c r="B42" i="9" s="1"/>
  <c r="F61" i="8"/>
  <c r="G39" i="10"/>
  <c r="G45" i="10"/>
  <c r="H44" i="10" s="1"/>
  <c r="G37" i="10"/>
  <c r="G55" i="4"/>
  <c r="H54" i="4"/>
  <c r="F33" i="15"/>
  <c r="F16" i="9"/>
  <c r="F33" i="8"/>
  <c r="G14" i="9"/>
  <c r="G16" i="9"/>
  <c r="H71" i="10" l="1"/>
  <c r="H6" i="12"/>
  <c r="H25" i="10"/>
  <c r="H74" i="10"/>
  <c r="H26" i="10"/>
  <c r="H7" i="12" s="1"/>
  <c r="H24" i="10"/>
  <c r="H5" i="10"/>
  <c r="G33" i="15"/>
  <c r="B45" i="9"/>
  <c r="G33" i="8"/>
  <c r="F18" i="9"/>
  <c r="G7" i="5"/>
  <c r="H55" i="4"/>
  <c r="G56" i="4"/>
  <c r="H19" i="10" l="1"/>
  <c r="H6" i="10"/>
  <c r="H8" i="10" s="1"/>
  <c r="H10" i="10" s="1"/>
  <c r="H16" i="10"/>
  <c r="H15" i="10"/>
  <c r="H9" i="10"/>
  <c r="F34" i="15"/>
  <c r="F32" i="15" s="1"/>
  <c r="F34" i="8"/>
  <c r="F32" i="8" s="1"/>
  <c r="G18" i="9"/>
  <c r="F30" i="9"/>
  <c r="F19" i="9"/>
  <c r="H56" i="4"/>
  <c r="B21" i="1" s="1"/>
  <c r="H74" i="4"/>
  <c r="G63" i="4"/>
  <c r="G67" i="4" s="1"/>
  <c r="H7" i="5"/>
  <c r="C28" i="5" s="1"/>
  <c r="G9" i="5"/>
  <c r="H76" i="10"/>
  <c r="E28" i="5" l="1"/>
  <c r="D28" i="5"/>
  <c r="E27" i="5"/>
  <c r="C32" i="5"/>
  <c r="D32" i="5" s="1"/>
  <c r="E29" i="5"/>
  <c r="E31" i="5"/>
  <c r="E30" i="5"/>
  <c r="G32" i="8"/>
  <c r="F39" i="8"/>
  <c r="H67" i="4"/>
  <c r="H71" i="4"/>
  <c r="E17" i="1" s="1"/>
  <c r="G68" i="4"/>
  <c r="G32" i="15"/>
  <c r="F36" i="15"/>
  <c r="H80" i="10"/>
  <c r="H38" i="10"/>
  <c r="H78" i="10"/>
  <c r="H29" i="12" s="1"/>
  <c r="H23" i="12"/>
  <c r="H27" i="10"/>
  <c r="H11" i="10"/>
  <c r="H20" i="10"/>
  <c r="H30" i="10" s="1"/>
  <c r="G30" i="9"/>
  <c r="F31" i="9"/>
  <c r="G21" i="5"/>
  <c r="H9" i="5"/>
  <c r="G34" i="15"/>
  <c r="G34" i="8"/>
  <c r="B46" i="9"/>
  <c r="B38" i="9"/>
  <c r="C38" i="9" s="1"/>
  <c r="B39" i="9"/>
  <c r="C39" i="9" s="1"/>
  <c r="B37" i="9"/>
  <c r="C37" i="9" s="1"/>
  <c r="G19" i="9"/>
  <c r="F39" i="15" l="1"/>
  <c r="G39" i="15" s="1"/>
  <c r="G36" i="15"/>
  <c r="F45" i="15"/>
  <c r="F37" i="15"/>
  <c r="H8" i="12"/>
  <c r="H17" i="12"/>
  <c r="H32" i="10"/>
  <c r="H32" i="12"/>
  <c r="H25" i="12"/>
  <c r="H24" i="12"/>
  <c r="H26" i="12"/>
  <c r="H70" i="4"/>
  <c r="H68" i="4"/>
  <c r="H21" i="10"/>
  <c r="H21" i="5"/>
  <c r="G23" i="5"/>
  <c r="H79" i="10"/>
  <c r="H55" i="10" s="1"/>
  <c r="H57" i="10" s="1"/>
  <c r="F42" i="8"/>
  <c r="G42" i="8" s="1"/>
  <c r="G39" i="8"/>
  <c r="F48" i="8"/>
  <c r="F35" i="8" s="1"/>
  <c r="F36" i="8" s="1"/>
  <c r="F40" i="8"/>
  <c r="H10" i="12" l="1"/>
  <c r="H9" i="12"/>
  <c r="C30" i="1"/>
  <c r="B17" i="1"/>
  <c r="C36" i="5"/>
  <c r="C32" i="1"/>
  <c r="C35" i="5"/>
  <c r="H26" i="1"/>
  <c r="B26" i="1"/>
  <c r="H13" i="12"/>
  <c r="H14" i="12" s="1"/>
  <c r="H36" i="10"/>
  <c r="H27" i="12"/>
  <c r="H28" i="12"/>
  <c r="H61" i="10"/>
  <c r="H58" i="10"/>
  <c r="H39" i="10" l="1"/>
  <c r="H45" i="10"/>
  <c r="I44" i="10" s="1"/>
  <c r="H37" i="10"/>
  <c r="H16" i="12"/>
  <c r="H19" i="12" s="1"/>
  <c r="I15" i="12" s="1"/>
  <c r="H33" i="10"/>
  <c r="H30" i="12"/>
  <c r="H31" i="12" s="1"/>
  <c r="I71" i="10" l="1"/>
  <c r="I6" i="12"/>
  <c r="I25" i="10"/>
  <c r="I74" i="10"/>
  <c r="I5" i="10"/>
  <c r="I26" i="10"/>
  <c r="I7" i="12" s="1"/>
  <c r="I24" i="10"/>
  <c r="I6" i="10" l="1"/>
  <c r="I8" i="10" s="1"/>
  <c r="I10" i="10" s="1"/>
  <c r="I16" i="10"/>
  <c r="I9" i="10"/>
  <c r="I15" i="10"/>
  <c r="I19" i="10"/>
  <c r="I76" i="10"/>
  <c r="I80" i="10" l="1"/>
  <c r="I38" i="10"/>
  <c r="I78" i="10"/>
  <c r="I29" i="12" s="1"/>
  <c r="I21" i="10"/>
  <c r="I23" i="12"/>
  <c r="I11" i="10"/>
  <c r="I27" i="10"/>
  <c r="I20" i="10"/>
  <c r="I30" i="10" s="1"/>
  <c r="I8" i="12" l="1"/>
  <c r="I17" i="12"/>
  <c r="I32" i="10"/>
  <c r="I36" i="10" s="1"/>
  <c r="I32" i="12"/>
  <c r="I25" i="12"/>
  <c r="I24" i="12"/>
  <c r="I26" i="12"/>
  <c r="I13" i="12"/>
  <c r="I14" i="12" s="1"/>
  <c r="I79" i="10"/>
  <c r="I55" i="10" s="1"/>
  <c r="I57" i="10" s="1"/>
  <c r="I39" i="10" l="1"/>
  <c r="I37" i="10"/>
  <c r="I45" i="10"/>
  <c r="J44" i="10" s="1"/>
  <c r="I33" i="10"/>
  <c r="I16" i="12"/>
  <c r="I19" i="12" s="1"/>
  <c r="J15" i="12" s="1"/>
  <c r="I61" i="10"/>
  <c r="I58" i="10"/>
  <c r="I27" i="12"/>
  <c r="I28" i="12"/>
  <c r="I10" i="12"/>
  <c r="I9" i="12"/>
  <c r="I30" i="12" s="1"/>
  <c r="I31" i="12" s="1"/>
  <c r="J6" i="12" l="1"/>
  <c r="J74" i="10"/>
  <c r="J26" i="10"/>
  <c r="J7" i="12" s="1"/>
  <c r="J24" i="10"/>
  <c r="J5" i="10"/>
  <c r="J25" i="10"/>
  <c r="J71" i="10"/>
  <c r="J76" i="10" s="1"/>
  <c r="J78" i="10" l="1"/>
  <c r="J29" i="12" s="1"/>
  <c r="J80" i="10"/>
  <c r="J38" i="10"/>
  <c r="J16" i="10"/>
  <c r="J15" i="10"/>
  <c r="J19" i="10"/>
  <c r="J6" i="10"/>
  <c r="J8" i="10" s="1"/>
  <c r="J10" i="10" s="1"/>
  <c r="J23" i="12" l="1"/>
  <c r="J20" i="10"/>
  <c r="J30" i="10" s="1"/>
  <c r="J11" i="10"/>
  <c r="J27" i="10"/>
  <c r="J21" i="10"/>
  <c r="J79" i="10"/>
  <c r="J55" i="10" s="1"/>
  <c r="J57" i="10" s="1"/>
  <c r="J9" i="10"/>
  <c r="J8" i="12" l="1"/>
  <c r="J9" i="12" s="1"/>
  <c r="J32" i="12"/>
  <c r="J32" i="10"/>
  <c r="J17" i="12"/>
  <c r="J61" i="10"/>
  <c r="J58" i="10"/>
  <c r="J13" i="12"/>
  <c r="J14" i="12" s="1"/>
  <c r="J36" i="10"/>
  <c r="J25" i="12"/>
  <c r="J26" i="12"/>
  <c r="J24" i="12"/>
  <c r="J39" i="10" l="1"/>
  <c r="J45" i="10"/>
  <c r="K44" i="10" s="1"/>
  <c r="J37" i="10"/>
  <c r="J27" i="12"/>
  <c r="J28" i="12"/>
  <c r="J30" i="12" s="1"/>
  <c r="J31" i="12" s="1"/>
  <c r="J16" i="12"/>
  <c r="J19" i="12" s="1"/>
  <c r="K15" i="12" s="1"/>
  <c r="J33" i="10"/>
  <c r="K26" i="10" l="1"/>
  <c r="K7" i="12" s="1"/>
  <c r="K24" i="10"/>
  <c r="K5" i="10"/>
  <c r="K6" i="12"/>
  <c r="K71" i="10"/>
  <c r="K25" i="10"/>
  <c r="K74" i="10"/>
  <c r="M74" i="10" s="1"/>
  <c r="K16" i="10" l="1"/>
  <c r="K15" i="10"/>
  <c r="K19" i="10"/>
  <c r="K6" i="10"/>
  <c r="K8" i="10" s="1"/>
  <c r="K10" i="10" s="1"/>
  <c r="K76" i="10"/>
  <c r="M71" i="10"/>
  <c r="K9" i="10" l="1"/>
  <c r="K20" i="10"/>
  <c r="K30" i="10" s="1"/>
  <c r="K11" i="10"/>
  <c r="K23" i="12"/>
  <c r="K27" i="10"/>
  <c r="K78" i="10"/>
  <c r="K80" i="10"/>
  <c r="K38" i="10"/>
  <c r="M38" i="10" s="1"/>
  <c r="M76" i="10"/>
  <c r="K29" i="12" l="1"/>
  <c r="M29" i="12" s="1"/>
  <c r="M78" i="10"/>
  <c r="K8" i="12"/>
  <c r="K9" i="12" s="1"/>
  <c r="K17" i="12"/>
  <c r="K32" i="12"/>
  <c r="K32" i="10"/>
  <c r="K79" i="10"/>
  <c r="K24" i="12"/>
  <c r="K26" i="12"/>
  <c r="K25" i="12"/>
  <c r="K21" i="10"/>
  <c r="K55" i="10" l="1"/>
  <c r="M79" i="10"/>
  <c r="K36" i="10"/>
  <c r="K13" i="12"/>
  <c r="K14" i="12" s="1"/>
  <c r="K28" i="12"/>
  <c r="K30" i="12" s="1"/>
  <c r="K31" i="12" s="1"/>
  <c r="K27" i="12"/>
  <c r="K16" i="12" l="1"/>
  <c r="K19" i="12" s="1"/>
  <c r="L15" i="12" s="1"/>
  <c r="K33" i="10"/>
  <c r="K39" i="10"/>
  <c r="K37" i="10"/>
  <c r="K45" i="10"/>
  <c r="L44" i="10" s="1"/>
  <c r="K57" i="10"/>
  <c r="M55" i="10"/>
  <c r="L26" i="10" l="1"/>
  <c r="L24" i="10"/>
  <c r="L5" i="10"/>
  <c r="L6" i="12"/>
  <c r="M6" i="12" s="1"/>
  <c r="L25" i="10"/>
  <c r="M25" i="10" s="1"/>
  <c r="K61" i="10"/>
  <c r="K58" i="10"/>
  <c r="L15" i="10" l="1"/>
  <c r="L6" i="10"/>
  <c r="L48" i="10" s="1"/>
  <c r="L10" i="10"/>
  <c r="L19" i="10"/>
  <c r="L9" i="10"/>
  <c r="L49" i="10" s="1"/>
  <c r="L50" i="10" s="1"/>
  <c r="L16" i="10"/>
  <c r="M24" i="10"/>
  <c r="L7" i="12"/>
  <c r="M26" i="10"/>
  <c r="M7" i="12" l="1"/>
  <c r="M19" i="10"/>
  <c r="L20" i="10"/>
  <c r="L11" i="10"/>
  <c r="L23" i="12"/>
  <c r="L27" i="10"/>
  <c r="M10" i="10"/>
  <c r="L52" i="10"/>
  <c r="L56" i="10" s="1"/>
  <c r="L8" i="12" l="1"/>
  <c r="M27" i="10"/>
  <c r="L32" i="12"/>
  <c r="M32" i="12" s="1"/>
  <c r="L17" i="12"/>
  <c r="M17" i="12" s="1"/>
  <c r="L30" i="10"/>
  <c r="M30" i="10" s="1"/>
  <c r="M20" i="10"/>
  <c r="L21" i="10"/>
  <c r="M56" i="10"/>
  <c r="M57" i="10" s="1"/>
  <c r="B63" i="10" s="1"/>
  <c r="B43" i="12" s="1"/>
  <c r="L57" i="10"/>
  <c r="L26" i="12"/>
  <c r="L24" i="12"/>
  <c r="M24" i="12" s="1"/>
  <c r="L25" i="12"/>
  <c r="M25" i="12" s="1"/>
  <c r="M23" i="12"/>
  <c r="L28" i="12" l="1"/>
  <c r="L27" i="12"/>
  <c r="M27" i="12" s="1"/>
  <c r="M26" i="12"/>
  <c r="M28" i="12" s="1"/>
  <c r="L61" i="10"/>
  <c r="B62" i="10" s="1"/>
  <c r="B42" i="12" s="1"/>
  <c r="L58" i="10"/>
  <c r="L13" i="12"/>
  <c r="M21" i="10"/>
  <c r="M8" i="12"/>
  <c r="L9" i="12"/>
  <c r="L14" i="12" l="1"/>
  <c r="M13" i="12"/>
  <c r="B44" i="12" s="1"/>
  <c r="B36" i="12"/>
  <c r="C36" i="12" s="1"/>
  <c r="M9" i="12"/>
  <c r="L16" i="12" l="1"/>
  <c r="L33" i="10"/>
  <c r="M16" i="12"/>
  <c r="M14" i="12"/>
  <c r="B45" i="12" l="1"/>
  <c r="M33" i="10"/>
  <c r="L18" i="12"/>
  <c r="L34" i="10" l="1"/>
  <c r="L32" i="10" s="1"/>
  <c r="M18" i="12"/>
  <c r="L30" i="12"/>
  <c r="L19" i="12"/>
  <c r="M19" i="12" l="1"/>
  <c r="B47" i="12"/>
  <c r="M30" i="12"/>
  <c r="L31" i="12"/>
  <c r="B46" i="12"/>
  <c r="M34" i="10"/>
  <c r="B37" i="12"/>
  <c r="C37" i="12" s="1"/>
  <c r="B38" i="12"/>
  <c r="C38" i="12" s="1"/>
  <c r="B39" i="12"/>
  <c r="C39" i="12" s="1"/>
  <c r="M32" i="10"/>
  <c r="L36" i="10"/>
  <c r="L39" i="10" l="1"/>
  <c r="M39" i="10" s="1"/>
  <c r="M36" i="10"/>
  <c r="L37" i="10"/>
  <c r="L4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TCMC</author>
  </authors>
  <commentList>
    <comment ref="C6" authorId="0" shapeId="0" xr:uid="{00000000-0006-0000-0100-000001000000}">
      <text>
        <r>
          <rPr>
            <sz val="10"/>
            <rFont val="Arial"/>
            <family val="2"/>
          </rPr>
          <t>Tramo 1 — Propuesta ConoSur Mar-2026. Mín emisión USD 2.5M.</t>
        </r>
      </text>
    </comment>
    <comment ref="C7" authorId="0" shapeId="0" xr:uid="{00000000-0006-0000-0100-000002000000}">
      <text>
        <r>
          <rPr>
            <sz val="10"/>
            <rFont val="Arial"/>
            <family val="2"/>
          </rPr>
          <t>Base 5y / Alt 11y (Cl. 16.3.5)</t>
        </r>
      </text>
    </comment>
    <comment ref="C8" authorId="0" shapeId="0" xr:uid="{00000000-0006-0000-0100-000003000000}">
      <text>
        <r>
          <rPr>
            <sz val="10"/>
            <rFont val="Arial"/>
            <family val="2"/>
          </rPr>
          <t>Año fiscal 1 del flujo</t>
        </r>
      </text>
    </comment>
    <comment ref="C9" authorId="0" shapeId="0" xr:uid="{00000000-0006-0000-0100-000004000000}">
      <text>
        <r>
          <rPr>
            <sz val="10"/>
            <rFont val="Arial"/>
            <family val="2"/>
          </rPr>
          <t>Ticket bruto al tomador. NETO = Ticket / (1 + 5%×1,21)</t>
        </r>
      </text>
    </comment>
    <comment ref="C10" authorId="0" shapeId="0" xr:uid="{00000000-0006-0000-0100-000005000000}">
      <text>
        <r>
          <rPr>
            <sz val="10"/>
            <rFont val="Arial"/>
            <family val="2"/>
          </rPr>
          <t>30% — Propuesta ConoSur. Lendar máx 35% Cl. 3.2.5.</t>
        </r>
      </text>
    </comment>
    <comment ref="C11" authorId="0" shapeId="0" xr:uid="{00000000-0006-0000-0100-000006000000}">
      <text>
        <r>
          <rPr>
            <sz val="10"/>
            <rFont val="Arial"/>
            <family val="2"/>
          </rPr>
          <t>Cl. 2.5 Lendar</t>
        </r>
      </text>
    </comment>
    <comment ref="C12" authorId="0" shapeId="0" xr:uid="{00000000-0006-0000-0100-000007000000}">
      <text>
        <r>
          <rPr>
            <sz val="10"/>
            <rFont val="Arial"/>
            <family val="2"/>
          </rPr>
          <t>Calculado por mix de plazos/distribución. Editable si cambia el mix.</t>
        </r>
      </text>
    </comment>
    <comment ref="C13" authorId="0" shapeId="0" xr:uid="{00000000-0006-0000-0100-000008000000}">
      <text>
        <r>
          <rPr>
            <sz val="10"/>
            <color rgb="FF000000"/>
            <rFont val="Arial"/>
            <family val="2"/>
          </rPr>
          <t>Fracción del stock que se libera por año (amortización)</t>
        </r>
      </text>
    </comment>
    <comment ref="C14" authorId="0" shapeId="0" xr:uid="{00000000-0006-0000-0100-000009000000}">
      <text>
        <r>
          <rPr>
            <sz val="10"/>
            <rFont val="Arial"/>
            <family val="2"/>
          </rPr>
          <t>Eficiencia de re-originación. 100% = recoloca todo lo liberado.</t>
        </r>
      </text>
    </comment>
    <comment ref="C15" authorId="0" shapeId="0" xr:uid="{00000000-0006-0000-0100-00000A000000}">
      <text>
        <r>
          <rPr>
            <sz val="10"/>
            <rFont val="Arial"/>
            <family val="2"/>
          </rPr>
          <t>Calculada del Mix de Créditos abajo</t>
        </r>
      </text>
    </comment>
    <comment ref="C16" authorId="0" shapeId="0" xr:uid="{00000000-0006-0000-0100-00000B000000}">
      <text>
        <r>
          <rPr>
            <sz val="10"/>
            <rFont val="Arial"/>
            <family val="2"/>
          </rPr>
          <t>Tasa neta tras gestión de duration</t>
        </r>
      </text>
    </comment>
  </commentList>
</comments>
</file>

<file path=xl/sharedStrings.xml><?xml version="1.0" encoding="utf-8"?>
<sst xmlns="http://schemas.openxmlformats.org/spreadsheetml/2006/main" count="1820" uniqueCount="1223">
  <si>
    <t>TCMC — FCIC Hipotecario · Modelo Financiero v2026.05.11</t>
  </si>
  <si>
    <t>Dashboard ejecutivo — preparado para reunión de equipo</t>
  </si>
  <si>
    <t>📌 NAVEGACIÓN</t>
  </si>
  <si>
    <t>🎛️ Panel de Control</t>
  </si>
  <si>
    <t>⚖️ Comparativa Lendar</t>
  </si>
  <si>
    <t>💧 Cascada Flujo 5Y</t>
  </si>
  <si>
    <t>💼 Ingresos TCMC</t>
  </si>
  <si>
    <t>📊 Sensibilidades</t>
  </si>
  <si>
    <t>📋 PARÁMETROS CLAVE (editar en Panel de Control)</t>
  </si>
  <si>
    <t>Capital Inicial</t>
  </si>
  <si>
    <t>Ticket Promedio</t>
  </si>
  <si>
    <t>LTV Máximo</t>
  </si>
  <si>
    <t>Plazo del Fondo</t>
  </si>
  <si>
    <t>Tasa Media Cartera</t>
  </si>
  <si>
    <t>WAL</t>
  </si>
  <si>
    <t>Fee TCMC por crédito</t>
  </si>
  <si>
    <t>Fee Escribano</t>
  </si>
  <si>
    <t>Tope Gastos (5,4%)</t>
  </si>
  <si>
    <t>🎯 KPIs DEL FONDO (5 años)</t>
  </si>
  <si>
    <t>TIR INVERSOR (post-fees)</t>
  </si>
  <si>
    <t>MOIC</t>
  </si>
  <si>
    <t>TOTAL INGRESOS FONDO 5Y</t>
  </si>
  <si>
    <t>Hurdle: 6%. Carry sobre exceso.</t>
  </si>
  <si>
    <t>Distribuciones / Capital invertido</t>
  </si>
  <si>
    <t>Intereses + Upfront Fees</t>
  </si>
  <si>
    <t>EBITDA NETO 5Y</t>
  </si>
  <si>
    <t>VOLUMEN TOTAL ORIGINADO</t>
  </si>
  <si>
    <t>N° CRÉDITOS TOTALES</t>
  </si>
  <si>
    <t>Resultado disponible para inversores</t>
  </si>
  <si>
    <t>Total face-value de créditos en 5Y</t>
  </si>
  <si>
    <t>Otorgados a lo largo del fondo</t>
  </si>
  <si>
    <t>💰 KPIs TCMC (ingreso para el asesor / sponsor)</t>
  </si>
  <si>
    <t>INGRESO TOTAL TCMC 5Y</t>
  </si>
  <si>
    <t>SPONSOR OBLIGATION</t>
  </si>
  <si>
    <t>INGRESO TCMC ANUALIZADO</t>
  </si>
  <si>
    <t>Fee créditos + Carry + Escribano − Sponsor</t>
  </si>
  <si>
    <t>TCMC paga off-fund si costos &gt; 5,4% PN</t>
  </si>
  <si>
    <t>Promedio anual</t>
  </si>
  <si>
    <t>🚨 SEMÁFOROS Y ALERTAS</t>
  </si>
  <si>
    <t>TIR vs Hurdle 6%</t>
  </si>
  <si>
    <t>Sponsor Obligation</t>
  </si>
  <si>
    <t>Ingreso TCMC neto</t>
  </si>
  <si>
    <t>⚖️ TCMC vs LENDAR — top 5 diferenciales</t>
  </si>
  <si>
    <t>Variable</t>
  </si>
  <si>
    <t>TCMC</t>
  </si>
  <si>
    <t>Lendar</t>
  </si>
  <si>
    <t>Comentario</t>
  </si>
  <si>
    <t>Hurdle Rate</t>
  </si>
  <si>
    <t>0%</t>
  </si>
  <si>
    <t>TCMC introduce hurdle 6% (alinea incentivos)</t>
  </si>
  <si>
    <t>Carry</t>
  </si>
  <si>
    <t>TCMC tiene carry sobre exceso del hurdle</t>
  </si>
  <si>
    <t>Fee Escribano (off-fund)</t>
  </si>
  <si>
    <t>N/A</t>
  </si>
  <si>
    <t>Innovación TCMC: ingreso adicional</t>
  </si>
  <si>
    <t>Fee Asesor Originación</t>
  </si>
  <si>
    <t>1,00%</t>
  </si>
  <si>
    <t>TCMC más alto (1,25%) por valor agregado</t>
  </si>
  <si>
    <t>35%</t>
  </si>
  <si>
    <t>TCMC más conservador (30%): menos riesgo</t>
  </si>
  <si>
    <t>Modelo financiero — escenario base. Inputs editables en 01_PANEL_CONTROL. Para sensibilidad ver 05_SENSIBILIDADES. Hojas con prefijo Z_LEGACY_ son respaldo del modelo original.</t>
  </si>
  <si>
    <t>PANEL DE CONTROL — Modelo FCIC TCMC</t>
  </si>
  <si>
    <t>Único punto de edición. Celdas amarillas son inputs. El resto se calcula automáticamente.</t>
  </si>
  <si>
    <t>PARÁMETRO</t>
  </si>
  <si>
    <t>VALOR</t>
  </si>
  <si>
    <t>COMENTARIO / FUENTE</t>
  </si>
  <si>
    <t>I. PARÁMETROS DEL FONDO</t>
  </si>
  <si>
    <t>Capital Inicial — Tramo I (USD)</t>
  </si>
  <si>
    <t>Tramo 1 — Propuesta ConoSur Mar-2026. Mín emisión USD 2.5M.</t>
  </si>
  <si>
    <t>Plazo del Fondo (años)</t>
  </si>
  <si>
    <t>Base 5y / Alt 11y (Cl. 16.3.5)</t>
  </si>
  <si>
    <t>Año inicio del fondo</t>
  </si>
  <si>
    <t>Año fiscal 1 del flujo</t>
  </si>
  <si>
    <t>Ticket Promedio (USD) — incluye P + 5% upfront + IVA</t>
  </si>
  <si>
    <t>Ticket bruto al tomador. NETO = Ticket / (1 + 5%×1,21)</t>
  </si>
  <si>
    <t>30% — Propuesta ConoSur. Lendar máx 35% Cl. 3.2.5.</t>
  </si>
  <si>
    <t>Moneda</t>
  </si>
  <si>
    <t>USD</t>
  </si>
  <si>
    <t>Cl. 2.5 Lendar</t>
  </si>
  <si>
    <t>WAL — Vida Media Ponderada (años)</t>
  </si>
  <si>
    <t>Calculado por mix de plazos/distribución. Editable si cambia el mix.</t>
  </si>
  <si>
    <t>Rotación Anual (1 / WAL)</t>
  </si>
  <si>
    <t>Fracción del stock que se libera por año (amortización)</t>
  </si>
  <si>
    <t>Rotación Imperfecta (factor)</t>
  </si>
  <si>
    <t>Eficiencia de re-originación. 100% = recoloca todo lo liberado.</t>
  </si>
  <si>
    <t>Tasa Media Ponderada — Cartera</t>
  </si>
  <si>
    <t>Calculada del Mix de Créditos abajo</t>
  </si>
  <si>
    <t>Tasa Media Ajustada — efectiva sobre PN</t>
  </si>
  <si>
    <t>Tasa neta tras gestión de duration</t>
  </si>
  <si>
    <t>II. MIX DE CRÉDITOS (Tasas por plazo y distribución)</t>
  </si>
  <si>
    <t>Plazo (años)</t>
  </si>
  <si>
    <t>Ticket por plazo</t>
  </si>
  <si>
    <t>Distribución %</t>
  </si>
  <si>
    <t>Tasa TNA TCMC</t>
  </si>
  <si>
    <t>Tasa Lendar</t>
  </si>
  <si>
    <t>Fuente / cláusula</t>
  </si>
  <si>
    <t>Cl. 16.3.5 piso de rango</t>
  </si>
  <si>
    <t>Cl. 16.3.5 (2.7)</t>
  </si>
  <si>
    <t>Cl. 16.3.5 techo de rango</t>
  </si>
  <si>
    <t>TOTAL</t>
  </si>
  <si>
    <t>Tasa media ponderada</t>
  </si>
  <si>
    <t>III. INGRESOS DEL FONDO (cobrados al tomador del crédito)</t>
  </si>
  <si>
    <t>Upfront Fee TOTAL al tomador (% s/ Principal NETO)</t>
  </si>
  <si>
    <t>Capitalizado dentro del ticket. Ingresa al fondo.</t>
  </si>
  <si>
    <t>IVA (alícuota sobre Upfront)</t>
  </si>
  <si>
    <t>Pass-through. Capitalizado en el ticket.</t>
  </si>
  <si>
    <t>Ticket NETO (Principal) — calculado</t>
  </si>
  <si>
    <t>▸ Ticket / (1 + Upfront × (1+IVA))</t>
  </si>
  <si>
    <t>Upfront fee al fondo (USD/crédito)</t>
  </si>
  <si>
    <t>▸ Principal NETO × Upfront</t>
  </si>
  <si>
    <t>IVA capitalizado (pass-through, USD/crédito)</t>
  </si>
  <si>
    <t>▸ Upfront × IVA. Sale del fondo al fisco.</t>
  </si>
  <si>
    <t>IV. COSTOS DEL FONDO</t>
  </si>
  <si>
    <t>Honorarios Soc. Gerente — anual % PN</t>
  </si>
  <si>
    <t>Cono Sur SGFCISA. Cl. 10.1 max 1,20%.</t>
  </si>
  <si>
    <t>Honorarios Soc. Depositaria — anual % PN neto</t>
  </si>
  <si>
    <t>Banco Comafi (a confirmar). Cl. 10.3.</t>
  </si>
  <si>
    <t>Mín. anual Soc. Depositaria (USD sin IVA)</t>
  </si>
  <si>
    <t>Si 0,2%×PN &lt; mínimo, aplica mínimo. Cl. 10.3.</t>
  </si>
  <si>
    <t>Setup inicial Depositaria (Y1 only, USD)</t>
  </si>
  <si>
    <t>One-time. Cl. 10.3.</t>
  </si>
  <si>
    <t>Comisión Colocadores — one-time (% s/ captación)</t>
  </si>
  <si>
    <t>Cl. 10.4. Sale del capital captado.</t>
  </si>
  <si>
    <t>Comisión Organizador — one-time (% s/ captación)</t>
  </si>
  <si>
    <t>Cono Sur Inversiones SA. Cl. 10.4.</t>
  </si>
  <si>
    <t>Reserva inicial para gastos (% s/ captación, Y1)</t>
  </si>
  <si>
    <t>Buffer para cubrir costos Y1. Editable.</t>
  </si>
  <si>
    <t>Tope Máximo de Gastos del Fondo (% PN anual)</t>
  </si>
  <si>
    <t>Cl. 10.5. Si se excede, sponsor paga la diferencia.</t>
  </si>
  <si>
    <t>Carry sobre exceso de hurdle (%)</t>
  </si>
  <si>
    <t>Opción B Propuesta ConoSur. Cobrable al cierre.</t>
  </si>
  <si>
    <t>Hurdle Rate (anual, % s/ PN)</t>
  </si>
  <si>
    <t>Tasa de retorno mínima antes de carry.</t>
  </si>
  <si>
    <t>V. COSTOS FIJOS ANUALES (USD)</t>
  </si>
  <si>
    <t>Auditoría externa (anual)</t>
  </si>
  <si>
    <t>Editable. Sólo Y1 si así se indica.</t>
  </si>
  <si>
    <t>Asesoría legal (anual)</t>
  </si>
  <si>
    <t>Asesoría contable / impositiva (anual)</t>
  </si>
  <si>
    <t>Valuadores independientes (anual)</t>
  </si>
  <si>
    <t>Gastos bancarios operativos (anual)</t>
  </si>
  <si>
    <t>Custodia documental (anual)</t>
  </si>
  <si>
    <t>Set Up: Abogados + Fee Inicial Depositaria (sólo Y1)</t>
  </si>
  <si>
    <t>SUBTOTAL recurrente (anual, Y2 en adelante)</t>
  </si>
  <si>
    <t>Suma sin setup</t>
  </si>
  <si>
    <t>TOTAL Año 1 (incluye setup)</t>
  </si>
  <si>
    <t>Subtotal + setup Y1</t>
  </si>
  <si>
    <t>VI. CAPTACIONES Y RECOMPRA (% PN) — EDITABLES POR AÑO</t>
  </si>
  <si>
    <t>Concepto</t>
  </si>
  <si>
    <t>Captación de capital (USD) — input por año</t>
  </si>
  <si>
    <t>Captaciones ADICIONALES al capital inicial (C5)</t>
  </si>
  <si>
    <t>Recompra inversores (% PN inicio) — desde año 2</t>
  </si>
  <si>
    <t>6% anual, baja capacidad de recolocación. Editable.</t>
  </si>
  <si>
    <t>Fondo de Liquidez — monto adicional retirado (USD/año)</t>
  </si>
  <si>
    <t>Cl. 6.11 Lendar: rescate parcial desde año 3 max 20% PN</t>
  </si>
  <si>
    <t>¿Año de originación activa? (1=sí, 0=wind-down)</t>
  </si>
  <si>
    <t>Último año = 0 para liquidar cartera vía securitización</t>
  </si>
  <si>
    <t>Ramp-up de originación (factor 0-1, Y1 puede ser &lt;1)</t>
  </si>
  <si>
    <t>Y1 típicamente 80-90% por curva de despliegue</t>
  </si>
  <si>
    <t>VII. INGRESOS TCMC — FEES (on-fund + off-fund)</t>
  </si>
  <si>
    <t>Fee TCMC por crédito originado (% s/ monto otorgado)</t>
  </si>
  <si>
    <t>Pagado por el fondo. Editable. Propuesta 1%-1,5%.</t>
  </si>
  <si>
    <t>Fee TCMC por crédito adquirido a terceros (%)</t>
  </si>
  <si>
    <t>Cl. 16.5.5 — 0,7% Lendar, 1% TCMC.</t>
  </si>
  <si>
    <t>Fee Escribano TCMC — % sobre valor del inmueble</t>
  </si>
  <si>
    <t>OFF-FUND. Cobrado al tomador vía escribanía.</t>
  </si>
  <si>
    <t>Fee TCMC sobre retiros de liquidez (%)</t>
  </si>
  <si>
    <t>Editable. Lendar Cl. 16.8 permite hasta 5%.</t>
  </si>
  <si>
    <t>VIII. APALANCAMIENTO Y CIERRE</t>
  </si>
  <si>
    <t>Leverage máximo autorizado (x PN)</t>
  </si>
  <si>
    <t>Cl. 16.1 Lendar — hasta 1x PN previa CNV</t>
  </si>
  <si>
    <t>Leverage efectivo usado (x PN)</t>
  </si>
  <si>
    <t>Supuesto editable. 0 si no apalanca.</t>
  </si>
  <si>
    <t>Año inicio apalancamiento</t>
  </si>
  <si>
    <t>Track record necesario</t>
  </si>
  <si>
    <t>Costo deuda senior (TNA USD)</t>
  </si>
  <si>
    <t>Línea colateralizada</t>
  </si>
  <si>
    <t>Tasa Securitización al cierre (descuento)</t>
  </si>
  <si>
    <t>Aplicada a cartera remanente Y final</t>
  </si>
  <si>
    <t>LEYENDA DE FORMATO</t>
  </si>
  <si>
    <t>INPUT EDITABLE</t>
  </si>
  <si>
    <t>Celdas amarillas. Modificables por el usuario.</t>
  </si>
  <si>
    <t>FÓRMULA</t>
  </si>
  <si>
    <t>Calculada automáticamente. No modificar.</t>
  </si>
  <si>
    <t>LINK ENTRE HOJAS</t>
  </si>
  <si>
    <t>Pull desde otra hoja del libro.</t>
  </si>
  <si>
    <t>COMPARATIVA TCMC vs LENDAR</t>
  </si>
  <si>
    <t>Side-by-side de parámetros principales. Verde = TCMC más favorable; Rojo = menos favorable; Amarillo = neutro/depende.</t>
  </si>
  <si>
    <t>LENDAR (CI)</t>
  </si>
  <si>
    <t>DELTA</t>
  </si>
  <si>
    <t>VENT.</t>
  </si>
  <si>
    <t>Cl. Lendar</t>
  </si>
  <si>
    <t>Observaciones</t>
  </si>
  <si>
    <t>Capital Inicial (USD)</t>
  </si>
  <si>
    <t xml:space="preserve">▸ </t>
  </si>
  <si>
    <t>—</t>
  </si>
  <si>
    <t>Tramo I propuesto. Lendar no publica.</t>
  </si>
  <si>
    <t>Cl. 16.3.5</t>
  </si>
  <si>
    <t>TCMC base 5y, alt 11y. Lendar 11y máx.</t>
  </si>
  <si>
    <t>Ticket Promedio (USD)</t>
  </si>
  <si>
    <t>N/D</t>
  </si>
  <si>
    <t>TCMC define ticket explícito.</t>
  </si>
  <si>
    <t>LDR</t>
  </si>
  <si>
    <t>Cl. 3.2.5</t>
  </si>
  <si>
    <t>TCMC más conservador (30% vs 35%).</t>
  </si>
  <si>
    <t>Cl. 2.5</t>
  </si>
  <si>
    <t>Ambos USD.</t>
  </si>
  <si>
    <t>WAL (años)</t>
  </si>
  <si>
    <t>TCMC explícito.</t>
  </si>
  <si>
    <t>Tasa Media TCMC</t>
  </si>
  <si>
    <t>TCMC 10 bps superior (mix similar).</t>
  </si>
  <si>
    <t>II. COSTOS DEL FONDO</t>
  </si>
  <si>
    <t>Hon. Soc. Gerente (anual % PN)</t>
  </si>
  <si>
    <t>Cl. 16.5.1</t>
  </si>
  <si>
    <t>TCMC -5 bps. Cono Sur 1,20%.</t>
  </si>
  <si>
    <t>Hon. Soc. Depositaria (% PN)</t>
  </si>
  <si>
    <t>Cl. 16.5.2</t>
  </si>
  <si>
    <t>Mismo % nominal. TCMC: min USD 21,600/año.</t>
  </si>
  <si>
    <t>Mín. anual Depositaria (USD)</t>
  </si>
  <si>
    <t>Cl. 10.3</t>
  </si>
  <si>
    <t>Comafi a confirmar.</t>
  </si>
  <si>
    <t>Fee Asesor por crédito ORIGINADO</t>
  </si>
  <si>
    <t>Cl. 16.5.5</t>
  </si>
  <si>
    <t>TCMC 1,25% vs Lendar 1%. Cono Sur propuso 1-1,5%.</t>
  </si>
  <si>
    <t>Fee Asesor por crédito ADQUIRIDO</t>
  </si>
  <si>
    <t>TCMC 1% vs Lendar 0,7%.</t>
  </si>
  <si>
    <t>Carried Interest</t>
  </si>
  <si>
    <t>Cl. 16.4</t>
  </si>
  <si>
    <t>Lendar no tiene carry. TCMC sí (Opción B).</t>
  </si>
  <si>
    <t>TCMC: 6% hurdle (alineado a inversor).</t>
  </si>
  <si>
    <t>Tope gastos (% PN anual)</t>
  </si>
  <si>
    <t>Cl. 10.5</t>
  </si>
  <si>
    <t>Idéntico 5,4%. Mismo régimen sponsor.</t>
  </si>
  <si>
    <t>Comisión Colocadores (one-time)</t>
  </si>
  <si>
    <t>Cl. 16.5.4</t>
  </si>
  <si>
    <t>TCMC 1,5% vs Lendar 0,5%. Cono Sur 1,5%.</t>
  </si>
  <si>
    <t>Comisión Organizador (one-time)</t>
  </si>
  <si>
    <t>TCMC y Lendar similar.</t>
  </si>
  <si>
    <t>III. INGRESOS DEL FONDO (cobrados al tomador)</t>
  </si>
  <si>
    <t>Upfront Fee al fondo (% s/ NETO)</t>
  </si>
  <si>
    <t>Idéntico 5%. Cl. 2.7 CFT include 5%+IVA.</t>
  </si>
  <si>
    <t>IVA sobre Upfront</t>
  </si>
  <si>
    <t>Pass-through al fisco.</t>
  </si>
  <si>
    <t>IV. RESCATES Y LIQUIDEZ</t>
  </si>
  <si>
    <t>Año inicio rescate parcial</t>
  </si>
  <si>
    <t>Cl. 6.11</t>
  </si>
  <si>
    <t>Lendar 3y, TCMC 2y (Cono Sur).</t>
  </si>
  <si>
    <t>Recompra anual (% PN)</t>
  </si>
  <si>
    <t>6,0%</t>
  </si>
  <si>
    <t>20% por evento</t>
  </si>
  <si>
    <t>TCMC menor pero recurrente.</t>
  </si>
  <si>
    <t>Fee sobre retiros (%)</t>
  </si>
  <si>
    <t>Cl. 16.8</t>
  </si>
  <si>
    <t>TCMC default 0%, Lendar hasta 5%.</t>
  </si>
  <si>
    <t>Penalidad rescate adicional</t>
  </si>
  <si>
    <t>Ninguno default. Editable.</t>
  </si>
  <si>
    <t>V. APALANCAMIENTO Y CIERRE</t>
  </si>
  <si>
    <t>Leverage máximo (x PN)</t>
  </si>
  <si>
    <t>Cl. 16.1.5</t>
  </si>
  <si>
    <t>Hasta 1x PN previa CNV.</t>
  </si>
  <si>
    <t>Leverage efectivo usado</t>
  </si>
  <si>
    <t>TCMC 50%, Lendar no publica.</t>
  </si>
  <si>
    <t>Mismo timing.</t>
  </si>
  <si>
    <t>Tasa Securitización cierre</t>
  </si>
  <si>
    <t>Supuesto homologado.</t>
  </si>
  <si>
    <t>VI. INGRESOS TCMC PROPIOS (no contemplados en Lendar)</t>
  </si>
  <si>
    <t>Fee TCMC vía escribano (% s/ inmueble)</t>
  </si>
  <si>
    <t>OFF-FUND. Innovación TCMC.</t>
  </si>
  <si>
    <t>Sponsor Obligation (TCMC paga &gt;5,4%)</t>
  </si>
  <si>
    <t>SÍ</t>
  </si>
  <si>
    <t>SÍ (estructura)</t>
  </si>
  <si>
    <t>Mismo régimen. TCMC asume rol sponsor.</t>
  </si>
  <si>
    <t>VII. SCORECARD — RESUMEN COMPARATIVO</t>
  </si>
  <si>
    <t>Categoría</t>
  </si>
  <si>
    <t>Ventaja TCMC</t>
  </si>
  <si>
    <t>Ventaja Lendar</t>
  </si>
  <si>
    <t>Neutro</t>
  </si>
  <si>
    <t>I. Parámetros del Fondo</t>
  </si>
  <si>
    <t>II. Costos del Fondo</t>
  </si>
  <si>
    <t>III. Ingresos del Fondo</t>
  </si>
  <si>
    <t>IV. Rescates</t>
  </si>
  <si>
    <t>V. Apalancamiento</t>
  </si>
  <si>
    <t>VI. Ingresos TCMC propios</t>
  </si>
  <si>
    <t>Notas: 'Ventaja' es informativa; un mayor fee no es necesariamente peor si trae mejor servicio/regulación. Esta tabla orienta la negociación, no es definitiva.</t>
  </si>
  <si>
    <t>CASCADA FLUJO DEL FONDO — 5 AÑOS</t>
  </si>
  <si>
    <t>Cascada paso a paso: captación → comisiones → reserva → originación → ingresos/costos → SPONSOR → resultado inversor</t>
  </si>
  <si>
    <t>CONCEPTO</t>
  </si>
  <si>
    <t>Año 1</t>
  </si>
  <si>
    <t>Año 2</t>
  </si>
  <si>
    <t>Año 3</t>
  </si>
  <si>
    <t>Año 4</t>
  </si>
  <si>
    <t>Año 5</t>
  </si>
  <si>
    <t>TOTAL 5Y</t>
  </si>
  <si>
    <t>Notas / Fórmula</t>
  </si>
  <si>
    <t>Año calendario</t>
  </si>
  <si>
    <t>5 años fiscales</t>
  </si>
  <si>
    <t>A. CAPTACIÓN DE CAPITAL (waterfall inicial)</t>
  </si>
  <si>
    <t>Captación bruta del año</t>
  </si>
  <si>
    <t>Capital inicial Y1 + captaciones adicionales por año (Panel C59:G59)</t>
  </si>
  <si>
    <t>(−) Comisión Colocadores</t>
  </si>
  <si>
    <t>▸ Captación × '01_PANEL_CONTROL'!$C$39</t>
  </si>
  <si>
    <t>(−) Comisión Organizador</t>
  </si>
  <si>
    <t>▸ Captación × '01_PANEL_CONTROL'!$C$40</t>
  </si>
  <si>
    <t>Reserva interna para gastos (informativa, no sale del fondo)</t>
  </si>
  <si>
    <t>Buffer Y1 para cubrir costos operativos iniciales</t>
  </si>
  <si>
    <t>▸ Capital neto para colocar en cartera</t>
  </si>
  <si>
    <t>Después de deducir comisiones + reserva Y1</t>
  </si>
  <si>
    <t>B. APALANCAMIENTO (deuda senior opcional)</t>
  </si>
  <si>
    <t>Deuda Senior (USD) — desde año inicio apalancamiento</t>
  </si>
  <si>
    <t>▸ PN × '01_PANEL_CONTROL'!$C$73 si año &gt;= '01_PANEL_CONTROL'!$C$74</t>
  </si>
  <si>
    <t>Capital total desplegable (Equity neto + Deuda)</t>
  </si>
  <si>
    <t>Capital total deployment-ready</t>
  </si>
  <si>
    <t>C. CARTERA — ROTACIÓN Y NUEVA ORIGINACIÓN</t>
  </si>
  <si>
    <t>Cartera Inicio del año (stock crédito)</t>
  </si>
  <si>
    <t>(−) Capital liberado por amortización (rotación)</t>
  </si>
  <si>
    <t>▸ Cartera × '01_PANEL_CONTROL'!$C$13 (1/WAL)</t>
  </si>
  <si>
    <t>(−) Recompra a inversores (cash al inversor)</t>
  </si>
  <si>
    <t>▸ Cartera × '01_PANEL_CONTROL'!C60:G60 (6% editable)</t>
  </si>
  <si>
    <t>(−) Fondo de Liquidez (monto adicional)</t>
  </si>
  <si>
    <t>Editable por año (Panel C61:G61)</t>
  </si>
  <si>
    <t>Capital disponible para originar este año</t>
  </si>
  <si>
    <t>Y1: capital captado neto + deuda. Y2+: amortizado × rot. + captac. nuevas − recompras</t>
  </si>
  <si>
    <t>Volumen BRUTO originado (ticket × N° créditos)</t>
  </si>
  <si>
    <t>× orig_activa (0/1) × ramp-up (0-1). Volumen total face-value de créditos otorgados</t>
  </si>
  <si>
    <t>N° de créditos otorgados</t>
  </si>
  <si>
    <t>▸ Volumen / Ticket bruto ('01_PANEL_CONTROL'!$C$9)</t>
  </si>
  <si>
    <t>Volumen NETO otorgado (Principal a tomadores)</t>
  </si>
  <si>
    <t>▸ N° × Ticket NETO ('01_PANEL_CONTROL'!$C$30) — efectivo desembolsado</t>
  </si>
  <si>
    <t>Stock cartera FIN del año</t>
  </si>
  <si>
    <t>▸ Cartera inicio − liberado − recompras − liq + nueva originación</t>
  </si>
  <si>
    <t>D. INGRESOS DEL FONDO</t>
  </si>
  <si>
    <t>Intereses ganados sobre cartera</t>
  </si>
  <si>
    <t>▸ Cartera promedio × '01_PANEL_CONTROL'!$C$16 × ramp-up</t>
  </si>
  <si>
    <t>Upfront Fee al Fondo (5% sobre NETO)</t>
  </si>
  <si>
    <t>▸ Volumen NETO × '01_PANEL_CONTROL'!$C$28. Capitalizado dentro del ticket</t>
  </si>
  <si>
    <t>TOTAL INGRESOS DEL FONDO</t>
  </si>
  <si>
    <t>Intereses + Upfront</t>
  </si>
  <si>
    <t>E. COSTOS DEL FONDO</t>
  </si>
  <si>
    <t>PN Inicio del año (proxy = capital desplegable)</t>
  </si>
  <si>
    <t>Base para honorarios % PN</t>
  </si>
  <si>
    <t>Honorarios Soc. Gerente (1,2% × PN)</t>
  </si>
  <si>
    <t>▸ PN × '01_PANEL_CONTROL'!$C$35</t>
  </si>
  <si>
    <t>Honorarios Soc. Depositaria (max 0,2%×PN, mín)</t>
  </si>
  <si>
    <t>▸ MAX(PN×'01_PANEL_CONTROL'!$C$36, '01_PANEL_CONTROL'!$C$37) [Y1: + '01_PANEL_CONTROL'!$C$38]</t>
  </si>
  <si>
    <t>Fee TCMC por crédito originado</t>
  </si>
  <si>
    <t>▸ Volumen BRUTO × '01_PANEL_CONTROL'!$C$66 (cobrado por TCMC al fondo)</t>
  </si>
  <si>
    <t>Costos fijos anuales</t>
  </si>
  <si>
    <t>Y1 incluye setup ('01_PANEL_CONTROL'!$C$55). Y2+: '01_PANEL_CONTROL'!$C$54</t>
  </si>
  <si>
    <t>IVA sobre Upfront (pass-through al fisco)</t>
  </si>
  <si>
    <t>▸ Upfront × '01_PANEL_CONTROL'!$C$29 — no es costo neto pero sale del fondo</t>
  </si>
  <si>
    <t>Intereses deuda senior</t>
  </si>
  <si>
    <t>▸ Deuda × '01_PANEL_CONTROL'!$C$75</t>
  </si>
  <si>
    <t>Comisiones Coloc.+Org. (informativo, ya deducidas en captación)</t>
  </si>
  <si>
    <t>Ya descontadas de captación (no se vuelven a contar)</t>
  </si>
  <si>
    <t>SUBTOTAL COSTOS DEL FONDO</t>
  </si>
  <si>
    <t>SG + SD + Fee TCMC + Fijos + IVA + Intereses deuda</t>
  </si>
  <si>
    <t>F. TEST DE TOPE 5,4% — SPONSOR OBLIGATION (TCMC paga el exceso)</t>
  </si>
  <si>
    <t>Costos elegibles para tope (SG + SD + Asesor + Fijos)</t>
  </si>
  <si>
    <t>Excluye comisiones colocador/org, IVA y deuda (no aplican al tope)</t>
  </si>
  <si>
    <t>Tope 5,4% × PN</t>
  </si>
  <si>
    <t>▸ PN × '01_PANEL_CONTROL'!$C$42</t>
  </si>
  <si>
    <t>Costos elegibles / PN (%)</t>
  </si>
  <si>
    <t>Si &gt; 5,4% → SPONSOR paga el exceso</t>
  </si>
  <si>
    <t>SPONSOR OBLIGATION (TCMC paga el exceso)</t>
  </si>
  <si>
    <t>Gasto OFF-FUND para TCMC. Compensación al fondo para mantener PN.</t>
  </si>
  <si>
    <t>G. RESULTADO Y CARRY</t>
  </si>
  <si>
    <t>EBITDA Pre-Carry (Ingresos − Costos + Sponsor compensa exceso)</t>
  </si>
  <si>
    <t>Ingresos - costos + sponsor (mantiene PN integral)</t>
  </si>
  <si>
    <t>Hurdle Rate (6% × PN)</t>
  </si>
  <si>
    <t>▸ PN × '01_PANEL_CONTROL'!$C$44</t>
  </si>
  <si>
    <t>Carry devengado (10% × Exceso &gt; Hurdle)</t>
  </si>
  <si>
    <t>▸ MAX(0, EBITDA-Hurdle) × '01_PANEL_CONTROL'!$C$43</t>
  </si>
  <si>
    <t>Carry COBRADO (sólo al cierre Y5)</t>
  </si>
  <si>
    <t>Carry diferido y cobrado al cierre del fondo</t>
  </si>
  <si>
    <t>EBITDA NETO DE CARRY (resultado del año para inversores)</t>
  </si>
  <si>
    <t>H. CIERRE / WIND-DOWN AÑO 5 (sólo columna Y5)</t>
  </si>
  <si>
    <t>Revolving devuelto (capital liberado Y5 si origen=0)</t>
  </si>
  <si>
    <t>Si Y5 no origina, el capital liberado vuelve como cash</t>
  </si>
  <si>
    <t>Cartera remanente fin Y5</t>
  </si>
  <si>
    <t>Stock que necesita liquidarse</t>
  </si>
  <si>
    <t>Valor securitización (cartera / (1+tasa sec))</t>
  </si>
  <si>
    <t>Descuento de '01_PANEL_CONTROL'!$C$76 sobre cartera remanente</t>
  </si>
  <si>
    <t>(−) Repago deuda senior</t>
  </si>
  <si>
    <t>Liquidación de pasivos al cierre</t>
  </si>
  <si>
    <t>CASH NETO CIERRE INVERSOR</t>
  </si>
  <si>
    <t>Revolving + securitización − repago deuda</t>
  </si>
  <si>
    <t>I. CASH FLOW INVERSOR Y MÉTRICAS</t>
  </si>
  <si>
    <t>Recompras + Fondo Liquidez recibidos</t>
  </si>
  <si>
    <t>Inverse signo (entran al inversor)</t>
  </si>
  <si>
    <t>Cash neto cierre</t>
  </si>
  <si>
    <t>Cash de liquidación cartera + revolving</t>
  </si>
  <si>
    <t>Cash Flow Inversor (para TIR)</t>
  </si>
  <si>
    <t>Negativo en Y1 (inversión) + distribuciones + cash cierre</t>
  </si>
  <si>
    <t>TIR INVERSOR (post all-fees)</t>
  </si>
  <si>
    <t>Tasa Interna de Retorno del cash flow inversor</t>
  </si>
  <si>
    <t>MOIC (Multiple on Invested Capital)</t>
  </si>
  <si>
    <t>Total distribuciones / Total capital invertido</t>
  </si>
  <si>
    <t>Sponsor Obligation TOTAL (TCMC paga off-fund)</t>
  </si>
  <si>
    <t>Costo total fuera del fondo para TCMC</t>
  </si>
  <si>
    <t>EBITDA TOTAL acumulado 5Y</t>
  </si>
  <si>
    <t>INGRESOS TCMC — ON-FUND + OFF-FUND</t>
  </si>
  <si>
    <t>Detalle de los flujos que cobra TCMC como asesor + sponsor obligation. Off-fund vía escribano.</t>
  </si>
  <si>
    <t>I. INGRESOS ON-FUND (dentro del fondo)</t>
  </si>
  <si>
    <t>Fee TCMC por crédito originado (1,25% × Volumen BRUTO)</t>
  </si>
  <si>
    <t>Cobrado por TCMC al fondo. Pull desde Cascada fila 38.</t>
  </si>
  <si>
    <t>Carry cobrado (10% sobre exceso &gt; hurdle, sólo Y5)</t>
  </si>
  <si>
    <t>Success fee al cierre. Pull desde Cascada fila 55.</t>
  </si>
  <si>
    <t>Fee sobre retiros de liquidez</t>
  </si>
  <si>
    <t>▸ Recompra × '01_PANEL_CONTROL'!$C$69 (default 0%)</t>
  </si>
  <si>
    <t>SUBTOTAL ON-FUND</t>
  </si>
  <si>
    <t>Ingresos cobrados por TCMC al propio fondo</t>
  </si>
  <si>
    <t>II. INGRESOS OFF-FUND (vía escribano, fuera del fondo)</t>
  </si>
  <si>
    <t>Valor del inmueble por crédito = Ticket NETO / LTV</t>
  </si>
  <si>
    <t>Fórmula: Ticket NETO / LTV (con LTV 30%, inmueble ≈ 3.3x ticket)</t>
  </si>
  <si>
    <t>Valor inmueble TOTAL movilizado por año</t>
  </si>
  <si>
    <t>▸ Valor inmueble × N° créditos otorgados (Cascada f.25)</t>
  </si>
  <si>
    <t>Fee Escribano TCMC (0,5% sobre valor inmueble)</t>
  </si>
  <si>
    <t>▸ Valor inmueble TOTAL × '01_PANEL_CONTROL'!$C$68</t>
  </si>
  <si>
    <t>SUBTOTAL OFF-FUND</t>
  </si>
  <si>
    <t>Ingresos cobrados vía escribanía (no entra al fondo)</t>
  </si>
  <si>
    <t>III. SPONSOR OBLIGATION (TCMC paga el exceso &gt; 5,4% PN)</t>
  </si>
  <si>
    <t>Sponsor Obligation (TCMC paga al fondo, sale de TCMC)</t>
  </si>
  <si>
    <t>Signo negativo: TCMC compensa el exceso &gt; 5,4% del PN. Cascada f.49.</t>
  </si>
  <si>
    <t>IV. INGRESO TOTAL TCMC (NETO de Sponsor Obligation)</t>
  </si>
  <si>
    <t>TOTAL INGRESO TCMC NETO</t>
  </si>
  <si>
    <t>Ingreso TCMC neto = On-fund + Off-fund − Sponsor Obligation</t>
  </si>
  <si>
    <t>Acumulado (running total)</t>
  </si>
  <si>
    <t>Suma acumulada año a año</t>
  </si>
  <si>
    <t>V. DESAGREGADO POR FUENTE — ESCENARIOS</t>
  </si>
  <si>
    <t>Componente</t>
  </si>
  <si>
    <t>Total 5Y (USD)</t>
  </si>
  <si>
    <t>% del total</t>
  </si>
  <si>
    <t>Fee por crédito originado</t>
  </si>
  <si>
    <t>Carry cobrado</t>
  </si>
  <si>
    <t>Fee retiros de liquidez</t>
  </si>
  <si>
    <t>Fee escribano (off-fund)</t>
  </si>
  <si>
    <t>(−) Sponsor obligation</t>
  </si>
  <si>
    <t>100%</t>
  </si>
  <si>
    <t>VI. RETORNO TCMC — IMPACTO ECONÓMICO</t>
  </si>
  <si>
    <t>Ratio Ingreso TCMC / Capital Inicial Fondo</t>
  </si>
  <si>
    <t>Ingreso TCMC como % del PN del fondo (proxy ROIC para TCMC)</t>
  </si>
  <si>
    <t>Ingreso TCMC anualizado</t>
  </si>
  <si>
    <t>Total 5Y / 5</t>
  </si>
  <si>
    <t>SENSIBILIDADES — Variables Clave</t>
  </si>
  <si>
    <t>Tablas de escenarios. Las celdas centrales aplican fórmulas paramétricas usando los inputs del Panel.</t>
  </si>
  <si>
    <t>TABLA 1: TIR INVERSOR vs Tasa Media × Honorarios Soc. Gerente (% PN)</t>
  </si>
  <si>
    <t>Tasa Media \ SG % PN</t>
  </si>
  <si>
    <t>Nota:</t>
  </si>
  <si>
    <t>Heurística simplificada para visualización. Para TIR exacta cambiar inputs en Panel y leer Cascada H70.</t>
  </si>
  <si>
    <t>TABLA 2: INGRESO TCMC TOTAL 5Y vs Capital Inicial × Ticket Promedio</t>
  </si>
  <si>
    <t>Capital Inicial \ Ticket</t>
  </si>
  <si>
    <t>Heurística: ingreso TCMC ≈ Volumen × 1,25% + (Volumen / LTV) × 0,5% + Carry estimado. Independiente del Panel para fines comparativos.</t>
  </si>
  <si>
    <t>TABLA 3: SPONSOR OBLIGATION 5Y vs Costos Fijos Anuales × Capital Inicial</t>
  </si>
  <si>
    <t>Capital \ Costos Fijos/año</t>
  </si>
  <si>
    <t>Heurística: estima sponsor obligation 5Y según relación costos vs tope 5,4%. A mayor PN, mayor margen para absorber costos fijos.</t>
  </si>
  <si>
    <t>TABLA 4: TIR INVERSOR vs WAL × Tasa Media</t>
  </si>
  <si>
    <t>Tasa Media \ WAL</t>
  </si>
  <si>
    <t>Heurística: TIR ≈ Tasa Media + (1/WAL × 4,71%) − 2,2% costos. WAL más corto → más upfront amortizado por año.</t>
  </si>
  <si>
    <t>IMPACTO DE CADA VARIABLE EN LA TIR (sensibilidad de 1% punto)</t>
  </si>
  <si>
    <t>Direcc.</t>
  </si>
  <si>
    <t>ΔTIR si sube 1%pt</t>
  </si>
  <si>
    <t>Tipo</t>
  </si>
  <si>
    <t>Tasa Media</t>
  </si>
  <si>
    <t>+</t>
  </si>
  <si>
    <t>+1,00%</t>
  </si>
  <si>
    <t>Lineal</t>
  </si>
  <si>
    <t>Cada 1pp en tasa cartera = +1pp TIR. Limitada por aforo y mercado.</t>
  </si>
  <si>
    <t>Hon. Soc. Gerente (%PN)</t>
  </si>
  <si>
    <t>−</t>
  </si>
  <si>
    <t>−1,00%</t>
  </si>
  <si>
    <t>Cada 1pp baja TIR 1pp. Cono Sur 1,2%, máx 1,2% Cl.10.1.</t>
  </si>
  <si>
    <t>Costos Fijos USD/año</t>
  </si>
  <si>
    <t>−0,1% por $30K</t>
  </si>
  <si>
    <t>Por capital</t>
  </si>
  <si>
    <t>Capacidad de dilución según PN.</t>
  </si>
  <si>
    <t>Recompra anual (%)</t>
  </si>
  <si>
    <t>−0,3% por 1pp</t>
  </si>
  <si>
    <t>Compuesto</t>
  </si>
  <si>
    <t>Reduce stock para originar, comprime tasa efectiva.</t>
  </si>
  <si>
    <t>LTV (mayor)</t>
  </si>
  <si>
    <t>+/−</t>
  </si>
  <si>
    <t>Indirecto</t>
  </si>
  <si>
    <t>Capacidad</t>
  </si>
  <si>
    <t>Más LTV → más volumen → más upfront y fees, pero más riesgo.</t>
  </si>
  <si>
    <t>Ticket Promedio (mayor)</t>
  </si>
  <si>
    <t>+ por escala</t>
  </si>
  <si>
    <t>Operativo</t>
  </si>
  <si>
    <t>Menos costos por crédito (auditoría/legal fijos).</t>
  </si>
  <si>
    <t>WAL más corto</t>
  </si>
  <si>
    <t>+0,3% por -0,5 año</t>
  </si>
  <si>
    <t>Rotación</t>
  </si>
  <si>
    <t>Más amortización por año = más upfront amortizado.</t>
  </si>
  <si>
    <t>Apalancamiento (0,5x)</t>
  </si>
  <si>
    <t>+1,2% (con costo 8%)</t>
  </si>
  <si>
    <t>Spread</t>
  </si>
  <si>
    <t>Solo si tasa cartera &gt; costo deuda.</t>
  </si>
  <si>
    <t>Off-fund</t>
  </si>
  <si>
    <t>TCMC paga</t>
  </si>
  <si>
    <t>No afecta TIR pero costo OFF-FUND para TCMC.</t>
  </si>
  <si>
    <t>MODELO TCMC — FCIC HIPOTECARIO (Cono Sur Investments)</t>
  </si>
  <si>
    <t>Basado en Propuesta ConoSur a Capital Token Group S.A., Marzo 2026. Capital: USD 5M Tramo I. Plazo base: 5yr / Alt: 11yr.</t>
  </si>
  <si>
    <t>TCMC (TBD)</t>
  </si>
  <si>
    <t>Detalle / Fuente</t>
  </si>
  <si>
    <t>LENDAR (Allaria)</t>
  </si>
  <si>
    <t>Detalle / CI (Cláusula Informativa)</t>
  </si>
  <si>
    <t>Tramo 1 — Propuesta ConoSur Mar-2026: ≈USD 5M (ampliable). Mín emisión: USD 2.5M, Máx: USD 100M</t>
  </si>
  <si>
    <t>No publicado. Usamos 3M como referencia.</t>
  </si>
  <si>
    <t>2.4 Mínimo de emisión: 2.500.000 Máximo 100.000.000</t>
  </si>
  <si>
    <t>Base: 5yr (ConoSur) / Alt: 11yr. ≈5 años con opción de extensión</t>
  </si>
  <si>
    <t>Plazos crédito hasta 11 años. Cl. 16.3.5</t>
  </si>
  <si>
    <t>2.3.3 El vencimiento de los diversos créditos hipotecarios originados y/o adquiridos por el Fondo podrá operar con posterioridad al vencimiento del Plazo del Fondo.</t>
  </si>
  <si>
    <t>Ticket Promedio Crédito (USD)</t>
  </si>
  <si>
    <t>≈USD 30,000 por crédito. Plazos 1-3 años. Aforos ≈30%</t>
  </si>
  <si>
    <t>No publicado</t>
  </si>
  <si>
    <t>30% — Propuesta ConoSur Mar-2026</t>
  </si>
  <si>
    <t>Presentación prensa Lendar</t>
  </si>
  <si>
    <t>3.2.5</t>
  </si>
  <si>
    <t>LTV máximo 35% según Cl. 3.2.5 Reglamento</t>
  </si>
  <si>
    <t>Dólares estadounidenses — Propuesta ConoSur Mar-2026</t>
  </si>
  <si>
    <t>Cl. 2.5: "La moneda del Fondo será el Dólar Estadounidense"</t>
  </si>
  <si>
    <t>II. MIX DE CRÉDITOS</t>
  </si>
  <si>
    <t>Tasa TNA</t>
  </si>
  <si>
    <t>Lendar Tasa TNA</t>
  </si>
  <si>
    <t>Fuente CI</t>
  </si>
  <si>
    <t>Cl. 16.3.5 — piso de rango</t>
  </si>
  <si>
    <t>Cl. 16.3.5 — techo de rango</t>
  </si>
  <si>
    <t>Tasa Media Ponderada</t>
  </si>
  <si>
    <t>Rotación Anual (1/WAL)</t>
  </si>
  <si>
    <t>Rotación Imperfecta</t>
  </si>
  <si>
    <t>Tasa Media Ajustada</t>
  </si>
  <si>
    <t>III. COSTOS DEL FONDO (% sobre PN)</t>
  </si>
  <si>
    <t>Detalle</t>
  </si>
  <si>
    <t>LENDAR</t>
  </si>
  <si>
    <t>CI Lendar</t>
  </si>
  <si>
    <t>Honorarios Soc. Gerente (anual)</t>
  </si>
  <si>
    <t>1.20% anual PN — Cono Sur S.G.F.C.I.S.A. (Propuesta ConoSur Mar-2026)</t>
  </si>
  <si>
    <t>Cl. 16.5.1: 1.25% anual del PN</t>
  </si>
  <si>
    <t>10.1</t>
  </si>
  <si>
    <t>Cl. 10.1: máx 1.20% anual del PN. Liquidación trimestral + IVA.</t>
  </si>
  <si>
    <t>Honorarios Soc. Depositaria (anual)</t>
  </si>
  <si>
    <t>0.20% anual PN neto — Banco Comafi S.A. (a confirmar). Mín USD 21,600+IVA/año (Propuesta ConoSur)</t>
  </si>
  <si>
    <t>Cl. 16.5.2: 0.20% anual del PN. NOTA: parece caro vs mercado</t>
  </si>
  <si>
    <t>10.3</t>
  </si>
  <si>
    <t>Mínimo de 21600 USD + IVA anual. Fee inicial de 10000 USD + IVA (one-time). Si 0.2%*PN &lt; 21600, aplica el mínimo.</t>
  </si>
  <si>
    <t>Honorarios Asesor Inversión (anual % PN)</t>
  </si>
  <si>
    <t>Opción A (activa): SIN mgmt fee % PN, cobra por crédito. Alt B: 1% PN + 10% carry &gt;6% hurdle (Propuesta ConoSur)</t>
  </si>
  <si>
    <t>NO cobra % anual PN. Cobra one-time por crédito (ver abajo)</t>
  </si>
  <si>
    <t>16.5</t>
  </si>
  <si>
    <t>Lendar Cl. 16.5: NO prevé mgmt fee % PN para asesor. Solo fee por crédito (1%/0.7%)</t>
  </si>
  <si>
    <t>Fee Asesor por crédito originado (one-time)</t>
  </si>
  <si>
    <t>1% por crédito originado — Propuesta ConoSur Mar-2026 (antes 1.5%)</t>
  </si>
  <si>
    <t>Cl. 16.5.5: 1% por crédito originado directamente</t>
  </si>
  <si>
    <t>16.5.5</t>
  </si>
  <si>
    <t>Cl. 16.5.5: ≤1% anual del valor de cada crédito originado + IVA</t>
  </si>
  <si>
    <t>Fee Asesor por crédito adquirido (one-time)</t>
  </si>
  <si>
    <t>1% por crédito adquirido — Propuesta ConoSur Mar-2026</t>
  </si>
  <si>
    <t>Cl. 16.5.5: 0.7% por crédito adquirido a terceros</t>
  </si>
  <si>
    <t>Cl. 16.5.5: ≤0.7% anual del valor de cada crédito adquirido + IVA</t>
  </si>
  <si>
    <t>10% sobre exceso hurdle — Opción B de Propuesta ConoSur Mar-2026. EDITABLE.</t>
  </si>
  <si>
    <t>Cl. 16.4: No previsto. "No se garantiza rendimiento"</t>
  </si>
  <si>
    <t>6% hurdle rate — Propuesta ConoSur Mar-2026 (antes 10%). EDITABLE.</t>
  </si>
  <si>
    <t>N/A — sin carry, sin hurdle</t>
  </si>
  <si>
    <t>Tope Máximo Gastos (Reglamento)</t>
  </si>
  <si>
    <t>5.4% anual PN — Propuesta ConoSur Mar-2026</t>
  </si>
  <si>
    <t>Cl. 16.5: Tope 5.4% anual PN</t>
  </si>
  <si>
    <t>10.5</t>
  </si>
  <si>
    <t>Cl. 10.5: tope gastos ordinarios + hon. Adm + Cust = 5.4% + IVA</t>
  </si>
  <si>
    <t>1.5% del monto suscripto — Propuesta ConoSur Mar-2026</t>
  </si>
  <si>
    <t>Cl. 16.5.4: 0.5% del monto suscripto</t>
  </si>
  <si>
    <t>0.25% del monto suscripto — Cono Sur Inversiones S.A. (Propuesta ConoSur Mar-2026)</t>
  </si>
  <si>
    <t>Incluida en Soc. Gerente según reglamento</t>
  </si>
  <si>
    <t>Upfront Fee al Fondo</t>
  </si>
  <si>
    <t>5% del monto otorgado (4% al fondo + 1% extracción asesor) — Propuesta ConoSur Mar-2026</t>
  </si>
  <si>
    <t>Cl. 16.3.5: 5% + IVA cobrado al tomador. Ingresa al fondo.</t>
  </si>
  <si>
    <t>2.7</t>
  </si>
  <si>
    <t>Cl. 2.7: CFT = tasa + amort + 5% fee + IVA. Cobrado al tomador.</t>
  </si>
  <si>
    <t>IVA</t>
  </si>
  <si>
    <t>Mín. Anual Soc. Depositaria (USD sin IVA)</t>
  </si>
  <si>
    <t>Cl. 10.3: aplica si 0.2%*PN &lt; este mínimo</t>
  </si>
  <si>
    <t>IV. COSTOS FIJOS ANUALES (USD)</t>
  </si>
  <si>
    <t>Auditoría externa</t>
  </si>
  <si>
    <t>Anual</t>
  </si>
  <si>
    <t>Asesoría legal</t>
  </si>
  <si>
    <t>Set Up: Abogados + Fee Inicial Depositaria (solo Año 1)</t>
  </si>
  <si>
    <t>One-time. Fee Depositaria: USD 10,000+IVA (Cl. 10.3)</t>
  </si>
  <si>
    <t>Asesoría contable / impositiva</t>
  </si>
  <si>
    <t>Valuadores independientes</t>
  </si>
  <si>
    <t>NAv</t>
  </si>
  <si>
    <t>Gastos bancarios operativos</t>
  </si>
  <si>
    <t>Custodia documental</t>
  </si>
  <si>
    <t>V. PARÁMETROS DE APALANCAMIENTO</t>
  </si>
  <si>
    <t>Ratio deuda/equity</t>
  </si>
  <si>
    <t>Cl. 16.1.5: hasta 1x PN, previa autorización CNV</t>
  </si>
  <si>
    <t>16.1</t>
  </si>
  <si>
    <t>Cl. 16.1: endeudamiento no podrá superar PN del último EECC</t>
  </si>
  <si>
    <t>Supuesto: 0.5x inicialmente, creciente</t>
  </si>
  <si>
    <t>Desde año 3 (track record necesario)</t>
  </si>
  <si>
    <t>Costo deuda senior (USD, base)</t>
  </si>
  <si>
    <t>Tasa USD para línea senior con colateral hipotecario</t>
  </si>
  <si>
    <t>VI. RESCATES / RETIROS PARCIALES (2 CASOS)</t>
  </si>
  <si>
    <t>Caso 1: Fondo de Liquidez — Monto editable por año en FLUJO fila 72</t>
  </si>
  <si>
    <t>Propuesta ConoSur: ≈20% PN por evento, a partir mes 24. Proveedores de Liquidez ≈25% PN</t>
  </si>
  <si>
    <t>Cl. 16.8: después de 2 años mínimos</t>
  </si>
  <si>
    <t>6.11</t>
  </si>
  <si>
    <t>Cl. 6.11: rescate parcial desde año 3, máx 20% PN, periodicidad anual</t>
  </si>
  <si>
    <t>Caso 2: Año inicio retiro variable</t>
  </si>
  <si>
    <t>Rescate parcial: ≈20% PN por evento (Si &gt; prorrateo), desde mes 24 — Propuesta ConoSur</t>
  </si>
  <si>
    <t>Cl. 16.8: penalidad hasta 5% del monto rescatado</t>
  </si>
  <si>
    <t>Cl. 6.11: máximo 20% del patrimonio por evento de rescate</t>
  </si>
  <si>
    <t>Fee sobre retiros (% del monto retirado)</t>
  </si>
  <si>
    <t>EDITABLE — Propuesta ConoSur no define penalidad explícita. 0% default.</t>
  </si>
  <si>
    <t>Cl. 16.8: hasta 5% penalidad</t>
  </si>
  <si>
    <t>Lendar Cl. 6.11: no prevé penalidad explícita, pero TCMC podría definirla</t>
  </si>
  <si>
    <t>Penalidad rescate anticipado (adicional, si aplica)</t>
  </si>
  <si>
    <t>Sin penalidad adicional (a definir en reglamento). EDITABLE.</t>
  </si>
  <si>
    <t>Honorarios Hacedor de Mercado (fuera del fondo)</t>
  </si>
  <si>
    <t>1.2% anual (all in cost) sobre valor de mercado activos Proveedores de Liquidez — Propuesta ConoSur</t>
  </si>
  <si>
    <t>VII. IMPACTO FISCAL RESCATES</t>
  </si>
  <si>
    <t>Alícuota Ganancias PF Residente (renta financiera)</t>
  </si>
  <si>
    <t>Dto. 382/2019, Art.90 Ley 20.628</t>
  </si>
  <si>
    <t>Prospecto p.8</t>
  </si>
  <si>
    <t>Art.90 Ley 20.628, Dto.382/2019. 15% cedular USD si &gt;5 años de vida del fondo.</t>
  </si>
  <si>
    <t>Alícuota Ganancias PJ Residente</t>
  </si>
  <si>
    <t>Cedular moneda extranjera</t>
  </si>
  <si>
    <t>Base imponible rescate</t>
  </si>
  <si>
    <t>Solo la GANANCIA: (Valor Cuotaparte Rescate - Valor Cuotaparte Suscripción)</t>
  </si>
  <si>
    <t>Retención en la fuente</t>
  </si>
  <si>
    <t>Soc. Gerente retiene al momento del rescate (Art.90 bis Ley 20.628)</t>
  </si>
  <si>
    <t>VIII. CIERRE / WIND-DOWN</t>
  </si>
  <si>
    <t>Tasa Securitización (cierre)</t>
  </si>
  <si>
    <t>Supuesto</t>
  </si>
  <si>
    <t>Discount rate para securitizar cartera remanente al cierre. No regulatorio.</t>
  </si>
  <si>
    <t>Año cierre / wind-down</t>
  </si>
  <si>
    <t>Año 11 = 2036 (último año)</t>
  </si>
  <si>
    <t>IX. UPFRONT FEE EXTRACTION (Análisis Asesor)</t>
  </si>
  <si>
    <t>Upfront total al tomador</t>
  </si>
  <si>
    <t>5% + IVA cobrado al deudor hipotecario — Propuesta ConoSur Mar-2026</t>
  </si>
  <si>
    <t>Porción que ingresa al fondo</t>
  </si>
  <si>
    <t>4% ingresa al fondo como ingreso — Propuesta ConoSur</t>
  </si>
  <si>
    <t>Extracción pre-fondo (asesor)</t>
  </si>
  <si>
    <t>1% se cobra antes de que entre al fondo (asesor). Sujeto a aprobación — Propuesta ConoSur</t>
  </si>
  <si>
    <t>IVA sobre extracción</t>
  </si>
  <si>
    <t>IVA facturado por asesor</t>
  </si>
  <si>
    <t>Row 21</t>
  </si>
  <si>
    <t>Rot Anual</t>
  </si>
  <si>
    <t>Row 22</t>
  </si>
  <si>
    <t>Rot Imperfecta</t>
  </si>
  <si>
    <t>Row 23</t>
  </si>
  <si>
    <t>Tasa Ajust</t>
  </si>
  <si>
    <t>Row 24</t>
  </si>
  <si>
    <t>Gerente</t>
  </si>
  <si>
    <t>Row 28</t>
  </si>
  <si>
    <t>Depo</t>
  </si>
  <si>
    <t>Row 29</t>
  </si>
  <si>
    <t>Asesor %PN</t>
  </si>
  <si>
    <t>Row 30</t>
  </si>
  <si>
    <t>Asesor Orig</t>
  </si>
  <si>
    <t>Row 31</t>
  </si>
  <si>
    <t>Asesor Adq</t>
  </si>
  <si>
    <t>Row 32</t>
  </si>
  <si>
    <t>Row 33</t>
  </si>
  <si>
    <t>Hurdle</t>
  </si>
  <si>
    <t>Row 34</t>
  </si>
  <si>
    <t>Tope</t>
  </si>
  <si>
    <t>Row 35</t>
  </si>
  <si>
    <t>Colocador</t>
  </si>
  <si>
    <t>Row 36</t>
  </si>
  <si>
    <t>Organizador</t>
  </si>
  <si>
    <t>Row 37</t>
  </si>
  <si>
    <t>Upfront</t>
  </si>
  <si>
    <t>Row 38</t>
  </si>
  <si>
    <t>Row 39</t>
  </si>
  <si>
    <t>Lev Max</t>
  </si>
  <si>
    <t>Row 51</t>
  </si>
  <si>
    <t>Lev Used</t>
  </si>
  <si>
    <t>Row 52</t>
  </si>
  <si>
    <t>Lev Start</t>
  </si>
  <si>
    <t>Row 53</t>
  </si>
  <si>
    <t>Costo Deuda</t>
  </si>
  <si>
    <t>Row 54</t>
  </si>
  <si>
    <t>Fondo Liq Max</t>
  </si>
  <si>
    <t>Row 57</t>
  </si>
  <si>
    <t>Retiro Var Start</t>
  </si>
  <si>
    <t>Row 58</t>
  </si>
  <si>
    <t>Fee Retiro</t>
  </si>
  <si>
    <t>Row 59</t>
  </si>
  <si>
    <t>Penalidad</t>
  </si>
  <si>
    <t>Row 60</t>
  </si>
  <si>
    <t>Tax PF</t>
  </si>
  <si>
    <t>Row 63</t>
  </si>
  <si>
    <t>Tax PJ</t>
  </si>
  <si>
    <t>Row 64</t>
  </si>
  <si>
    <t>Tasa Sec</t>
  </si>
  <si>
    <t>Row 69</t>
  </si>
  <si>
    <t>X. PARTICIPANTES DEL FONDO (Propuesta ConoSur Mar-2026)</t>
  </si>
  <si>
    <t>Nombre del Fondo</t>
  </si>
  <si>
    <t>TCMC Tramo I o "Tu Casa Más Cerca" Tramo I (a confirmar)</t>
  </si>
  <si>
    <t>Tipo de Fondo</t>
  </si>
  <si>
    <t>Fondo Común de Inversión Cerrado de Créditos (FCIC)</t>
  </si>
  <si>
    <t>Sociedad Gerente</t>
  </si>
  <si>
    <t>Cono Sur S.G.F.C.I.S.A.</t>
  </si>
  <si>
    <t>Sociedad Depositaria</t>
  </si>
  <si>
    <t>Banco Comafi S.A. (a confirmar)</t>
  </si>
  <si>
    <t>Asesor de Inversión</t>
  </si>
  <si>
    <t>Capital Token Group S.A. (en formación)</t>
  </si>
  <si>
    <t>Organizador, Asesor Financiero y Hacedor de Mercado</t>
  </si>
  <si>
    <t>Cono Sur Inversiones S.A.</t>
  </si>
  <si>
    <t>Proveedores de Liquidez</t>
  </si>
  <si>
    <t>A ser designados (≈25% del patrimonio neto del fondo)</t>
  </si>
  <si>
    <t>Porcentaje mínimo en activos específicos</t>
  </si>
  <si>
    <t>≈75% del patrimonio del fondo</t>
  </si>
  <si>
    <t>Activos transitorios</t>
  </si>
  <si>
    <t>FCI money market, depósitos bancarios, títulos públicos, ONs, VDF, cauciones</t>
  </si>
  <si>
    <t>Objetivo de inversión</t>
  </si>
  <si>
    <t>Créditos hipotecarios a personas humanas, ≈USD 30K, plazos 1-3 años, aforos ≈30%</t>
  </si>
  <si>
    <t>Liquidación del FCIC</t>
  </si>
  <si>
    <t>Al vencimiento del plazo, por decisión de asamblea o eventos regulatorios</t>
  </si>
  <si>
    <t>Anticipo Organizador (no reembolsable)</t>
  </si>
  <si>
    <t>USD 6,250 — a cuenta Comisión Organizador. 15 días corridos.</t>
  </si>
  <si>
    <t>FLUJO DEL FONDO — MODELO TCMC 5 AÑOS (Cono Sur / Capital Token Group, USD 5M)</t>
  </si>
  <si>
    <t>AÑO</t>
  </si>
  <si>
    <t>A. CAPITAL Y ORIGINACIÓN</t>
  </si>
  <si>
    <t>Cartera Total Desplegada Inicio</t>
  </si>
  <si>
    <t>Capital Liberado (Amortización)</t>
  </si>
  <si>
    <t>¿Año de Originación Activa?</t>
  </si>
  <si>
    <t>Nuevos Créditos (re-originación)</t>
  </si>
  <si>
    <t>Stock de Capital Fin Año</t>
  </si>
  <si>
    <t>Volumen Total Originado</t>
  </si>
  <si>
    <t>B. APALANCAMIENTO (editar fila 13: 1=ajustar deuda al 50% PN, 0=mantener nivel anterior)</t>
  </si>
  <si>
    <t>¿Ajustar deuda? (1=reset a 0.5x PN, 0=mantener) — editable por año</t>
  </si>
  <si>
    <t>Deuda Senior (monto)</t>
  </si>
  <si>
    <t>Capital Total Desplegado (Equity + Deuda)</t>
  </si>
  <si>
    <t>Leverage Ratio (Deuda / PN Inicio)</t>
  </si>
  <si>
    <t>C. INGRESOS</t>
  </si>
  <si>
    <t>Interés Ganado (sobre capital total desplegado)</t>
  </si>
  <si>
    <t>Upfront Fee (4% al Fondo)</t>
  </si>
  <si>
    <t>TOTAL INGRESOS FONDO</t>
  </si>
  <si>
    <t>D. COSTOS DEL FONDO</t>
  </si>
  <si>
    <t>Honorarios Soc. Gerente (1.2%)</t>
  </si>
  <si>
    <t>Honorarios Soc. Depositaria (0.2%, mín $21,600/yr + $10K inicial Y1)</t>
  </si>
  <si>
    <t>Honorarios Asesor Inversión (0% PN — eliminado)</t>
  </si>
  <si>
    <t>Fee Asesor (Originación + Adquisición)</t>
  </si>
  <si>
    <t>Costos Fijos Operativos</t>
  </si>
  <si>
    <t>Comisiones (Colocador+Org) sobre capital</t>
  </si>
  <si>
    <t>IVA sobre Upfront Fee (REVISAR: ¿lo paga el fondo o el tomador?)</t>
  </si>
  <si>
    <t>Intereses Deuda Senior</t>
  </si>
  <si>
    <t>TOTAL COSTOS</t>
  </si>
  <si>
    <t>Carry devengado del período</t>
  </si>
  <si>
    <t>Carry COBRADO (Success Fee: sólo al cierre Y6, tope 5% Cl.10.5)</t>
  </si>
  <si>
    <t>E. RESULTADO</t>
  </si>
  <si>
    <t>EBITDA Fondo (neto de carry)</t>
  </si>
  <si>
    <t>EBITDA / Equity (%)</t>
  </si>
  <si>
    <t>Retiros Parciales Inversores (detalle filas 69-80)</t>
  </si>
  <si>
    <t>Neto Reinvertido / Acumulado</t>
  </si>
  <si>
    <t>F. PATRIMONIO NETO</t>
  </si>
  <si>
    <t>Captaciones Nuevas (ingreso capital por año)</t>
  </si>
  <si>
    <t>Nota: Captaciones editable por año. Comisiones se cobran sobre capital nuevo.</t>
  </si>
  <si>
    <t>PN Inicio</t>
  </si>
  <si>
    <t>PN Fin (antes retiros)</t>
  </si>
  <si>
    <t>G. CIERRE DEL FONDO — WIND-DOWN AÑO 5 (2030)</t>
  </si>
  <si>
    <t>Revolving Año Cierre (devuelto como cash)</t>
  </si>
  <si>
    <t>Cartera Remanente (Stock Fin)</t>
  </si>
  <si>
    <t>Valor Securitización</t>
  </si>
  <si>
    <t>Repago Deuda Senior (si aplica)</t>
  </si>
  <si>
    <t>CASH NETO CIERRE (revolving + securit - deuda)</t>
  </si>
  <si>
    <t>H. CASH FLOW INVERSOR (EQUITY)</t>
  </si>
  <si>
    <t>Retiros Parciales Recibidos (neto de fee)</t>
  </si>
  <si>
    <t>Cash Cierre Fondo</t>
  </si>
  <si>
    <t>Cash Flow Inversor TOTAL</t>
  </si>
  <si>
    <t>Retorno Acumulado</t>
  </si>
  <si>
    <t>I. METRICAS DE RETORNO</t>
  </si>
  <si>
    <t>CF para TIR (t=0 a t=5)</t>
  </si>
  <si>
    <t>IMPOSITIVAMENTE CÓMO IMPACTA?</t>
  </si>
  <si>
    <t>TIR Inversor</t>
  </si>
  <si>
    <t>MOIC (Total Distributions / Total Capital Invested)</t>
  </si>
  <si>
    <t>Nota: TIR asume liquidación de cartera remanente dentro del último año del fondo.</t>
  </si>
  <si>
    <t>Success fee del carry se cobra en Y5 al cierre. Ver SENSIBILIDAD 5Y para análisis con apalancamiento.</t>
  </si>
  <si>
    <t>J. RETIROS POR LIQUIDEZ — DETALLE 2 CASOS</t>
  </si>
  <si>
    <t>CASO 1: Fondo de Liquidez</t>
  </si>
  <si>
    <t>Monto Fondo Liquidez por año (EDITABLE →)</t>
  </si>
  <si>
    <t>% Retiro Caso 2 (EDITABLE por año →)</t>
  </si>
  <si>
    <t>CASO 2: Retiro Variable (% × PN)</t>
  </si>
  <si>
    <t>TOTAL RETIRO BRUTO (Caso 1 + Caso 2)</t>
  </si>
  <si>
    <t>Fee sobre Retiro (%)</t>
  </si>
  <si>
    <t>Fee Retiro (USD) — ingreso TCMC</t>
  </si>
  <si>
    <t>Retiro Neto al Inversor (Bruto − Fee)</t>
  </si>
  <si>
    <t>Impacto en NAV del Fondo (= Bruto sale, Fee a TCMC)</t>
  </si>
  <si>
    <t>Nota: El retiro BRUTO sale del fondo (reduce NAV). El fee es ingreso TCMC fuera del fondo.</t>
  </si>
  <si>
    <t>RESULTADOS ASESOR — MODELO TCMC 5 AÑOS (Propuesta ConoSur Mar-2026)</t>
  </si>
  <si>
    <t>Escenario ácido: USD 5M, sin captaciones. Fee 1% originación, hurdle 6%, carry 10%.</t>
  </si>
  <si>
    <t>I. MANAGEMENT FEE (Honorarios Asesor)</t>
  </si>
  <si>
    <t>Management Fee (0% — eliminado, modelo Lendar)</t>
  </si>
  <si>
    <t>Fee por Crédito: 1% Orig + 1% Adq (ver SUPUESTOS B31/B32)</t>
  </si>
  <si>
    <t>TOTAL FEES ASESOR (dentro del fondo)</t>
  </si>
  <si>
    <t>II. CARRY WATERFALL (con tope 5.4% — Cl. 10.5)</t>
  </si>
  <si>
    <t>EBITDA pre-carry</t>
  </si>
  <si>
    <t>Carry Devengado del Período</t>
  </si>
  <si>
    <t>Carry Diferido Acum. (entrada)</t>
  </si>
  <si>
    <t>Total Carry Pendiente (devengado + diferido)</t>
  </si>
  <si>
    <t>Espacio Disponible (5.4%*PN − costos cubiertos por tope)</t>
  </si>
  <si>
    <t>Carry COBRADO (limitado por tope)</t>
  </si>
  <si>
    <t>Carry Diferido Acum. (salida → pasa al año sig.)</t>
  </si>
  <si>
    <t>Nota: excluidos del tope 5.4%: comisiones colocador (row29), IVA upfront (row30), intereses deuda (row31)</t>
  </si>
  <si>
    <t>III. UPFRONT FEE EXTRACTION (pre-fondo)</t>
  </si>
  <si>
    <t>Upfront Total (5% del otorgado neto)</t>
  </si>
  <si>
    <t>Porción al Fondo (4%)</t>
  </si>
  <si>
    <t>Extracción Asesor Pre-Fondo (1%)</t>
  </si>
  <si>
    <t>IVA sobre Extracción (21%)</t>
  </si>
  <si>
    <t>Neto Extracción (sin IVA)</t>
  </si>
  <si>
    <t>Fee por Retiros de Liquidez (5% default)</t>
  </si>
  <si>
    <t>TOTAL A COBRAR ASESOR TCMC (año por año)</t>
  </si>
  <si>
    <t>TOTAL ACUMULADO (sumador)</t>
  </si>
  <si>
    <t>SPONSOR (exceso &gt;5.4% PN → pago fuera del fondo)</t>
  </si>
  <si>
    <t>Se cobra el año siguiente si hay lugar</t>
  </si>
  <si>
    <t>IV. RESUMEN TOTAL ASESOR — ESCENARIOS</t>
  </si>
  <si>
    <t>Escenario</t>
  </si>
  <si>
    <t>Promedio Anual</t>
  </si>
  <si>
    <t>A. Solo Fee por Crédito (1%/0.7%)</t>
  </si>
  <si>
    <t>B. Fee Crédito + Carry</t>
  </si>
  <si>
    <t>C. Full (Fee Crédito + Carry + Extracción 1%)</t>
  </si>
  <si>
    <t>D. Full + Fee Retiros Liquidez</t>
  </si>
  <si>
    <t>V. MÉTRICAS CLAVE</t>
  </si>
  <si>
    <t>TIR Inversor (post all fees)</t>
  </si>
  <si>
    <t>Total EBITDA Acumulado (6Y)</t>
  </si>
  <si>
    <t>Total Carry Devengado (6Y)</t>
  </si>
  <si>
    <t>Total Carry Cobrado (6Y)</t>
  </si>
  <si>
    <t>Carry Diferido Final (no cobrado)</t>
  </si>
  <si>
    <t>Mgmt Fee como % del PN promedio</t>
  </si>
  <si>
    <t>NOTAS</t>
  </si>
  <si>
    <t>1. El carry se calcula año a año: 20% sobre exceso de EBITDA vs hurdle (8% * PN). Se cobra como Success Fee al cierre (Y6).</t>
  </si>
  <si>
    <t>2. La extracción pre-fondo (1% del upfront) está sujeta a aprobación regulatoria y del reglamento FCIC.</t>
  </si>
  <si>
    <t>3. Si se completa B32 en SUPUESTOS (fee adquirido), se suma automáticamente como costo del fondo.</t>
  </si>
  <si>
    <t>4. Las captaciones por año (fila 42 en FLUJO) afectan el PN, comisiones, portfolio y TIR.</t>
  </si>
  <si>
    <t>5. Fee por originación+adquisición: actualmente 1%+1% (total 2% por crédito). Verificar con TBD si el 1.5% se refiere al fee total.</t>
  </si>
  <si>
    <t>FLUJO DEL FONDO — MODELO TCMC 11 AÑOS (Cono Sur / Capital Token Group, con captaciones)</t>
  </si>
  <si>
    <t>¿Ajustar deuda? (1=reset a 0.5x PN, 0=mantener)</t>
  </si>
  <si>
    <t>Upfront Fee (% al Fondo)</t>
  </si>
  <si>
    <t>Carry COBRADO (tope 5.4% Cl.10.5)</t>
  </si>
  <si>
    <t>G. CIERRE DEL FONDO — WIND-DOWN AÑO 11 (2036)</t>
  </si>
  <si>
    <t>CF para TIR (t=0 a t=11)</t>
  </si>
  <si>
    <t>Ver tab SENSIBILIDAD para analisis completo.</t>
  </si>
  <si>
    <t>TU CASA +CERCA | CUOTAS POR TOMADOR — Amortización Francesa</t>
  </si>
  <si>
    <t>12 MESES — PLAZO</t>
  </si>
  <si>
    <t>Lendar:</t>
  </si>
  <si>
    <t>Período</t>
  </si>
  <si>
    <t>Saldo Inicial</t>
  </si>
  <si>
    <t>Interés</t>
  </si>
  <si>
    <t>Capital</t>
  </si>
  <si>
    <t>Cuota</t>
  </si>
  <si>
    <t>Saldo Final</t>
  </si>
  <si>
    <t>Tomador</t>
  </si>
  <si>
    <t>Pide</t>
  </si>
  <si>
    <t>Estos va a pagar el depto</t>
  </si>
  <si>
    <t>Toma</t>
  </si>
  <si>
    <t>Plazo</t>
  </si>
  <si>
    <t>Cuota Neta</t>
  </si>
  <si>
    <t>NETO</t>
  </si>
  <si>
    <t>Total</t>
  </si>
  <si>
    <t>TDirecta</t>
  </si>
  <si>
    <t>CFT Anualizado</t>
  </si>
  <si>
    <t>24 MESES — PLAZO</t>
  </si>
  <si>
    <t>TOTALES</t>
  </si>
  <si>
    <t>Total Int Nom/30k</t>
  </si>
  <si>
    <t>Upfront Fee + IVA</t>
  </si>
  <si>
    <t>Tasa Directa</t>
  </si>
  <si>
    <t>36 MESES — PLAZO</t>
  </si>
  <si>
    <t>48 MESES — PLAZO</t>
  </si>
  <si>
    <t>CFT</t>
  </si>
  <si>
    <t>60 MESES — PLAZO</t>
  </si>
  <si>
    <t>RESULTADOS ASESOR — MODELO TCMC 11 AÑOS (Propuesta ConoSur Mar-2026)</t>
  </si>
  <si>
    <t>Análisis de comisiones, carry (hurdle 6%), y extracción upfront. Propuesta ConoSur Marzo 2026.</t>
  </si>
  <si>
    <t>Fee por Crédito: % Originado + % Adquirido</t>
  </si>
  <si>
    <t>Total 11Y (USD)</t>
  </si>
  <si>
    <t>Total EBITDA Acumulado (11Y)</t>
  </si>
  <si>
    <t>Total Carry Devengado (11Y)</t>
  </si>
  <si>
    <t>Total Carry Cobrado (11Y)</t>
  </si>
  <si>
    <t>1. El carry se calcula año a año: 20% sobre el exceso de EBITDA respecto al hurdle (6% * PN Inicio).</t>
  </si>
  <si>
    <t>5. Escenario D incluye fee por originación/adquisición, actualmente en 0% (ver SUPUESTOS B31/B32).</t>
  </si>
  <si>
    <t>RESPUESTAS PROVISORIAS A CUESTIONARIO TCA — FCIC CRÉDITOS HIPOTECARIOS</t>
  </si>
  <si>
    <t>Fuente: Propuesta Cono Sur Investments (Marzo 2026) + definiciones Capital Token Group. Sujeto a revisión y confirmación.</t>
  </si>
  <si>
    <t>#</t>
  </si>
  <si>
    <t>Pregunta TCA</t>
  </si>
  <si>
    <t>Respuesta Provisoria</t>
  </si>
  <si>
    <t>Status / Notas</t>
  </si>
  <si>
    <t>SECCIÓN I — PAUTAS DE INVERSIÓN Y ESTRUCTURA DEL FCIC</t>
  </si>
  <si>
    <t>1</t>
  </si>
  <si>
    <t>Nombre del FCIC (debe constar desde el inicio para actas de creación de órganos)</t>
  </si>
  <si>
    <t>A definir. Propuesta: "TCMC Créditos Hipotecarios I" o "Tu Casa +Cerca I — FCIC de Créditos"</t>
  </si>
  <si>
    <t>PENDIENTE — Definir con CTG</t>
  </si>
  <si>
    <t>2</t>
  </si>
  <si>
    <t>Participantes: depositaria / asesor de inversiones / comité de inversiones (integración y pautas generales de funcionamiento)</t>
  </si>
  <si>
    <t>Sociedad Gerente: Cono Sur S.G.F.C.I.S.A.
Sociedad Depositaria: Banco Comafi S.A. (a confirmar)
Asesor de Inversión: Capital Token Group S.A. (en formación)
Organizador/Asesor Financiero/Hacedor de Mercado: Cono Sur Inversiones S.A.
Comité de Inversiones: integración y pautas a definir en reglamento de gestión</t>
  </si>
  <si>
    <t>CONFIRMADO por Cono Sur
Depo. a confirmar
CTG en formación</t>
  </si>
  <si>
    <t>3</t>
  </si>
  <si>
    <t>Monto del FCIC y cantidad de cuotapartes / posibilidad de aumento de monto y emisión de nuevas cuotapartes</t>
  </si>
  <si>
    <t>Primer tramo: mínimo USD 3.000.000. Máximo a definir según colocación. Meta de crecimiento a USD 30M (2026-2030). Cuotapartes: a definir VN unitario. Posibilidad de emitir nuevos tramos sujeto a asamblea y CNV.</t>
  </si>
  <si>
    <t>CORREGIDO 06/04 — Mínimo USD 3M, máximo según colocación (no fijo)</t>
  </si>
  <si>
    <t>4</t>
  </si>
  <si>
    <t>Plazo del FCIC</t>
  </si>
  <si>
    <t>Base: 5 años, ampliable a 11 años. Si se amplía, REVISAR con SL (asesor fiscal in-house) si se mantienen los beneficios impositivos (reducción/exención IG bajo Art. 206 Ley 27.440). Modelo financiero corre ambos escenarios.</t>
  </si>
  <si>
    <t>CORREGIDO 06/04 — 5Y base ampliable a 11Y. Validar fiscal con SL</t>
  </si>
  <si>
    <t>5</t>
  </si>
  <si>
    <t>Objetivo de inversión del FCIC</t>
  </si>
  <si>
    <t>Invertir en originación y/o adquisición de créditos hipotecarios a personas humanas destinados a vivienda en Argentina. Ticket promedio estimado USD 30.000. Plazos de crédito: 1 a 5 años. LTV máx 30%. El mix por duration se medirá contra mercado (no se predetermina la distribución por plazo).</t>
  </si>
  <si>
    <t>CORREGIDO 06/04 — Eliminado mix fijo por duration. Se mide contra mercado</t>
  </si>
  <si>
    <t>6</t>
  </si>
  <si>
    <t>Principales activos elegibles</t>
  </si>
  <si>
    <t>Activos específicos: créditos hipotecarios originados o adquiridos por el fondo, garantizados con hipoteca en primer grado sobre inmuebles residenciales en Argentina (min. 75% del patrimonio del fondo).
Activos transitorios: FCI money market, depósitos bancarios, títulos públicos, ONs, VDF, cauciones y otros instrumentos líquidos (hasta 25% del patrimonio).</t>
  </si>
  <si>
    <t>CONFIRMADO por Cono Sur</t>
  </si>
  <si>
    <t>7</t>
  </si>
  <si>
    <t>Tipos de inversión en los activos elegibles</t>
  </si>
  <si>
    <t>Originación directa de créditos hipotecarios a personas humanas a través del canal Coldwell Banker (red inmobiliaria exclusiva). Sistema francés de amortización. Tasa fija en USD.</t>
  </si>
  <si>
    <t>PARCIAL — Confirmar si también adquisición de cartera de terceros</t>
  </si>
  <si>
    <t>8</t>
  </si>
  <si>
    <t>Pautas de diversificación y condiciones de elegibilidad de los activos</t>
  </si>
  <si>
    <t>Diversificación: ningún crédito individual puede exceder el 5% del patrimonio del fondo. Elegibilidad: (i) hipoteca en 1er grado, (ii) destino vivienda única o primera vivienda, (iii) LTV max 30%, (iv) inmueble en Argentina, (v) deudor persona humana con capacidad de repago verificada, (vi) seguro de vida del deudor, (vii) tasación por valuador independiente registrado.</t>
  </si>
  <si>
    <t>PROVISORIO — Sujeto a definición final de scoring y criterios de originación</t>
  </si>
  <si>
    <t>9</t>
  </si>
  <si>
    <t>Formas de valuación de activos</t>
  </si>
  <si>
    <t>Créditos performing: costo amortizado (valor presente de flujos futuros descontados a tasa de originación). Créditos en mora &gt;90 días: valor recuperable neto (valor de garantía menos costos de ejecución). Activos transitorios: valor de mercado o cotización.</t>
  </si>
  <si>
    <t>PROVISORIO — Sujeto a validación con auditor y CNV</t>
  </si>
  <si>
    <t>10</t>
  </si>
  <si>
    <t>Tipo y Clases de cuotapartes</t>
  </si>
  <si>
    <t>Propuesta inicial: clase única de cuotapartes (cuotapartes de condominio). Alternativa a evaluar: Clase A (senior, renta fija) + Clase B (subordinada, equity). Cuotapartes escriturales, nominativas, no endosables.</t>
  </si>
  <si>
    <t>PENDIENTE — Definir si una o dos clases</t>
  </si>
  <si>
    <t>11</t>
  </si>
  <si>
    <t>Moneda del FCIC y bimonetariedad (suscripción y rescate en otras monedas para alguna clase)</t>
  </si>
  <si>
    <t>Moneda del fondo: dólares estadounidenses (USD). Suscripción: en USD. Evaluar posibilidad de suscripción en ARS al tipo de cambio MEP/CCL del día. Rescate: en USD.</t>
  </si>
  <si>
    <t>PARCIAL — Confirmar mecanismo de suscripción en ARS</t>
  </si>
  <si>
    <t>12</t>
  </si>
  <si>
    <t>Forma de integración (posibilidad de integración en especie)</t>
  </si>
  <si>
    <t>Integración en efectivo (USD). No se prevé integración en especie en la etapa inicial. Podría evaluarse para futuras ampliaciones la cesión de carteras de créditos hipotecarios como aporte en especie.</t>
  </si>
  <si>
    <t>PROVISORIO</t>
  </si>
  <si>
    <t>13</t>
  </si>
  <si>
    <t>Posibilidad o no de distribuir utilidades. Posibilidad o no de capitalizarlas.</t>
  </si>
  <si>
    <t>Sí, se prevé distribución de utilidades. Propuesta: dividendo anual del 5% sobre capital suscripto a partir del Año 2. Capitalización automática de utilidades no distribuidas. Mecanismo: la Soc. Gerente declara distribución y la depositaria ejecuta el pago.</t>
  </si>
  <si>
    <t>PARCIAL — Cono Sur indica "a ser definido"</t>
  </si>
  <si>
    <t>14</t>
  </si>
  <si>
    <t>Posibilidad de algún supuesto de rescate parcial anticipado</t>
  </si>
  <si>
    <t>Sí. Rescate parcial: hasta 20% del patrimonio neto del fondo por evento. Si las solicitudes superan ese monto, se aplica prorrateo entre los solicitantes. Frecuencia: trimestral o semestral (a definir).</t>
  </si>
  <si>
    <t>CONFIRMADO por Cono Sur (20%)</t>
  </si>
  <si>
    <t>15</t>
  </si>
  <si>
    <t>Forma de liquidación del FCIC</t>
  </si>
  <si>
    <t>Al vencimiento del plazo, por decisión de asamblea extraordinaria de cuotapartistas (mayoría calificada), o por eventos regulatorios previstos en Ley 24.083. Liquidación: realización ordenada de activos, pago de pasivos y distribución del remanente a prorrata.</t>
  </si>
  <si>
    <t>SECCIÓN II — INFORMACIÓN DEL ASESOR DE INVERSIÓN (para Prospecto)</t>
  </si>
  <si>
    <t>Denominación social</t>
  </si>
  <si>
    <t>Capital Token Group S.A. (en proceso de constitución)</t>
  </si>
  <si>
    <t>PENDIENTE — CTG en formación</t>
  </si>
  <si>
    <t>CUIT</t>
  </si>
  <si>
    <t>A obtener con inscripción societaria</t>
  </si>
  <si>
    <t>PENDIENTE</t>
  </si>
  <si>
    <t>Sede Social</t>
  </si>
  <si>
    <t>A definir (Buenos Aires, Argentina)</t>
  </si>
  <si>
    <t>Estatuto Social</t>
  </si>
  <si>
    <t>En redacción. Objeto social incluirá asesoramiento de inversión en FCI.</t>
  </si>
  <si>
    <t>Dirección de email</t>
  </si>
  <si>
    <t>A definir (ej. info@capitaltokengroup.com)</t>
  </si>
  <si>
    <t>Página web</t>
  </si>
  <si>
    <t>A definir. Landing actual del producto: developfb.github.io/TuCasaMasCerca/</t>
  </si>
  <si>
    <t>PARCIAL</t>
  </si>
  <si>
    <t>Datos registrales ante Registro Público de Comercio</t>
  </si>
  <si>
    <t>Pendiente de constitución e inscripción</t>
  </si>
  <si>
    <t>Nómina de miembros del Órgano de Administración y Fiscalización (fecha designación y vencimiento mandato)</t>
  </si>
  <si>
    <t>A completar una vez constituida la sociedad</t>
  </si>
  <si>
    <t>PENDIENTE — CTG</t>
  </si>
  <si>
    <t>Nómina de Accionistas y/o Socios</t>
  </si>
  <si>
    <t>1.5% por crédito originado (one-time), cobrado al FCIC. El fondo recibe el 5% del tomador y paga 1.5% al asesor por la originación.</t>
  </si>
  <si>
    <t>CORREGIDO 06/04 — 1.5% (no 1%). El asesor cobra al fondo, no al tomador.</t>
  </si>
  <si>
    <t>Reseña histórica de la empresa (info comercial/promocional)</t>
  </si>
  <si>
    <t>Capital Token Group nace como vehículo de inversión y asesoramiento enfocado en créditos hipotecarios de bajo monto (micro-mortgages) para el segmento de primera vivienda en Argentina, en alianza con la red inmobiliaria Coldwell Banker.</t>
  </si>
  <si>
    <t>PROVISORIO — Expandir</t>
  </si>
  <si>
    <t>EECC anuales últimos 3 ejercicios</t>
  </si>
  <si>
    <t>No disponibles (sociedad en formación, sin ejercicios previos)</t>
  </si>
  <si>
    <t>N/A — Sociedad nueva</t>
  </si>
  <si>
    <t>Información sobre política ambiental (si existe)</t>
  </si>
  <si>
    <t>En desarrollo. El fondo se orientará a financiar vivienda accesible, alineado con ODS 11 (Ciudades y Comunidades Sostenibles).</t>
  </si>
  <si>
    <t>A DEFINIR</t>
  </si>
  <si>
    <t>NO replicar el tope fijo de 5.4% de Lendar. En su lugar: definir rendimiento objetivo en el plazo propuesto, sin comprometer un ratio transaccional fijo. Fundamento: el FCIC es un fondo a riesgo, no a renta fija. Un tope rígido obliga al sponsor a cubrir desfasajes financieros momentáneos, lo cual es inconsistente con la naturaleza del vehículo. Lendar (Cl. 10.5) fija 5.4% como referencia.</t>
  </si>
  <si>
    <t>CORREGIDO 06/04 — Sin tope fijo. Rendimiento objetivo, no transaccional. Fondo a riesgo.</t>
  </si>
  <si>
    <t>SECCIÓN III — ESTRUCTURA DE HONORARIOS (Ref. Propuesta Cono Sur)</t>
  </si>
  <si>
    <t>Honorario / Comisión</t>
  </si>
  <si>
    <t>Responsable</t>
  </si>
  <si>
    <t>5% + IVA cobrado al tomador del crédito. El 100% ingresa al FCIC como ingreso del fondo. No hay extracción pre-fondo.</t>
  </si>
  <si>
    <t>CORREGIDO 06/04 — Todo el 5% va al fondo. No hay split pre-fondo.</t>
  </si>
  <si>
    <t>0.20% anual del PN (en propuesta Cono Sur; modelo usa 0.15%)</t>
  </si>
  <si>
    <t>Banco Comafi S.A.</t>
  </si>
  <si>
    <t>Asesor de Inversión (Mgmt Fee)</t>
  </si>
  <si>
    <t>Opción A (ACTIVA EN MODELO): SIN mgmt fee % PN → cobra 1% por crédito originado (one-time). Opción B (propuesta ConoSur): 1% PN + 10% carry &gt;6% hurdle. SUPUESTOS fila 30: B30 = 0% (sin fee anual sobre PN).</t>
  </si>
  <si>
    <t>CORREGIDO — Modelo usa Opción A (0% PN). TCA anterior decía 1.25% → INCORRECTO</t>
  </si>
  <si>
    <t>10% sobre exceso de hurdle 6% — Consistente con Propuesta ConoSur Mar-2026. SUPUESTOS fila 33: B33 = 10%, fila 34: B34 = 6%.</t>
  </si>
  <si>
    <t>CONFIRMADO 06/04 — 10% carry sobre exceso hurdle 6%</t>
  </si>
  <si>
    <t>Colocadores</t>
  </si>
  <si>
    <t>1.50% del monto suscripto (one-time) — Propuesta ConoSur Mar-2026. SUPUESTOS fila 36: B36 = 1.5%.</t>
  </si>
  <si>
    <t>Cono Sur Inversiones + otros ACyDIs</t>
  </si>
  <si>
    <t>0.25% del monto suscripto (one-time)</t>
  </si>
  <si>
    <t>Hacedor de Mercado</t>
  </si>
  <si>
    <t>1.20% anual (all-in cost) sobre activos de cada cuenta de proveedor de liquidez — SUPUESTOS fila 61: B61 = 1.2%. Costo FUERA del fondo.</t>
  </si>
  <si>
    <t>Límite gastos totales</t>
  </si>
  <si>
    <t>5.40% anual del PN del fondo</t>
  </si>
  <si>
    <t>Per reglamento de gestión</t>
  </si>
  <si>
    <t>NOTA (actualizada 06/04/2026): Correcciones aplicadas según revisión de Pancho: (1) Monto: mín 3M, máx según colocación, (2) Plazo: 5Y base ampliable a 11Y + validar fiscal, (3) Mix sin distribución fija por duration, (4) Upfront 5% todo al fondo, (5) Fee asesor originación 1.5%, (6) Carry 10%/6% confirmado, (7) Apalancamiento como alternativa en reglamento, (8) Nuevas cláusulas: ejecución extrajudicial + compra/venta créditos, (9) Sin tope fijo de gastos (rendimiento objetivo, fondo a riesgo).</t>
  </si>
  <si>
    <t>SECCIÓN IV — APALANCAMIENTO Y ESTRUCTURA DE CAPITAL</t>
  </si>
  <si>
    <t>Posibilidad de endeudamiento del FCIC</t>
  </si>
  <si>
    <t>Alternativa a incluir en reglamento de gestión. Cláusula habilitante para que el FCIC pueda tomar endeudamiento garantizado con los créditos de su cartera, hasta 1x PN, previa autorización CNV. Referencia: Lendar Cl. 16.1.5. Parámetros de modelo: leverage efectivo 0.2x, inicio año 3, costo deuda senior 9% USD. Activación sujeta a track record y condiciones de mercado.</t>
  </si>
  <si>
    <t>CORREGIDO 06/04 — Es alternativa habilitada en reglamento, no obligatoria</t>
  </si>
  <si>
    <t>Estructura Senior / Subordinada</t>
  </si>
  <si>
    <t>Evaluar emisión de cuotapartes Clase A (senior, renta fija, prioridad de cobro) y Clase B (subordinada, equity, con carry). Alternativa: línea de crédito bancaria con colateral de cartera hipotecaria. El leverage permite incrementar TIR equity de ~8.2% a ~10% con 1x y deuda al 6.5%.</t>
  </si>
  <si>
    <t>PENDIENTE — Definir timing y estructura</t>
  </si>
  <si>
    <t>Timing del apalancamiento</t>
  </si>
  <si>
    <t>Se recomienda introducir leverage a partir de Serie 2 o 3 del fondo, una vez establecido track record de originación y cobranza (12-18 meses mínimo). Esto es consistente con la práctica de mercado y facilita pricing de la deuda senior.</t>
  </si>
  <si>
    <t>PROVISORIO — Sujeto a track record</t>
  </si>
  <si>
    <t>Covenants y protecciones</t>
  </si>
  <si>
    <t>Covenants típicos para deuda senior hipotecaria: (i) LTV estructura ≤60%, (ii) DSCR mínimo 1.3x, (iii) subordinación mínima 40%, (iv) mora &gt;90 días &lt;5% de cartera, (v) ratio cobertura de intereses. Ver pestaña LEVERAGE ANALYSIS para sensibilidad.</t>
  </si>
  <si>
    <t>PROVISORIO — Negociar con proveedor de deuda</t>
  </si>
  <si>
    <t>Impacto en reglamento de gestión</t>
  </si>
  <si>
    <t>La cláusula de endeudamiento debe figurar expresamente en el reglamento de gestión aprobado por CNV. Debe especificar: (a) límite máximo de endeudamiento, (b) tipos de deuda permitidos, (c) requisito de autorización previa CNV, (d) información a cuotapartistas. Lendar (Cl. 16.1.5) es modelo a seguir.</t>
  </si>
  <si>
    <t>ACCIÓN REQUERIDA — Incluir en borrador de reglamento</t>
  </si>
  <si>
    <t>Cláusula de ejecución extrajudicial</t>
  </si>
  <si>
    <t>Incluir en reglamento cláusula que habilite ejecución extrajudicial de hipotecas bajo Ley 24.441, Título V (Arts. 52-67). Cada contrato de mutuo hipotecario deberá contener cláusula expresa de sometimiento. Ventaja: plazos de 3-6 meses vs 6-24 meses judicial.</t>
  </si>
  <si>
    <t>ACCIÓN — Incluir en borrador de reglamento y modelo de contrato</t>
  </si>
  <si>
    <t>Cláusula de venta/securitización de créditos</t>
  </si>
  <si>
    <t>Habilitar en reglamento que el FCIC pueda: (a) vender créditos individuales de su cartera a terceros, y (b) securitizar paquetes de créditos (emitir VDF u otros instrumentos respaldados por la cartera). Permite gestión activa de cartera y generación de liquidez.</t>
  </si>
  <si>
    <t>ACCIÓN — Incluir en reglamento. Clave para way-out y liquidez.</t>
  </si>
  <si>
    <t>SECCIÓN V — RÉGIMEN DE COBRANZA Y EJECUCIÓN HIPOTECARIA</t>
  </si>
  <si>
    <t>Régimen de ejecución hipotecaria</t>
  </si>
  <si>
    <t>Ejecución extrajudicial bajo Ley 24.441, Título V, Arts. 52-67. Permite ejecutar hipotecas sin intervención judicial cuando el contrato incluye cláusula expresa. Plazo estimado: 3-6 meses (vs 6-24 meses vía judicial).</t>
  </si>
  <si>
    <t>RECOMENDADO — Ventaja operativa clave</t>
  </si>
  <si>
    <t>Legitimación activa para ejecutar</t>
  </si>
  <si>
    <t>La Sociedad Depositaria (Banco Comafi) es la legitimada activa como titular fiduciario de los créditos del FCIC. El Asesor de Inversión (CTG/TCMC) coordina operativamente vía mandato otorgado por la Depositaria.</t>
  </si>
  <si>
    <t>CONFIRMAR con Banco Comafi</t>
  </si>
  <si>
    <t>Costo máximo de ejecución</t>
  </si>
  <si>
    <t>Ley 24.441 establece tope de 3% del monto del crédito para costos de ejecución extrajudicial (honorarios, tasación, publicación).</t>
  </si>
  <si>
    <t>CONFIRMADO — Ley 24.441</t>
  </si>
  <si>
    <t>Mora y procedimiento pre-ejecución</t>
  </si>
  <si>
    <t>Previo a ejecución: (i) intimación fehaciente al deudor (30 días), (ii) intervención de escribano para acta de constatación de mora, (iii) tasación del inmueble, (iv) publicación de edictos por 3 días.</t>
  </si>
  <si>
    <t>PROVISORIO — Definir política de gestión de mora</t>
  </si>
  <si>
    <t>SECCIÓN VI — OBJETO SOCIAL CAPITAL TOKEN GROUP</t>
  </si>
  <si>
    <t>Borrador recomendado</t>
  </si>
  <si>
    <t>Se recomienda el borrador ajustado (v2) que incluye incisos d) y e) excluyendo expresamente actividades reguladas por Ley 21.526 (entidades financieras) y normativa BCRA. Esto evita que CTG sea considerada intermediaria financiera.</t>
  </si>
  <si>
    <t>RECOMENDADO — Usar borrador v2 (ajustado)</t>
  </si>
  <si>
    <t>Incisos clave del objeto social</t>
  </si>
  <si>
    <t>a) Asesoramiento en inversiones y FCI. b) Originación y administración de créditos hipotecarios como mandatario. c) Desarrollo tecnológico para plataformas fintech. d) Exclusión Ley 21.526. e) Exclusión captación de ahorro público.</t>
  </si>
  <si>
    <t>PROVISORIO — Validar con abogado societario</t>
  </si>
  <si>
    <t>Riesgo regulatorio</t>
  </si>
  <si>
    <t>Sin los incisos d) y e), CTG podría ser interpretada como entidad financiera no autorizada (Art. 7, Ley 21.526). La exclusión expresa protege ante BCRA y UIF.</t>
  </si>
  <si>
    <t>CRÍTICO — No omitir exclusiones</t>
  </si>
  <si>
    <t>TODO LIST — TCMC FCIC</t>
  </si>
  <si>
    <t>Última reunión: 31 marzo 2026 | Próximo follow-up: semana 7-11 abril 2026</t>
  </si>
  <si>
    <t>A. ACCIONES POST-REUNIÓN 31/03/2026</t>
  </si>
  <si>
    <t>Prioridad</t>
  </si>
  <si>
    <t>Tarea / Descripción</t>
  </si>
  <si>
    <t>Consultar con</t>
  </si>
  <si>
    <t>Deadline</t>
  </si>
  <si>
    <t>Estado / Notas</t>
  </si>
  <si>
    <t>ALTA</t>
  </si>
  <si>
    <t>Elaborar Term Sheet (TS) del FCIC — resumen de términos y condiciones</t>
  </si>
  <si>
    <t>Gonzalo Ortiz / Pancho</t>
  </si>
  <si>
    <t>TCA (asesores legales)</t>
  </si>
  <si>
    <t>10/04/2026</t>
  </si>
  <si>
    <t>PENDIENTE — Usar datos Tanoira (Sección C) como base</t>
  </si>
  <si>
    <t>Validar comisión up-front 5% que abona tomador a favor del FCIC</t>
  </si>
  <si>
    <t>Pancho</t>
  </si>
  <si>
    <t>TCA / SL (asesor fiscal)</t>
  </si>
  <si>
    <t>PENDIENTE — Definir si es IVA gravado</t>
  </si>
  <si>
    <t>Confirmar si extensión de plazo FCIC (~5 a ~11 años) mantiene reducción/exención de IG</t>
  </si>
  <si>
    <t>CONO SUR</t>
  </si>
  <si>
    <t>SL (asesor fiscal in-house)</t>
  </si>
  <si>
    <t>PENDIENTE — Clave para definición de plazo</t>
  </si>
  <si>
    <t>Definir mecanismo de liquidación (way out) del FCIC</t>
  </si>
  <si>
    <t>Reunión follow-up</t>
  </si>
  <si>
    <t>Definir mecanismo para ampliar monto o emitir nueva serie</t>
  </si>
  <si>
    <t>MEDIA</t>
  </si>
  <si>
    <t>Programa de liquidez para cuotapartes del FCIC</t>
  </si>
  <si>
    <t>A3 / BYMA (mercados)</t>
  </si>
  <si>
    <t>PENDIENTE — Evaluar market maker</t>
  </si>
  <si>
    <t>Mecanismo de recompra de cuotapartes por parte del FCIC</t>
  </si>
  <si>
    <t>Apalancamiento mediante financiamiento garantizado con créditos del FCIC</t>
  </si>
  <si>
    <t>TCA / potenciales inversores</t>
  </si>
  <si>
    <t>PENDIENTE — Evaluar viabilidad regulatoria</t>
  </si>
  <si>
    <t>Mecanismo de venta de créditos por parte del FCIC</t>
  </si>
  <si>
    <t>Compartir TS con TCA, FAs de ConoSur y potenciales colocadores/distribuidores</t>
  </si>
  <si>
    <t>Post 10/04</t>
  </si>
  <si>
    <t>PENDIENTE — Depende de #1</t>
  </si>
  <si>
    <t>Agendar reunión de follow-up</t>
  </si>
  <si>
    <t>Todos</t>
  </si>
  <si>
    <t>Semana 7-11/04</t>
  </si>
  <si>
    <t>B. FACTURACIÓN TCA (TANOIRA CASSAGNE) — USD 6.000 (30% gestión)</t>
  </si>
  <si>
    <t>Proveer datos de facturación a TCA para emisión factura USD 6K (30% valor gestión)</t>
  </si>
  <si>
    <t>TCA</t>
  </si>
  <si>
    <t>URGENTE</t>
  </si>
  <si>
    <t>Me contacto desde la administración de TCA Tanoira Cassagne. Nos encontramos en condiciones de avanzar con la facturación de USD 6.000 + impuestos, en concepto de FCI Cerrado - Cuota 1 - 30% emitida de manera anticipada al inicio de los trabajos
Agradeceremos que nos brinden su conformidad y nos proporcionen los datos de facturación correspondientes para proceder con la emisión.</t>
  </si>
  <si>
    <t>Confirmar forma de pago y moneda de facturación</t>
  </si>
  <si>
    <t>ASAP</t>
  </si>
  <si>
    <t>C. INFORMACIÓN REQUERIDA POR TCA (TANOIRA CASSAGNE) — Para Reglamento y Prospecto</t>
  </si>
  <si>
    <t>C.1. DEFINICIONES ESTRUCTURALES DEL FCIC (15 puntos — para borrador de Reglamento de Gestión)</t>
  </si>
  <si>
    <t>Pregunta / Requerimiento TCA</t>
  </si>
  <si>
    <t>Respuesta / Definición</t>
  </si>
  <si>
    <t>Estado</t>
  </si>
  <si>
    <t>Notas para TS</t>
  </si>
  <si>
    <t>C1.1</t>
  </si>
  <si>
    <t>Nombre del FCIC</t>
  </si>
  <si>
    <t>Pancho / Gonzalo</t>
  </si>
  <si>
    <t>Debe constar desde el inicio para actas de creación</t>
  </si>
  <si>
    <t>C1.2</t>
  </si>
  <si>
    <t>Participantes: Depositaria / Asesor de Inversión / Comité de Inversiones (integración y pautas)</t>
  </si>
  <si>
    <t>Definir roles y funcionamiento</t>
  </si>
  <si>
    <t>C1.3</t>
  </si>
  <si>
    <t>Monto del FCIC y cantidad de cuotapartes / posibilidad de aumento y nueva emisión</t>
  </si>
  <si>
    <t>Relacionado con tarea #5</t>
  </si>
  <si>
    <t>C1.4</t>
  </si>
  <si>
    <t>Pancho / SL</t>
  </si>
  <si>
    <t>Relacionado con tarea #3 (5Y vs 11Y)</t>
  </si>
  <si>
    <t>C1.5</t>
  </si>
  <si>
    <t>Micro-hipotecas residenciales</t>
  </si>
  <si>
    <t>C1.6</t>
  </si>
  <si>
    <t>Créditos hipotecarios</t>
  </si>
  <si>
    <t>C1.7</t>
  </si>
  <si>
    <t>C1.8</t>
  </si>
  <si>
    <t>Pautas de diversificación y condiciones de elegibilidad de activos</t>
  </si>
  <si>
    <t>LTV, cuota/ingreso, scoring</t>
  </si>
  <si>
    <t>C1.9</t>
  </si>
  <si>
    <t>C1.10</t>
  </si>
  <si>
    <t>Pancho / TCA</t>
  </si>
  <si>
    <t>C1.11</t>
  </si>
  <si>
    <t>Moneda del FCIC y bimonetariedad (suscripción/rescate en otras monedas)</t>
  </si>
  <si>
    <t>USD base</t>
  </si>
  <si>
    <t>C1.12</t>
  </si>
  <si>
    <t>C1.13</t>
  </si>
  <si>
    <t>Distribución de utilidades / posibilidad de capitalización</t>
  </si>
  <si>
    <t>Ver waterfall del modelo</t>
  </si>
  <si>
    <t>C1.14</t>
  </si>
  <si>
    <t>Supuesto de rescate parcial anticipado</t>
  </si>
  <si>
    <t>Relacionado con tarea #7</t>
  </si>
  <si>
    <t>C1.15</t>
  </si>
  <si>
    <t>Relacionado con tarea #4</t>
  </si>
  <si>
    <t>C.2. DATOS DEL ASESOR DE INVERSIÓN — Para Prospecto (13 puntos)</t>
  </si>
  <si>
    <t>Dato Requerido por TCA</t>
  </si>
  <si>
    <t>Dato / Documento</t>
  </si>
  <si>
    <t>Notas</t>
  </si>
  <si>
    <t>C2.1</t>
  </si>
  <si>
    <t>Nombre legal de +Cerca</t>
  </si>
  <si>
    <t>C2.2</t>
  </si>
  <si>
    <t>C2.3</t>
  </si>
  <si>
    <t>Dirección legal</t>
  </si>
  <si>
    <t>C2.4</t>
  </si>
  <si>
    <t>Adjuntar copia certificada</t>
  </si>
  <si>
    <t>C2.5</t>
  </si>
  <si>
    <t>Email corporativo</t>
  </si>
  <si>
    <t>C2.6</t>
  </si>
  <si>
    <t>tucasamascerca.com.ar o similar</t>
  </si>
  <si>
    <t>C2.7</t>
  </si>
  <si>
    <t>C2.8</t>
  </si>
  <si>
    <t>Nómina de miembros del Órgano de Administración y Fiscalización (fecha designación y vto. mandato)</t>
  </si>
  <si>
    <t>Incluir directores y síndicos</t>
  </si>
  <si>
    <t>C2.9</t>
  </si>
  <si>
    <t>C2.10</t>
  </si>
  <si>
    <t>Antecedentes personales, técnicos y empresariales de administradores (educación, experiencia)</t>
  </si>
  <si>
    <t>CVs de cada administrador</t>
  </si>
  <si>
    <t>C2.11</t>
  </si>
  <si>
    <t>Reseña histórica de la empresa (información comercial/promocional)</t>
  </si>
  <si>
    <t>Para sección del Prospecto</t>
  </si>
  <si>
    <t>C2.12</t>
  </si>
  <si>
    <t>EECC anuales últimos 3 ejercicios (si existen)</t>
  </si>
  <si>
    <t>Si la empresa es nueva, indicarlo</t>
  </si>
  <si>
    <t>C2.13</t>
  </si>
  <si>
    <t>Opcional pero recomendable</t>
  </si>
  <si>
    <t>D. CLÁUSULAS CLAVE PARA REGLAMENTO DE GESTIÓN (Definidas 06/04/2026)</t>
  </si>
  <si>
    <t>Cláusula / Tema</t>
  </si>
  <si>
    <t>Incluir cláusula de ejecución extrajudicial (Ley 24.441 Título V) en reglamento y modelo de contrato de mutuo hipotecario</t>
  </si>
  <si>
    <t>Para TS 10/04</t>
  </si>
  <si>
    <t>PENDIENTE — Ventaja operativa: 3-6 meses vs 6-24 judicial</t>
  </si>
  <si>
    <t>Habilitar en reglamento adquisición de créditos hipotecarios de terceros (bancos, fintech, otros fondos)</t>
  </si>
  <si>
    <t>PENDIENTE — Flexibiliza crecimiento y diversificación</t>
  </si>
  <si>
    <t>Habilitar en reglamento venta de créditos individuales a terceros + securitización de paquetes de cartera (VDF u otros)</t>
  </si>
  <si>
    <t>PENDIENTE — Clave para way-out y gestión activa de cartera</t>
  </si>
  <si>
    <t>Replantear tope de gastos: NO fijar 5.4% fijo (como Lendar). Definir rendimiento objetivo en plazo propuesto. Fondo a riesgo, no renta fija.</t>
  </si>
  <si>
    <t>TCA / ConoSur</t>
  </si>
  <si>
    <t>PENDIENTE — Evitar que sponsor cubra desfasajes momentáneos</t>
  </si>
  <si>
    <t>Incluir cláusula habilitante de apalancamiento (hasta 1x PN, previa CNV). Es alternativa, no obligatoria.</t>
  </si>
  <si>
    <t>PENDIENTE — Ref: Lendar Cl. 16.1.5</t>
  </si>
  <si>
    <t>Confirmar fee asesor originación en 1.5% (cobrado al fondo, no al tomador). Upfront 5% íntegro al fondo.</t>
  </si>
  <si>
    <t>ConoSur / TCA</t>
  </si>
  <si>
    <t>DEFINIDO 06/04 — Actualizar modelo</t>
  </si>
  <si>
    <t>Validar con SL si extensión de 5Y a 11Y mantiene beneficios IG (Art. 206 Ley 27.440)</t>
  </si>
  <si>
    <t>SL (asesor fiscal)</t>
  </si>
  <si>
    <t>Antes de TS</t>
  </si>
  <si>
    <t>PENDIENTE — Crítico para definición de plazo</t>
  </si>
  <si>
    <t>NOTA: Los datos de la Sección C.2 son los que TCA necesita para facturar USD 6K (30% gestión). La Sección D agrupa las cláusulas clave que deben incluirse en el borrador de reglamento de gestión y en el Term Sheet (TS) del 10/04.</t>
  </si>
  <si>
    <t>A los fines de evaluar la elegibilidad de los potenciales Deudores para el otorgamiento</t>
  </si>
  <si>
    <t>de créditos hipotecarios, se aplicarán, como mínimo, los siguientes criterios de</t>
  </si>
  <si>
    <t>análisis de solvencia:</t>
  </si>
  <si>
    <t> Verificación de antecedentes crediticios: Se analizará la situación crediticia del</t>
  </si>
  <si>
    <t>solicitante mediante informes provenientes de bases de datos públicas y</t>
  </si>
  <si>
    <t>privadas, tales como la Central de Deudores del Sistema Financiero del BCRA,</t>
  </si>
  <si>
    <t>informes comerciales (e.g., Veraz, Nosis), y registros de cheques rechazados;</t>
  </si>
  <si>
    <t> Evaluación de cumplimiento: Será requisito excluyente que al momento del</t>
  </si>
  <si>
    <t>otorgamiento del crédito el solicitante no registre obligaciones financieras</t>
  </si>
  <si>
    <t>impagas ni situaciones de morosidad vigentes; y</t>
  </si>
  <si>
    <t> Acreditación de ingresos: Se exigirá la presentación de documentación</t>
  </si>
  <si>
    <t>respaldatoria de los ingresos del solicitante, conforme su condición tributaria,</t>
  </si>
  <si>
    <t>tales como (i) recibo de sueldo; (ii) declaración jurada de impuesto a las</t>
  </si>
  <si>
    <t>ganancias presentada ante ARCA o comprobantes de facturación de los</t>
  </si>
  <si>
    <t>últimos seis (6) meses en caso de monotributistas.</t>
  </si>
  <si>
    <t>Se podrán establecer criterios adicionales consistentes con las políticas de inversión</t>
  </si>
  <si>
    <t>y las condiciones de mercado vigentes.</t>
  </si>
  <si>
    <t>3.2.2. CONDICIONES DE OTORGAMIENTO DE CRÉDITOS HIPOTECARIOS.</t>
  </si>
  <si>
    <t>SOLICITUD DE CRÉDITOS HIPOTECARIOS. El asesor de Inversión evaluará como</t>
  </si>
  <si>
    <t>criterios de elegibilidad para el otorgamiento y asignación de los créditos: DNI del</t>
  </si>
  <si>
    <t>Solicitante, Cónyuge y Garante (en caso de participar), perfil crediticio de cada parte,</t>
  </si>
  <si>
    <t>situación financiera, deudas, pagos/atrasos/vencimientos, cheques, etc., recibos de</t>
  </si>
  <si>
    <t>sueldo y haberes, facturas, recibos, declaraciones juradas ingresos, facturación, IVA,</t>
  </si>
  <si>
    <t>etc. y la ficha de la propiedad. Sin perjuicio de ello, los créditos hipotecarios que, en</t>
  </si>
  <si>
    <t>su caso, otorgue el Administrador a los Deudores (de acuerdo a como dicho término</t>
  </si>
  <si>
    <t>se define más adelante), con la asistencia del Asesor de Inversión, serán otorgados</t>
  </si>
  <si>
    <t>de acuerdo con los términos y condiciones reseñados con mayor detalle operativo en</t>
  </si>
  <si>
    <t>el Manual de Procedimientos del Fondo.</t>
  </si>
  <si>
    <t>Para el otorgamiento de créditos, se aplicará un criterio de relación cuota-ingreso,</t>
  </si>
  <si>
    <t>conforme al cual el monto de la cuota resultante del crédito solicitado por el Deudor</t>
  </si>
  <si>
    <t>no podrá superar el cuarenta por ciento (40%) del ingreso neto del Deudor.</t>
  </si>
  <si>
    <t>3.2.4. LIMITACIÓN AL OTORGAMIENTO DE CRÉDITOS HIPOTECARIOS. El</t>
  </si>
  <si>
    <t>Administrador administrará el Patrimonio del Fondo de manera tal que siempre</t>
  </si>
  <si>
    <t>mantenga la liquidez suficiente para abonar los gastos deducibles del Fondo, por lo</t>
  </si>
  <si>
    <t>que no podrá en ningún momento otorgar créditos hipotecarios cuyos montos</t>
  </si>
  <si>
    <t>superen el noventa y cinco por ciento (95%) del Patrimonio del Fondo.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</si>
</sst>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\$#,##0;[Red]&quot;($&quot;#,##0\);\-"/>
    <numFmt numFmtId="165" formatCode="0.0%;[Red]\-0.0%;\-"/>
    <numFmt numFmtId="166" formatCode="0.00%;[Red]\-0.00%;\-"/>
    <numFmt numFmtId="167" formatCode="0.00\x"/>
    <numFmt numFmtId="168" formatCode="#,##0;[Red]\(#,##0\);\-"/>
    <numFmt numFmtId="169" formatCode="#,##0.0;[Red]\(#,##0.0\);\-"/>
    <numFmt numFmtId="170" formatCode="0.0"/>
    <numFmt numFmtId="171" formatCode="0.0\x"/>
    <numFmt numFmtId="172" formatCode="_(* #,##0.00_);_(* \(#,##0.00\);_(* \-??_);_(@_)"/>
    <numFmt numFmtId="173" formatCode="0.0%"/>
    <numFmt numFmtId="174" formatCode="\$#,##0"/>
    <numFmt numFmtId="175" formatCode="\$#,##0;&quot;($&quot;#,##0\);\-"/>
    <numFmt numFmtId="176" formatCode="0.000\x"/>
    <numFmt numFmtId="177" formatCode="_(* #,##0_);_(* \(#,##0\);_(* \-??_);_(@_)"/>
    <numFmt numFmtId="178" formatCode="\$#,##0.00;&quot;($&quot;#,##0.00\);\-"/>
    <numFmt numFmtId="179" formatCode="\$#,##0.00"/>
    <numFmt numFmtId="180" formatCode="[$U$D ]#,##0"/>
    <numFmt numFmtId="181" formatCode="[$U$D ]#,##0.00"/>
  </numFmts>
  <fonts count="90" x14ac:knownFonts="1">
    <font>
      <sz val="11"/>
      <color theme="1"/>
      <name val="Calibri"/>
      <charset val="1"/>
    </font>
    <font>
      <sz val="10"/>
      <name val="Arial"/>
      <family val="2"/>
    </font>
    <font>
      <b/>
      <sz val="24"/>
      <color rgb="FFFFFFFF"/>
      <name val="Calibri"/>
      <family val="2"/>
    </font>
    <font>
      <i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0066CC"/>
      <name val="Calibri"/>
      <family val="2"/>
    </font>
    <font>
      <sz val="10"/>
      <color rgb="FF555555"/>
      <name val="Calibri"/>
      <family val="2"/>
    </font>
    <font>
      <b/>
      <sz val="22"/>
      <color rgb="FF0A2540"/>
      <name val="Calibri"/>
      <family val="2"/>
    </font>
    <font>
      <b/>
      <sz val="14"/>
      <color rgb="FF0A2540"/>
      <name val="Calibri"/>
      <family val="2"/>
    </font>
    <font>
      <b/>
      <sz val="22"/>
      <color rgb="FF2D7A3F"/>
      <name val="Calibri"/>
      <family val="2"/>
    </font>
    <font>
      <i/>
      <sz val="9"/>
      <color rgb="FF666666"/>
      <name val="Calibri"/>
      <family val="2"/>
    </font>
    <font>
      <b/>
      <sz val="22"/>
      <color rgb="FFD62828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8"/>
      <color rgb="FFFFFFFF"/>
      <name val="Calibri"/>
      <family val="2"/>
    </font>
    <font>
      <i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11"/>
      <color rgb="FFFFFFFF"/>
      <name val="Calibri"/>
      <family val="2"/>
    </font>
    <font>
      <b/>
      <sz val="10"/>
      <color rgb="FF0A2540"/>
      <name val="Calibri"/>
      <family val="2"/>
    </font>
    <font>
      <sz val="10"/>
      <color rgb="FF6B7280"/>
      <name val="Calibri"/>
      <family val="2"/>
    </font>
    <font>
      <b/>
      <sz val="10"/>
      <color rgb="FFD62828"/>
      <name val="Calibri"/>
      <family val="2"/>
    </font>
    <font>
      <b/>
      <sz val="16"/>
      <color rgb="FF0A2540"/>
      <name val="Calibri"/>
      <family val="2"/>
    </font>
    <font>
      <b/>
      <sz val="14"/>
      <color theme="1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00008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rgb="FF8B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9"/>
      <color rgb="FF000000"/>
      <name val="Verdana"/>
      <family val="2"/>
      <charset val="1"/>
    </font>
    <font>
      <b/>
      <sz val="11"/>
      <color rgb="FFFF0000"/>
      <name val="Helvetica Neue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mbria"/>
      <family val="1"/>
      <charset val="1"/>
    </font>
    <font>
      <b/>
      <sz val="11"/>
      <color theme="1"/>
      <name val="Cambria"/>
      <family val="1"/>
      <charset val="1"/>
    </font>
    <font>
      <b/>
      <i/>
      <sz val="9"/>
      <color rgb="FF999999"/>
      <name val="Arial"/>
      <family val="2"/>
      <charset val="1"/>
    </font>
    <font>
      <sz val="8"/>
      <color rgb="FFAAAAAA"/>
      <name val="Arial"/>
      <family val="2"/>
      <charset val="1"/>
    </font>
    <font>
      <b/>
      <sz val="12"/>
      <color theme="1"/>
      <name val="Cambria"/>
      <family val="1"/>
      <charset val="1"/>
    </font>
    <font>
      <b/>
      <sz val="11"/>
      <color rgb="FFFFFFFF"/>
      <name val="Cambria"/>
      <family val="1"/>
      <charset val="1"/>
    </font>
    <font>
      <sz val="10"/>
      <color rgb="FF008000"/>
      <name val="Arial"/>
      <family val="2"/>
      <charset val="1"/>
    </font>
    <font>
      <b/>
      <sz val="10"/>
      <color theme="1"/>
      <name val="Cambria"/>
      <family val="1"/>
      <charset val="1"/>
    </font>
    <font>
      <b/>
      <sz val="10"/>
      <color rgb="FFCC0000"/>
      <name val="Arial"/>
      <family val="2"/>
      <charset val="1"/>
    </font>
    <font>
      <i/>
      <sz val="11"/>
      <color rgb="FF808080"/>
      <name val="Cambria"/>
      <family val="1"/>
      <charset val="1"/>
    </font>
    <font>
      <b/>
      <sz val="11"/>
      <color rgb="FF006100"/>
      <name val="Cambria"/>
      <family val="1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Arial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0000FF"/>
      <name val="Cambria"/>
      <family val="1"/>
      <charset val="1"/>
    </font>
    <font>
      <sz val="11"/>
      <color rgb="FF008000"/>
      <name val="Cambria"/>
      <family val="1"/>
      <charset val="1"/>
    </font>
    <font>
      <i/>
      <sz val="9"/>
      <color rgb="FF80808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sz val="11"/>
      <color rgb="FFFF0000"/>
      <name val="Cambria"/>
      <family val="1"/>
      <charset val="1"/>
    </font>
    <font>
      <sz val="11"/>
      <color rgb="FFFF0000"/>
      <name val="Cambria"/>
      <family val="1"/>
      <charset val="1"/>
    </font>
    <font>
      <b/>
      <sz val="13"/>
      <color theme="1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333333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0"/>
      <name val="Calibri"/>
      <family val="2"/>
      <charset val="1"/>
    </font>
    <font>
      <b/>
      <sz val="12"/>
      <color rgb="FFFFFFFF"/>
      <name val="Cambria"/>
      <family val="1"/>
      <charset val="1"/>
    </font>
    <font>
      <b/>
      <sz val="11"/>
      <color rgb="FF2F5496"/>
      <name val="Cambria"/>
      <family val="1"/>
      <charset val="1"/>
    </font>
    <font>
      <sz val="10"/>
      <color rgb="FF1F4E79"/>
      <name val="Cambria"/>
      <family val="1"/>
      <charset val="1"/>
    </font>
    <font>
      <i/>
      <sz val="10"/>
      <color rgb="FFC00000"/>
      <name val="Cambria"/>
      <family val="1"/>
      <charset val="1"/>
    </font>
    <font>
      <sz val="10"/>
      <color rgb="FF008000"/>
      <name val="Cambria"/>
      <family val="1"/>
      <charset val="1"/>
    </font>
    <font>
      <i/>
      <sz val="9"/>
      <color rgb="FFC00000"/>
      <name val="Arial"/>
      <family val="2"/>
      <charset val="1"/>
    </font>
    <font>
      <i/>
      <sz val="10"/>
      <color rgb="FFBF8F00"/>
      <name val="Cambria"/>
      <family val="1"/>
      <charset val="1"/>
    </font>
    <font>
      <sz val="12"/>
      <color rgb="FF222222"/>
      <name val="Verdana"/>
      <family val="2"/>
      <charset val="1"/>
    </font>
    <font>
      <i/>
      <sz val="10"/>
      <color rgb="FF808080"/>
      <name val="Cambria"/>
      <family val="1"/>
      <charset val="1"/>
    </font>
    <font>
      <i/>
      <sz val="9"/>
      <color rgb="FF008000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1F4E79"/>
      <name val="Cambria"/>
      <family val="1"/>
      <charset val="1"/>
    </font>
    <font>
      <sz val="10"/>
      <color theme="1"/>
      <name val="Cambria"/>
      <family val="1"/>
      <charset val="1"/>
    </font>
    <font>
      <b/>
      <sz val="10"/>
      <color rgb="FFCC0000"/>
      <name val="Cambria"/>
      <family val="1"/>
      <charset val="1"/>
    </font>
    <font>
      <b/>
      <sz val="14"/>
      <color rgb="FF1F4E79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F8C00"/>
      <name val="Arial"/>
      <family val="2"/>
      <charset val="1"/>
    </font>
    <font>
      <b/>
      <sz val="10"/>
      <color rgb="FFC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Verdana"/>
      <family val="2"/>
      <charset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0A253D"/>
        <bgColor rgb="FF0A253E"/>
      </patternFill>
    </fill>
    <fill>
      <patternFill patternType="solid">
        <fgColor rgb="FF1A3A4A"/>
        <bgColor rgb="FF0A253E"/>
      </patternFill>
    </fill>
    <fill>
      <patternFill patternType="solid">
        <fgColor rgb="FFEFF6FF"/>
        <bgColor rgb="FFF4F6F8"/>
      </patternFill>
    </fill>
    <fill>
      <patternFill patternType="solid">
        <fgColor rgb="FFF4F6F8"/>
        <bgColor rgb="FFF5F5F5"/>
      </patternFill>
    </fill>
    <fill>
      <patternFill patternType="solid">
        <fgColor rgb="FFFFFFFF"/>
        <bgColor rgb="FFFFFDE7"/>
      </patternFill>
    </fill>
    <fill>
      <patternFill patternType="solid">
        <fgColor rgb="FF00C9A7"/>
        <bgColor rgb="FF4472C4"/>
      </patternFill>
    </fill>
    <fill>
      <patternFill patternType="solid">
        <fgColor rgb="FFFFF9DB"/>
        <bgColor rgb="FFFEF9E7"/>
      </patternFill>
    </fill>
    <fill>
      <patternFill patternType="solid">
        <fgColor rgb="FF9CA3AF"/>
        <bgColor rgb="FFAAAAAA"/>
      </patternFill>
    </fill>
    <fill>
      <patternFill patternType="solid">
        <fgColor rgb="FFFFF4C2"/>
        <bgColor rgb="FFFFF2CC"/>
      </patternFill>
    </fill>
    <fill>
      <patternFill patternType="solid">
        <fgColor rgb="FFD4F4DD"/>
        <bgColor rgb="FFE2EFDA"/>
      </patternFill>
    </fill>
    <fill>
      <patternFill patternType="solid">
        <fgColor rgb="FFFBD5D5"/>
        <bgColor rgb="FFFFC7CE"/>
      </patternFill>
    </fill>
    <fill>
      <patternFill patternType="solid">
        <fgColor rgb="FFDCE6F1"/>
        <bgColor rgb="FFD9E2F3"/>
      </patternFill>
    </fill>
    <fill>
      <patternFill patternType="solid">
        <fgColor rgb="FFE2EFDA"/>
        <bgColor rgb="FFD4F4DD"/>
      </patternFill>
    </fill>
    <fill>
      <patternFill patternType="solid">
        <fgColor rgb="FFFFF2CC"/>
        <bgColor rgb="FFFFF4C2"/>
      </patternFill>
    </fill>
    <fill>
      <patternFill patternType="solid">
        <fgColor rgb="FFFFFF00"/>
        <bgColor rgb="FFFFF4C2"/>
      </patternFill>
    </fill>
    <fill>
      <patternFill patternType="solid">
        <fgColor rgb="FFDAEEF3"/>
        <bgColor rgb="FFDCE6F1"/>
      </patternFill>
    </fill>
    <fill>
      <patternFill patternType="solid">
        <fgColor rgb="FFFABF8F"/>
        <bgColor rgb="FFFFC7CE"/>
      </patternFill>
    </fill>
    <fill>
      <patternFill patternType="solid">
        <fgColor rgb="FFD9E1F2"/>
        <bgColor rgb="FFD9E2F3"/>
      </patternFill>
    </fill>
    <fill>
      <patternFill patternType="solid">
        <fgColor rgb="FFB4C6E7"/>
        <bgColor rgb="FFC5CED6"/>
      </patternFill>
    </fill>
    <fill>
      <patternFill patternType="solid">
        <fgColor rgb="FFFCE4D6"/>
        <bgColor rgb="FFFFEBEE"/>
      </patternFill>
    </fill>
    <fill>
      <patternFill patternType="solid">
        <fgColor rgb="FF0A253E"/>
        <bgColor rgb="FF0A253D"/>
      </patternFill>
    </fill>
    <fill>
      <patternFill patternType="mediumGray">
        <fgColor rgb="FF0D549B"/>
        <bgColor rgb="FF1F4E79"/>
      </patternFill>
    </fill>
    <fill>
      <patternFill patternType="solid">
        <fgColor rgb="FF4472C4"/>
        <bgColor rgb="FF2F5496"/>
      </patternFill>
    </fill>
    <fill>
      <patternFill patternType="solid">
        <fgColor rgb="FFF5F5F5"/>
        <bgColor rgb="FFF4F6F8"/>
      </patternFill>
    </fill>
    <fill>
      <patternFill patternType="darkGray">
        <fgColor rgb="FF206454"/>
        <bgColor rgb="FF1F4E79"/>
      </patternFill>
    </fill>
    <fill>
      <patternFill patternType="solid">
        <fgColor rgb="FFFEF9E7"/>
        <bgColor rgb="FFFFFDE7"/>
      </patternFill>
    </fill>
    <fill>
      <patternFill patternType="solid">
        <fgColor rgb="FF2F5496"/>
        <bgColor rgb="FF1F4E79"/>
      </patternFill>
    </fill>
    <fill>
      <patternFill patternType="solid">
        <fgColor rgb="FFD9E2F3"/>
        <bgColor rgb="FFD9E1F2"/>
      </patternFill>
    </fill>
    <fill>
      <patternFill patternType="solid">
        <fgColor rgb="FFFFFDE7"/>
        <bgColor rgb="FFFEF9E7"/>
      </patternFill>
    </fill>
    <fill>
      <patternFill patternType="solid">
        <fgColor rgb="FF1F4E79"/>
        <bgColor rgb="FF2F5496"/>
      </patternFill>
    </fill>
    <fill>
      <patternFill patternType="solid">
        <fgColor rgb="FFD6E4F0"/>
        <bgColor rgb="FFD9E2F3"/>
      </patternFill>
    </fill>
    <fill>
      <patternFill patternType="solid">
        <fgColor rgb="FFFFEBEE"/>
        <bgColor rgb="FFFFF3E0"/>
      </patternFill>
    </fill>
    <fill>
      <patternFill patternType="solid">
        <fgColor rgb="FFE8F0FE"/>
        <bgColor rgb="FFEFF6FF"/>
      </patternFill>
    </fill>
    <fill>
      <patternFill patternType="solid">
        <fgColor rgb="FFFFF3E0"/>
        <bgColor rgb="FFFFF9DB"/>
      </patternFill>
    </fill>
  </fills>
  <borders count="15">
    <border>
      <left/>
      <right/>
      <top/>
      <bottom/>
      <diagonal/>
    </border>
    <border>
      <left style="thin">
        <color rgb="FFC5CED6"/>
      </left>
      <right style="thin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122324"/>
      </left>
      <right style="medium">
        <color rgb="FF122324"/>
      </right>
      <top style="medium">
        <color rgb="FF122324"/>
      </top>
      <bottom style="medium">
        <color rgb="FF12232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15" fillId="3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indent="1"/>
    </xf>
    <xf numFmtId="0" fontId="14" fillId="2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center" vertical="center" wrapText="1"/>
    </xf>
    <xf numFmtId="49" fontId="8" fillId="6" borderId="2" xfId="0" applyNumberFormat="1" applyFont="1" applyFill="1" applyBorder="1" applyAlignment="1">
      <alignment horizontal="center" vertical="center" wrapText="1"/>
    </xf>
    <xf numFmtId="166" fontId="7" fillId="6" borderId="2" xfId="0" applyNumberFormat="1" applyFont="1" applyFill="1" applyBorder="1" applyAlignment="1">
      <alignment horizontal="center" vertical="center" wrapText="1"/>
    </xf>
    <xf numFmtId="166" fontId="9" fillId="6" borderId="2" xfId="0" applyNumberFormat="1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68" fontId="7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1"/>
    </xf>
    <xf numFmtId="165" fontId="12" fillId="0" borderId="1" xfId="0" applyNumberFormat="1" applyFont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right" vertical="center"/>
    </xf>
    <xf numFmtId="168" fontId="17" fillId="8" borderId="1" xfId="0" applyNumberFormat="1" applyFont="1" applyFill="1" applyBorder="1" applyAlignment="1">
      <alignment horizontal="right" vertical="center"/>
    </xf>
    <xf numFmtId="1" fontId="17" fillId="8" borderId="1" xfId="0" applyNumberFormat="1" applyFont="1" applyFill="1" applyBorder="1" applyAlignment="1">
      <alignment horizontal="right" vertical="center"/>
    </xf>
    <xf numFmtId="166" fontId="17" fillId="8" borderId="1" xfId="0" applyNumberFormat="1" applyFont="1" applyFill="1" applyBorder="1" applyAlignment="1">
      <alignment horizontal="right" vertical="center"/>
    </xf>
    <xf numFmtId="49" fontId="17" fillId="8" borderId="1" xfId="0" applyNumberFormat="1" applyFont="1" applyFill="1" applyBorder="1" applyAlignment="1">
      <alignment horizontal="right" vertical="center"/>
    </xf>
    <xf numFmtId="169" fontId="17" fillId="8" borderId="1" xfId="0" applyNumberFormat="1" applyFont="1" applyFill="1" applyBorder="1" applyAlignment="1">
      <alignment horizontal="right" vertical="center"/>
    </xf>
    <xf numFmtId="166" fontId="13" fillId="0" borderId="1" xfId="0" applyNumberFormat="1" applyFont="1" applyBorder="1" applyAlignment="1">
      <alignment horizontal="right" vertical="center"/>
    </xf>
    <xf numFmtId="168" fontId="12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right" vertical="center"/>
    </xf>
    <xf numFmtId="166" fontId="12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" fontId="12" fillId="5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 indent="1"/>
    </xf>
    <xf numFmtId="0" fontId="19" fillId="7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8" fontId="20" fillId="0" borderId="1" xfId="0" applyNumberFormat="1" applyFont="1" applyBorder="1" applyAlignment="1">
      <alignment horizontal="right" vertical="center"/>
    </xf>
    <xf numFmtId="168" fontId="21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horizontal="right" vertical="center"/>
    </xf>
    <xf numFmtId="0" fontId="12" fillId="11" borderId="1" xfId="0" applyFont="1" applyFill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right" vertical="center"/>
    </xf>
    <xf numFmtId="166" fontId="21" fillId="0" borderId="1" xfId="0" applyNumberFormat="1" applyFont="1" applyBorder="1" applyAlignment="1">
      <alignment horizontal="right" vertical="center"/>
    </xf>
    <xf numFmtId="0" fontId="12" fillId="12" borderId="1" xfId="0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right" vertical="center"/>
    </xf>
    <xf numFmtId="49" fontId="21" fillId="0" borderId="1" xfId="0" applyNumberFormat="1" applyFont="1" applyBorder="1" applyAlignment="1">
      <alignment horizontal="right" vertical="center"/>
    </xf>
    <xf numFmtId="170" fontId="20" fillId="0" borderId="1" xfId="0" applyNumberFormat="1" applyFont="1" applyBorder="1" applyAlignment="1">
      <alignment horizontal="right" vertical="center"/>
    </xf>
    <xf numFmtId="170" fontId="21" fillId="0" borderId="1" xfId="0" applyNumberFormat="1" applyFont="1" applyBorder="1" applyAlignment="1">
      <alignment horizontal="right" vertical="center"/>
    </xf>
    <xf numFmtId="171" fontId="20" fillId="0" borderId="1" xfId="0" applyNumberFormat="1" applyFont="1" applyBorder="1" applyAlignment="1">
      <alignment horizontal="right" vertical="center"/>
    </xf>
    <xf numFmtId="171" fontId="21" fillId="0" borderId="1" xfId="0" applyNumberFormat="1" applyFont="1" applyBorder="1" applyAlignment="1">
      <alignment horizontal="right" vertical="center"/>
    </xf>
    <xf numFmtId="171" fontId="13" fillId="0" borderId="1" xfId="0" applyNumberFormat="1" applyFont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18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164" fontId="18" fillId="0" borderId="1" xfId="0" applyNumberFormat="1" applyFont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 wrapText="1" indent="1"/>
    </xf>
    <xf numFmtId="164" fontId="12" fillId="7" borderId="1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164" fontId="0" fillId="0" borderId="0" xfId="0" applyNumberFormat="1"/>
    <xf numFmtId="169" fontId="13" fillId="0" borderId="1" xfId="0" applyNumberFormat="1" applyFont="1" applyBorder="1" applyAlignment="1">
      <alignment horizontal="right" vertical="center"/>
    </xf>
    <xf numFmtId="169" fontId="12" fillId="5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left" vertical="center" wrapText="1" indent="1"/>
    </xf>
    <xf numFmtId="164" fontId="19" fillId="7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164" fontId="22" fillId="5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wrapText="1" indent="1"/>
    </xf>
    <xf numFmtId="166" fontId="8" fillId="7" borderId="1" xfId="0" applyNumberFormat="1" applyFont="1" applyFill="1" applyBorder="1" applyAlignment="1">
      <alignment horizontal="center" vertical="center" wrapText="1"/>
    </xf>
    <xf numFmtId="167" fontId="8" fillId="7" borderId="1" xfId="0" applyNumberFormat="1" applyFont="1" applyFill="1" applyBorder="1" applyAlignment="1">
      <alignment horizontal="center" vertical="center" wrapText="1"/>
    </xf>
    <xf numFmtId="164" fontId="22" fillId="12" borderId="1" xfId="0" applyNumberFormat="1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164" fontId="22" fillId="12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left" vertical="center" wrapText="1" indent="1"/>
    </xf>
    <xf numFmtId="164" fontId="23" fillId="7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right" vertical="center"/>
    </xf>
    <xf numFmtId="0" fontId="19" fillId="7" borderId="1" xfId="0" applyFont="1" applyFill="1" applyBorder="1" applyAlignment="1">
      <alignment horizontal="right" vertical="center"/>
    </xf>
    <xf numFmtId="165" fontId="23" fillId="11" borderId="1" xfId="0" applyNumberFormat="1" applyFont="1" applyFill="1" applyBorder="1" applyAlignment="1">
      <alignment horizontal="center" vertical="center" wrapText="1"/>
    </xf>
    <xf numFmtId="164" fontId="23" fillId="11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64" fontId="20" fillId="7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70" fontId="20" fillId="7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6" fillId="13" borderId="0" xfId="0" applyFont="1" applyFill="1"/>
    <xf numFmtId="0" fontId="26" fillId="0" borderId="0" xfId="0" applyFont="1"/>
    <xf numFmtId="0" fontId="26" fillId="14" borderId="0" xfId="0" applyFont="1" applyFill="1"/>
    <xf numFmtId="0" fontId="27" fillId="0" borderId="0" xfId="0" applyFont="1"/>
    <xf numFmtId="0" fontId="28" fillId="0" borderId="0" xfId="0" applyFont="1"/>
    <xf numFmtId="172" fontId="28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9" fontId="31" fillId="0" borderId="0" xfId="0" applyNumberFormat="1" applyFont="1"/>
    <xf numFmtId="0" fontId="26" fillId="15" borderId="0" xfId="0" applyFont="1" applyFill="1"/>
    <xf numFmtId="173" fontId="31" fillId="0" borderId="0" xfId="0" applyNumberFormat="1" applyFont="1" applyAlignment="1">
      <alignment horizontal="center" vertical="center"/>
    </xf>
    <xf numFmtId="9" fontId="31" fillId="0" borderId="0" xfId="0" applyNumberFormat="1" applyFont="1" applyAlignment="1">
      <alignment horizontal="left"/>
    </xf>
    <xf numFmtId="173" fontId="31" fillId="0" borderId="0" xfId="0" applyNumberFormat="1" applyFont="1"/>
    <xf numFmtId="3" fontId="33" fillId="0" borderId="0" xfId="0" applyNumberFormat="1" applyFont="1" applyAlignment="1">
      <alignment horizontal="right"/>
    </xf>
    <xf numFmtId="3" fontId="30" fillId="0" borderId="0" xfId="0" applyNumberFormat="1" applyFont="1"/>
    <xf numFmtId="0" fontId="34" fillId="0" borderId="0" xfId="0" applyFont="1"/>
    <xf numFmtId="4" fontId="30" fillId="0" borderId="0" xfId="0" applyNumberFormat="1" applyFont="1"/>
    <xf numFmtId="10" fontId="34" fillId="0" borderId="0" xfId="0" applyNumberFormat="1" applyFont="1"/>
    <xf numFmtId="10" fontId="31" fillId="0" borderId="0" xfId="0" applyNumberFormat="1" applyFont="1"/>
    <xf numFmtId="10" fontId="35" fillId="16" borderId="0" xfId="0" applyNumberFormat="1" applyFont="1" applyFill="1"/>
    <xf numFmtId="10" fontId="35" fillId="0" borderId="0" xfId="0" applyNumberFormat="1" applyFont="1"/>
    <xf numFmtId="0" fontId="28" fillId="16" borderId="0" xfId="0" applyFont="1" applyFill="1"/>
    <xf numFmtId="9" fontId="35" fillId="16" borderId="0" xfId="0" applyNumberFormat="1" applyFont="1" applyFill="1"/>
    <xf numFmtId="0" fontId="30" fillId="16" borderId="0" xfId="0" applyFont="1" applyFill="1"/>
    <xf numFmtId="9" fontId="31" fillId="16" borderId="0" xfId="0" applyNumberFormat="1" applyFont="1" applyFill="1"/>
    <xf numFmtId="0" fontId="29" fillId="16" borderId="0" xfId="0" applyFont="1" applyFill="1"/>
    <xf numFmtId="0" fontId="31" fillId="16" borderId="0" xfId="0" applyFont="1" applyFill="1"/>
    <xf numFmtId="174" fontId="31" fillId="0" borderId="0" xfId="0" applyNumberFormat="1" applyFont="1"/>
    <xf numFmtId="10" fontId="30" fillId="0" borderId="0" xfId="0" applyNumberFormat="1" applyFont="1"/>
    <xf numFmtId="173" fontId="31" fillId="16" borderId="0" xfId="0" applyNumberFormat="1" applyFont="1" applyFill="1"/>
    <xf numFmtId="0" fontId="36" fillId="0" borderId="0" xfId="0" applyFont="1"/>
    <xf numFmtId="174" fontId="35" fillId="16" borderId="0" xfId="0" applyNumberFormat="1" applyFont="1" applyFill="1"/>
    <xf numFmtId="173" fontId="35" fillId="16" borderId="0" xfId="0" applyNumberFormat="1" applyFont="1" applyFill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30" fillId="0" borderId="0" xfId="0" applyFont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75" fontId="41" fillId="0" borderId="0" xfId="0" applyNumberFormat="1" applyFont="1" applyAlignment="1">
      <alignment horizontal="center" vertical="center"/>
    </xf>
    <xf numFmtId="175" fontId="34" fillId="0" borderId="0" xfId="0" applyNumberFormat="1" applyFont="1" applyAlignment="1">
      <alignment horizontal="center" vertical="center"/>
    </xf>
    <xf numFmtId="175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42" fillId="0" borderId="0" xfId="0" applyFont="1"/>
    <xf numFmtId="0" fontId="34" fillId="17" borderId="0" xfId="0" applyFont="1" applyFill="1" applyAlignment="1">
      <alignment horizontal="center" vertical="center"/>
    </xf>
    <xf numFmtId="175" fontId="26" fillId="0" borderId="0" xfId="0" applyNumberFormat="1" applyFont="1" applyAlignment="1">
      <alignment horizontal="center" vertical="center"/>
    </xf>
    <xf numFmtId="173" fontId="28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175" fontId="30" fillId="16" borderId="0" xfId="0" applyNumberFormat="1" applyFont="1" applyFill="1" applyAlignment="1">
      <alignment horizontal="center" vertical="center"/>
    </xf>
    <xf numFmtId="0" fontId="43" fillId="0" borderId="0" xfId="0" applyFont="1"/>
    <xf numFmtId="0" fontId="44" fillId="0" borderId="0" xfId="0" applyFont="1"/>
    <xf numFmtId="3" fontId="44" fillId="0" borderId="0" xfId="0" applyNumberFormat="1" applyFont="1" applyAlignment="1">
      <alignment horizontal="center" vertical="center"/>
    </xf>
    <xf numFmtId="0" fontId="36" fillId="14" borderId="0" xfId="0" applyFont="1" applyFill="1"/>
    <xf numFmtId="3" fontId="45" fillId="14" borderId="0" xfId="0" applyNumberFormat="1" applyFont="1" applyFill="1" applyAlignment="1">
      <alignment horizontal="center" vertical="center"/>
    </xf>
    <xf numFmtId="10" fontId="30" fillId="15" borderId="0" xfId="0" applyNumberFormat="1" applyFont="1" applyFill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9" fontId="27" fillId="0" borderId="0" xfId="0" applyNumberFormat="1" applyFont="1"/>
    <xf numFmtId="173" fontId="30" fillId="0" borderId="0" xfId="0" applyNumberFormat="1" applyFont="1" applyAlignment="1">
      <alignment horizontal="center" vertical="center"/>
    </xf>
    <xf numFmtId="3" fontId="31" fillId="16" borderId="0" xfId="0" applyNumberFormat="1" applyFont="1" applyFill="1" applyAlignment="1">
      <alignment horizontal="center" vertical="center"/>
    </xf>
    <xf numFmtId="175" fontId="30" fillId="18" borderId="0" xfId="0" applyNumberFormat="1" applyFont="1" applyFill="1" applyAlignment="1">
      <alignment horizontal="center" vertical="center"/>
    </xf>
    <xf numFmtId="175" fontId="46" fillId="18" borderId="0" xfId="0" applyNumberFormat="1" applyFont="1" applyFill="1" applyAlignment="1">
      <alignment horizontal="center" vertical="center"/>
    </xf>
    <xf numFmtId="0" fontId="30" fillId="18" borderId="0" xfId="0" applyFont="1" applyFill="1"/>
    <xf numFmtId="0" fontId="47" fillId="0" borderId="0" xfId="0" applyFont="1"/>
    <xf numFmtId="0" fontId="48" fillId="0" borderId="0" xfId="0" applyFont="1"/>
    <xf numFmtId="173" fontId="30" fillId="16" borderId="0" xfId="0" applyNumberFormat="1" applyFont="1" applyFill="1" applyAlignment="1">
      <alignment horizontal="center" vertical="center"/>
    </xf>
    <xf numFmtId="176" fontId="30" fillId="0" borderId="0" xfId="0" applyNumberFormat="1" applyFont="1" applyAlignment="1">
      <alignment horizontal="center" vertical="center"/>
    </xf>
    <xf numFmtId="177" fontId="28" fillId="0" borderId="0" xfId="0" applyNumberFormat="1" applyFont="1" applyAlignment="1">
      <alignment horizontal="center" vertical="center"/>
    </xf>
    <xf numFmtId="0" fontId="49" fillId="0" borderId="0" xfId="0" applyFont="1"/>
    <xf numFmtId="0" fontId="50" fillId="0" borderId="0" xfId="0" applyFont="1"/>
    <xf numFmtId="175" fontId="35" fillId="16" borderId="0" xfId="0" applyNumberFormat="1" applyFont="1" applyFill="1" applyAlignment="1">
      <alignment horizontal="center" vertical="center"/>
    </xf>
    <xf numFmtId="173" fontId="35" fillId="16" borderId="0" xfId="0" applyNumberFormat="1" applyFont="1" applyFill="1" applyAlignment="1">
      <alignment horizontal="center" vertical="center"/>
    </xf>
    <xf numFmtId="175" fontId="36" fillId="0" borderId="0" xfId="0" applyNumberFormat="1" applyFont="1" applyAlignment="1">
      <alignment horizontal="center" vertical="center"/>
    </xf>
    <xf numFmtId="173" fontId="51" fillId="0" borderId="0" xfId="0" applyNumberFormat="1" applyFont="1" applyAlignment="1">
      <alignment horizontal="center" vertical="center"/>
    </xf>
    <xf numFmtId="3" fontId="41" fillId="0" borderId="0" xfId="0" applyNumberFormat="1" applyFont="1"/>
    <xf numFmtId="1" fontId="26" fillId="0" borderId="0" xfId="0" applyNumberFormat="1" applyFont="1"/>
    <xf numFmtId="3" fontId="36" fillId="0" borderId="0" xfId="0" applyNumberFormat="1" applyFont="1"/>
    <xf numFmtId="0" fontId="52" fillId="0" borderId="0" xfId="0" applyFont="1"/>
    <xf numFmtId="0" fontId="46" fillId="16" borderId="0" xfId="0" applyFont="1" applyFill="1"/>
    <xf numFmtId="175" fontId="51" fillId="16" borderId="0" xfId="0" applyNumberFormat="1" applyFont="1" applyFill="1"/>
    <xf numFmtId="175" fontId="30" fillId="16" borderId="0" xfId="0" applyNumberFormat="1" applyFont="1" applyFill="1"/>
    <xf numFmtId="0" fontId="53" fillId="0" borderId="0" xfId="0" applyFont="1"/>
    <xf numFmtId="175" fontId="36" fillId="19" borderId="0" xfId="0" applyNumberFormat="1" applyFont="1" applyFill="1"/>
    <xf numFmtId="175" fontId="36" fillId="20" borderId="0" xfId="0" applyNumberFormat="1" applyFont="1" applyFill="1"/>
    <xf numFmtId="0" fontId="54" fillId="0" borderId="0" xfId="0" applyFont="1"/>
    <xf numFmtId="175" fontId="55" fillId="0" borderId="0" xfId="0" applyNumberFormat="1" applyFont="1"/>
    <xf numFmtId="175" fontId="54" fillId="0" borderId="0" xfId="0" applyNumberFormat="1" applyFont="1"/>
    <xf numFmtId="175" fontId="30" fillId="0" borderId="0" xfId="0" applyNumberFormat="1" applyFont="1"/>
    <xf numFmtId="172" fontId="30" fillId="0" borderId="0" xfId="0" applyNumberFormat="1" applyFont="1"/>
    <xf numFmtId="173" fontId="41" fillId="0" borderId="0" xfId="0" applyNumberFormat="1" applyFont="1"/>
    <xf numFmtId="176" fontId="41" fillId="0" borderId="0" xfId="0" applyNumberFormat="1" applyFont="1"/>
    <xf numFmtId="173" fontId="30" fillId="21" borderId="0" xfId="0" applyNumberFormat="1" applyFont="1" applyFill="1"/>
    <xf numFmtId="173" fontId="30" fillId="0" borderId="0" xfId="0" applyNumberFormat="1" applyFont="1"/>
    <xf numFmtId="0" fontId="56" fillId="0" borderId="0" xfId="0" applyFont="1"/>
    <xf numFmtId="1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0" fontId="30" fillId="17" borderId="0" xfId="0" applyFont="1" applyFill="1"/>
    <xf numFmtId="175" fontId="30" fillId="17" borderId="0" xfId="0" applyNumberFormat="1" applyFont="1" applyFill="1" applyAlignment="1">
      <alignment horizontal="center" vertical="center"/>
    </xf>
    <xf numFmtId="0" fontId="27" fillId="0" borderId="3" xfId="0" applyFont="1" applyBorder="1"/>
    <xf numFmtId="0" fontId="30" fillId="0" borderId="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/>
    <xf numFmtId="175" fontId="30" fillId="0" borderId="7" xfId="0" applyNumberFormat="1" applyFont="1" applyBorder="1" applyAlignment="1">
      <alignment horizontal="center" vertical="center"/>
    </xf>
    <xf numFmtId="0" fontId="48" fillId="0" borderId="6" xfId="0" applyFont="1" applyBorder="1"/>
    <xf numFmtId="10" fontId="30" fillId="16" borderId="0" xfId="0" applyNumberFormat="1" applyFont="1" applyFill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/>
    <xf numFmtId="176" fontId="30" fillId="0" borderId="9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" fontId="58" fillId="23" borderId="11" xfId="0" applyNumberFormat="1" applyFont="1" applyFill="1" applyBorder="1" applyAlignment="1">
      <alignment horizontal="center" vertical="center"/>
    </xf>
    <xf numFmtId="0" fontId="59" fillId="23" borderId="4" xfId="0" applyFont="1" applyFill="1" applyBorder="1" applyAlignment="1">
      <alignment horizontal="left" vertical="center"/>
    </xf>
    <xf numFmtId="4" fontId="60" fillId="0" borderId="4" xfId="0" applyNumberFormat="1" applyFont="1" applyBorder="1"/>
    <xf numFmtId="0" fontId="60" fillId="0" borderId="4" xfId="0" applyFont="1" applyBorder="1"/>
    <xf numFmtId="0" fontId="60" fillId="0" borderId="5" xfId="0" applyFont="1" applyBorder="1"/>
    <xf numFmtId="0" fontId="61" fillId="22" borderId="11" xfId="0" applyFont="1" applyFill="1" applyBorder="1" applyAlignment="1">
      <alignment horizontal="center"/>
    </xf>
    <xf numFmtId="0" fontId="60" fillId="0" borderId="0" xfId="0" applyFont="1"/>
    <xf numFmtId="0" fontId="61" fillId="23" borderId="11" xfId="0" applyFont="1" applyFill="1" applyBorder="1" applyAlignment="1">
      <alignment horizontal="center" vertical="center"/>
    </xf>
    <xf numFmtId="0" fontId="59" fillId="24" borderId="12" xfId="0" applyFont="1" applyFill="1" applyBorder="1" applyAlignment="1">
      <alignment horizontal="center"/>
    </xf>
    <xf numFmtId="0" fontId="60" fillId="0" borderId="6" xfId="0" applyFont="1" applyBorder="1"/>
    <xf numFmtId="0" fontId="62" fillId="25" borderId="11" xfId="0" applyFont="1" applyFill="1" applyBorder="1" applyAlignment="1">
      <alignment horizontal="left" vertical="center"/>
    </xf>
    <xf numFmtId="4" fontId="60" fillId="0" borderId="0" xfId="0" applyNumberFormat="1" applyFont="1"/>
    <xf numFmtId="0" fontId="60" fillId="0" borderId="7" xfId="0" applyFont="1" applyBorder="1"/>
    <xf numFmtId="10" fontId="60" fillId="0" borderId="0" xfId="0" applyNumberFormat="1" applyFont="1"/>
    <xf numFmtId="4" fontId="63" fillId="6" borderId="11" xfId="0" applyNumberFormat="1" applyFont="1" applyFill="1" applyBorder="1" applyAlignment="1">
      <alignment horizontal="right" vertical="center"/>
    </xf>
    <xf numFmtId="178" fontId="63" fillId="6" borderId="11" xfId="0" applyNumberFormat="1" applyFont="1" applyFill="1" applyBorder="1" applyAlignment="1">
      <alignment horizontal="right" vertical="center"/>
    </xf>
    <xf numFmtId="179" fontId="28" fillId="0" borderId="12" xfId="0" applyNumberFormat="1" applyFont="1" applyBorder="1" applyAlignment="1">
      <alignment horizontal="center"/>
    </xf>
    <xf numFmtId="180" fontId="34" fillId="0" borderId="0" xfId="0" applyNumberFormat="1" applyFont="1"/>
    <xf numFmtId="4" fontId="34" fillId="0" borderId="0" xfId="0" applyNumberFormat="1" applyFont="1"/>
    <xf numFmtId="4" fontId="48" fillId="0" borderId="0" xfId="0" applyNumberFormat="1" applyFont="1" applyAlignment="1">
      <alignment horizontal="right"/>
    </xf>
    <xf numFmtId="0" fontId="61" fillId="26" borderId="11" xfId="0" applyFont="1" applyFill="1" applyBorder="1" applyAlignment="1">
      <alignment horizontal="left" vertical="center"/>
    </xf>
    <xf numFmtId="4" fontId="60" fillId="0" borderId="0" xfId="0" applyNumberFormat="1" applyFont="1" applyAlignment="1">
      <alignment horizontal="right"/>
    </xf>
    <xf numFmtId="10" fontId="60" fillId="0" borderId="0" xfId="0" applyNumberFormat="1" applyFont="1" applyAlignment="1">
      <alignment horizontal="right"/>
    </xf>
    <xf numFmtId="1" fontId="60" fillId="0" borderId="0" xfId="0" applyNumberFormat="1" applyFont="1" applyAlignment="1">
      <alignment horizontal="right"/>
    </xf>
    <xf numFmtId="9" fontId="64" fillId="27" borderId="11" xfId="0" applyNumberFormat="1" applyFont="1" applyFill="1" applyBorder="1" applyAlignment="1">
      <alignment horizontal="right" vertical="center"/>
    </xf>
    <xf numFmtId="181" fontId="33" fillId="0" borderId="0" xfId="0" applyNumberFormat="1" applyFont="1" applyAlignment="1">
      <alignment horizontal="right"/>
    </xf>
    <xf numFmtId="181" fontId="48" fillId="0" borderId="0" xfId="0" applyNumberFormat="1" applyFont="1" applyAlignment="1">
      <alignment horizontal="right"/>
    </xf>
    <xf numFmtId="181" fontId="60" fillId="0" borderId="0" xfId="0" applyNumberFormat="1" applyFont="1"/>
    <xf numFmtId="0" fontId="65" fillId="0" borderId="0" xfId="0" applyFont="1"/>
    <xf numFmtId="180" fontId="65" fillId="0" borderId="0" xfId="0" applyNumberFormat="1" applyFont="1"/>
    <xf numFmtId="175" fontId="34" fillId="0" borderId="0" xfId="0" applyNumberFormat="1" applyFont="1"/>
    <xf numFmtId="0" fontId="60" fillId="0" borderId="8" xfId="0" applyFont="1" applyBorder="1"/>
    <xf numFmtId="0" fontId="60" fillId="0" borderId="9" xfId="0" applyFont="1" applyBorder="1"/>
    <xf numFmtId="0" fontId="60" fillId="0" borderId="10" xfId="0" applyFont="1" applyBorder="1"/>
    <xf numFmtId="0" fontId="61" fillId="26" borderId="11" xfId="0" applyFont="1" applyFill="1" applyBorder="1" applyAlignment="1">
      <alignment horizontal="right" vertical="center"/>
    </xf>
    <xf numFmtId="0" fontId="28" fillId="0" borderId="0" xfId="0" applyFont="1" applyAlignment="1">
      <alignment horizontal="center"/>
    </xf>
    <xf numFmtId="10" fontId="28" fillId="0" borderId="11" xfId="0" applyNumberFormat="1" applyFont="1" applyBorder="1" applyAlignment="1">
      <alignment horizontal="right" vertical="center"/>
    </xf>
    <xf numFmtId="3" fontId="60" fillId="0" borderId="0" xfId="0" applyNumberFormat="1" applyFont="1"/>
    <xf numFmtId="0" fontId="66" fillId="0" borderId="0" xfId="0" applyFont="1"/>
    <xf numFmtId="172" fontId="67" fillId="18" borderId="0" xfId="0" applyNumberFormat="1" applyFont="1" applyFill="1"/>
    <xf numFmtId="0" fontId="42" fillId="29" borderId="0" xfId="0" applyFont="1" applyFill="1"/>
    <xf numFmtId="0" fontId="42" fillId="0" borderId="13" xfId="0" applyFont="1" applyBorder="1" applyAlignment="1">
      <alignment vertical="top"/>
    </xf>
    <xf numFmtId="0" fontId="42" fillId="0" borderId="13" xfId="0" applyFont="1" applyBorder="1" applyAlignment="1">
      <alignment vertical="top" wrapText="1"/>
    </xf>
    <xf numFmtId="0" fontId="70" fillId="0" borderId="13" xfId="0" applyFont="1" applyBorder="1" applyAlignment="1">
      <alignment vertical="top" wrapText="1"/>
    </xf>
    <xf numFmtId="0" fontId="71" fillId="0" borderId="13" xfId="0" applyFont="1" applyBorder="1" applyAlignment="1">
      <alignment vertical="top" wrapText="1"/>
    </xf>
    <xf numFmtId="0" fontId="72" fillId="0" borderId="13" xfId="0" applyFont="1" applyBorder="1" applyAlignment="1">
      <alignment vertical="top" wrapText="1"/>
    </xf>
    <xf numFmtId="0" fontId="31" fillId="30" borderId="13" xfId="0" applyFont="1" applyFill="1" applyBorder="1" applyAlignment="1">
      <alignment vertical="top" wrapText="1"/>
    </xf>
    <xf numFmtId="0" fontId="73" fillId="0" borderId="13" xfId="0" applyFont="1" applyBorder="1" applyAlignment="1">
      <alignment vertical="top" wrapText="1"/>
    </xf>
    <xf numFmtId="0" fontId="74" fillId="0" borderId="13" xfId="0" applyFont="1" applyBorder="1" applyAlignment="1">
      <alignment vertical="top" wrapText="1"/>
    </xf>
    <xf numFmtId="0" fontId="75" fillId="0" borderId="14" xfId="0" applyFont="1" applyBorder="1" applyAlignment="1">
      <alignment horizontal="left" vertical="top" wrapText="1"/>
    </xf>
    <xf numFmtId="0" fontId="30" fillId="0" borderId="14" xfId="0" applyFont="1" applyBorder="1"/>
    <xf numFmtId="0" fontId="76" fillId="0" borderId="13" xfId="0" applyFont="1" applyBorder="1" applyAlignment="1">
      <alignment vertical="top" wrapText="1"/>
    </xf>
    <xf numFmtId="0" fontId="31" fillId="30" borderId="14" xfId="0" applyFont="1" applyFill="1" applyBorder="1" applyAlignment="1">
      <alignment vertical="top" wrapText="1"/>
    </xf>
    <xf numFmtId="0" fontId="73" fillId="0" borderId="0" xfId="0" applyFont="1" applyAlignment="1">
      <alignment vertical="top" wrapText="1"/>
    </xf>
    <xf numFmtId="0" fontId="30" fillId="0" borderId="13" xfId="0" applyFont="1" applyBorder="1" applyAlignment="1">
      <alignment vertical="top"/>
    </xf>
    <xf numFmtId="0" fontId="75" fillId="0" borderId="13" xfId="0" applyFont="1" applyBorder="1" applyAlignment="1">
      <alignment vertical="top" wrapText="1"/>
    </xf>
    <xf numFmtId="0" fontId="30" fillId="0" borderId="13" xfId="0" applyFont="1" applyBorder="1" applyAlignment="1">
      <alignment vertical="top" wrapText="1"/>
    </xf>
    <xf numFmtId="0" fontId="77" fillId="0" borderId="13" xfId="0" applyFont="1" applyBorder="1" applyAlignment="1">
      <alignment vertical="top" wrapText="1"/>
    </xf>
    <xf numFmtId="0" fontId="30" fillId="0" borderId="0" xfId="0" applyFont="1" applyAlignment="1">
      <alignment horizontal="left" vertical="top" wrapText="1"/>
    </xf>
    <xf numFmtId="0" fontId="79" fillId="0" borderId="0" xfId="0" applyFont="1"/>
    <xf numFmtId="0" fontId="80" fillId="0" borderId="12" xfId="0" applyFont="1" applyBorder="1" applyAlignment="1">
      <alignment vertical="top" wrapText="1"/>
    </xf>
    <xf numFmtId="0" fontId="31" fillId="30" borderId="12" xfId="0" applyFont="1" applyFill="1" applyBorder="1" applyAlignment="1">
      <alignment vertical="top" wrapText="1"/>
    </xf>
    <xf numFmtId="0" fontId="73" fillId="0" borderId="12" xfId="0" applyFont="1" applyBorder="1" applyAlignment="1">
      <alignment vertical="top" wrapText="1"/>
    </xf>
    <xf numFmtId="0" fontId="81" fillId="0" borderId="12" xfId="0" applyFont="1" applyBorder="1" applyAlignment="1">
      <alignment vertical="top" wrapText="1"/>
    </xf>
    <xf numFmtId="0" fontId="31" fillId="30" borderId="0" xfId="0" applyFont="1" applyFill="1" applyAlignment="1">
      <alignment vertical="top" wrapText="1"/>
    </xf>
    <xf numFmtId="0" fontId="83" fillId="32" borderId="12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vertical="top" wrapText="1"/>
    </xf>
    <xf numFmtId="0" fontId="84" fillId="33" borderId="12" xfId="0" applyFont="1" applyFill="1" applyBorder="1" applyAlignment="1">
      <alignment vertical="top" wrapText="1"/>
    </xf>
    <xf numFmtId="0" fontId="28" fillId="0" borderId="12" xfId="0" applyFont="1" applyBorder="1" applyAlignment="1">
      <alignment vertical="top" wrapText="1"/>
    </xf>
    <xf numFmtId="0" fontId="85" fillId="0" borderId="12" xfId="0" applyFont="1" applyBorder="1" applyAlignment="1">
      <alignment vertical="top" wrapText="1"/>
    </xf>
    <xf numFmtId="0" fontId="26" fillId="0" borderId="12" xfId="0" applyFont="1" applyBorder="1" applyAlignment="1">
      <alignment horizontal="center" vertical="top"/>
    </xf>
    <xf numFmtId="0" fontId="84" fillId="0" borderId="12" xfId="0" applyFont="1" applyBorder="1" applyAlignment="1">
      <alignment horizontal="center" vertical="top"/>
    </xf>
    <xf numFmtId="0" fontId="25" fillId="0" borderId="12" xfId="0" applyFont="1" applyBorder="1" applyAlignment="1">
      <alignment vertical="top" wrapText="1"/>
    </xf>
    <xf numFmtId="0" fontId="28" fillId="33" borderId="12" xfId="0" applyFont="1" applyFill="1" applyBorder="1" applyAlignment="1">
      <alignment horizontal="center" vertical="top" wrapText="1"/>
    </xf>
    <xf numFmtId="0" fontId="84" fillId="0" borderId="12" xfId="0" applyFont="1" applyBorder="1" applyAlignment="1">
      <alignment horizontal="center" vertical="top" wrapText="1"/>
    </xf>
    <xf numFmtId="0" fontId="28" fillId="0" borderId="12" xfId="0" applyFont="1" applyBorder="1" applyAlignment="1">
      <alignment horizontal="center" vertical="top" wrapText="1"/>
    </xf>
    <xf numFmtId="0" fontId="85" fillId="0" borderId="12" xfId="0" applyFont="1" applyBorder="1" applyAlignment="1">
      <alignment horizontal="center" vertical="top" wrapText="1"/>
    </xf>
    <xf numFmtId="0" fontId="86" fillId="35" borderId="0" xfId="0" applyFont="1" applyFill="1" applyAlignment="1">
      <alignment vertical="top" wrapText="1"/>
    </xf>
    <xf numFmtId="0" fontId="87" fillId="0" borderId="0" xfId="0" applyFont="1"/>
    <xf numFmtId="0" fontId="88" fillId="0" borderId="0" xfId="0" applyFont="1"/>
    <xf numFmtId="0" fontId="32" fillId="16" borderId="0" xfId="0" applyFont="1" applyFill="1"/>
    <xf numFmtId="0" fontId="16" fillId="3" borderId="0" xfId="0" applyFont="1" applyFill="1" applyAlignment="1">
      <alignment horizontal="left" vertical="center" wrapText="1" indent="1"/>
    </xf>
    <xf numFmtId="0" fontId="57" fillId="22" borderId="0" xfId="0" applyFont="1" applyFill="1" applyAlignment="1">
      <alignment horizontal="center" vertical="center"/>
    </xf>
    <xf numFmtId="0" fontId="68" fillId="28" borderId="0" xfId="0" applyFont="1" applyFill="1" applyAlignment="1">
      <alignment horizontal="center" vertical="center"/>
    </xf>
    <xf numFmtId="0" fontId="52" fillId="0" borderId="0" xfId="0" applyFont="1" applyAlignment="1">
      <alignment vertical="top" wrapText="1"/>
    </xf>
    <xf numFmtId="0" fontId="69" fillId="0" borderId="0" xfId="0" applyFont="1"/>
    <xf numFmtId="0" fontId="78" fillId="0" borderId="0" xfId="0" applyFont="1" applyAlignment="1">
      <alignment vertical="top" wrapText="1"/>
    </xf>
    <xf numFmtId="0" fontId="79" fillId="0" borderId="0" xfId="0" applyFont="1"/>
    <xf numFmtId="0" fontId="31" fillId="30" borderId="0" xfId="0" applyFont="1" applyFill="1" applyAlignment="1">
      <alignment vertical="top" wrapText="1"/>
    </xf>
    <xf numFmtId="0" fontId="80" fillId="0" borderId="12" xfId="0" applyFont="1" applyBorder="1" applyAlignment="1">
      <alignment vertical="top" wrapText="1"/>
    </xf>
    <xf numFmtId="0" fontId="82" fillId="0" borderId="0" xfId="0" applyFont="1" applyAlignment="1">
      <alignment horizontal="left" vertical="center"/>
    </xf>
    <xf numFmtId="0" fontId="25" fillId="0" borderId="0" xfId="0" applyFont="1"/>
    <xf numFmtId="0" fontId="58" fillId="31" borderId="0" xfId="0" applyFont="1" applyFill="1" applyAlignment="1">
      <alignment horizontal="left" vertical="center"/>
    </xf>
    <xf numFmtId="0" fontId="83" fillId="34" borderId="0" xfId="0" applyFont="1" applyFill="1"/>
    <xf numFmtId="0" fontId="1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1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BD5D5"/>
        </patternFill>
      </fill>
    </dxf>
    <dxf>
      <fill>
        <patternFill>
          <bgColor rgb="FFD4F4DD"/>
        </patternFill>
      </fill>
    </dxf>
    <dxf>
      <fill>
        <patternFill>
          <bgColor rgb="FFD4F4DD"/>
        </patternFill>
      </fill>
    </dxf>
    <dxf>
      <fill>
        <patternFill>
          <bgColor rgb="FFFBD5D5"/>
        </patternFill>
      </fill>
    </dxf>
    <dxf>
      <fill>
        <patternFill>
          <bgColor rgb="FFFBD5D5"/>
        </patternFill>
      </fill>
    </dxf>
    <dxf>
      <fill>
        <patternFill>
          <bgColor rgb="FFD4F4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2EFDA"/>
      <rgbColor rgb="FF0000FF"/>
      <rgbColor rgb="FFFFFF00"/>
      <rgbColor rgb="FFFFEBEE"/>
      <rgbColor rgb="FFD9E2F3"/>
      <rgbColor rgb="FF8B0000"/>
      <rgbColor rgb="FF007B00"/>
      <rgbColor rgb="FF05134D"/>
      <rgbColor rgb="FFBF8F00"/>
      <rgbColor rgb="FFF5F5F5"/>
      <rgbColor rgb="FF206454"/>
      <rgbColor rgb="FFCCCCCC"/>
      <rgbColor rgb="FF808080"/>
      <rgbColor rgb="FF9CA3AF"/>
      <rgbColor rgb="FF555555"/>
      <rgbColor rgb="FFFFF9DB"/>
      <rgbColor rgb="FFDAEEF3"/>
      <rgbColor rgb="FFF4F6F8"/>
      <rgbColor rgb="FFFCE4D6"/>
      <rgbColor rgb="FF0D549B"/>
      <rgbColor rgb="FFC5CED6"/>
      <rgbColor rgb="FFFFFDE7"/>
      <rgbColor rgb="FFFFF3E0"/>
      <rgbColor rgb="FFFFF2CC"/>
      <rgbColor rgb="FFD9E1F2"/>
      <rgbColor rgb="FFEFF6FF"/>
      <rgbColor rgb="FFC00000"/>
      <rgbColor rgb="FF1F4E79"/>
      <rgbColor rgb="FFFEF9E7"/>
      <rgbColor rgb="FF00C9A7"/>
      <rgbColor rgb="FFE8F0FE"/>
      <rgbColor rgb="FFD4F4DD"/>
      <rgbColor rgb="FFFFF4C2"/>
      <rgbColor rgb="FFB4C6E7"/>
      <rgbColor rgb="FFFFC7CE"/>
      <rgbColor rgb="FFAAAAAA"/>
      <rgbColor rgb="FFFABF8F"/>
      <rgbColor rgb="FF4472C4"/>
      <rgbColor rgb="FFD6E4F0"/>
      <rgbColor rgb="FFC6EFCE"/>
      <rgbColor rgb="FFFBD5D5"/>
      <rgbColor rgb="FFFF8C00"/>
      <rgbColor rgb="FFDCE6F1"/>
      <rgbColor rgb="FF6B7280"/>
      <rgbColor rgb="FF999999"/>
      <rgbColor rgb="FF0A253E"/>
      <rgbColor rgb="FF666666"/>
      <rgbColor rgb="FF122324"/>
      <rgbColor rgb="FF0A253D"/>
      <rgbColor rgb="FFD62828"/>
      <rgbColor rgb="FFCC0000"/>
      <rgbColor rgb="FF2F5496"/>
      <rgbColor rgb="FF1A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314280</xdr:colOff>
      <xdr:row>20</xdr:row>
      <xdr:rowOff>0</xdr:rowOff>
    </xdr:from>
    <xdr:to>
      <xdr:col>22</xdr:col>
      <xdr:colOff>570600</xdr:colOff>
      <xdr:row>52</xdr:row>
      <xdr:rowOff>101160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92480" y="4276800"/>
          <a:ext cx="8197560" cy="664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CMC_MODELO_FCIC_v2026.05.11.xlsx" TargetMode="External"/><Relationship Id="rId2" Type="http://schemas.openxmlformats.org/officeDocument/2006/relationships/hyperlink" Target="TCMC_MODELO_FCIC_v2026.05.11.xlsx" TargetMode="External"/><Relationship Id="rId1" Type="http://schemas.openxmlformats.org/officeDocument/2006/relationships/hyperlink" Target="TCMC_MODELO_FCIC_v2026.05.11.xlsx" TargetMode="External"/><Relationship Id="rId5" Type="http://schemas.openxmlformats.org/officeDocument/2006/relationships/hyperlink" Target="TCMC_MODELO_FCIC_v2026.05.11.xlsx" TargetMode="External"/><Relationship Id="rId4" Type="http://schemas.openxmlformats.org/officeDocument/2006/relationships/hyperlink" Target="TCMC_MODELO_FCIC_v2026.05.11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zoomScaleNormal="100" workbookViewId="0">
      <selection activeCell="D5" sqref="D5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14" customWidth="1"/>
    <col min="5" max="5" width="28" customWidth="1"/>
    <col min="6" max="6" width="22" customWidth="1"/>
    <col min="7" max="7" width="6" customWidth="1"/>
    <col min="8" max="8" width="28" customWidth="1"/>
    <col min="9" max="9" width="22" customWidth="1"/>
    <col min="10" max="10" width="3" customWidth="1"/>
  </cols>
  <sheetData>
    <row r="1" spans="1:10" ht="49.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4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12" customHeight="1" x14ac:dyDescent="0.2"/>
    <row r="4" spans="1:10" ht="21.75" customHeight="1" x14ac:dyDescent="0.2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pans="1:10" ht="39" customHeight="1" x14ac:dyDescent="0.2">
      <c r="B5" s="13" t="s">
        <v>3</v>
      </c>
      <c r="D5" s="13" t="s">
        <v>4</v>
      </c>
      <c r="F5" s="13" t="s">
        <v>5</v>
      </c>
      <c r="H5" s="13" t="s">
        <v>6</v>
      </c>
    </row>
    <row r="6" spans="1:10" ht="24" customHeight="1" x14ac:dyDescent="0.2">
      <c r="B6" s="13" t="s">
        <v>7</v>
      </c>
    </row>
    <row r="8" spans="1:10" ht="21.75" customHeight="1" x14ac:dyDescent="0.2">
      <c r="A8" s="7" t="s">
        <v>8</v>
      </c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 x14ac:dyDescent="0.2">
      <c r="B9" s="14" t="s">
        <v>9</v>
      </c>
      <c r="C9" s="15">
        <f>'01_PANEL_CONTROL'!$C$6</f>
        <v>3000000</v>
      </c>
      <c r="E9" s="14" t="s">
        <v>10</v>
      </c>
      <c r="F9" s="15">
        <f>'01_PANEL_CONTROL'!$C$9</f>
        <v>35000</v>
      </c>
      <c r="H9" s="14" t="s">
        <v>11</v>
      </c>
      <c r="I9" s="16">
        <f>'01_PANEL_CONTROL'!$C$10</f>
        <v>0.3</v>
      </c>
    </row>
    <row r="10" spans="1:10" ht="12" customHeight="1" x14ac:dyDescent="0.2"/>
    <row r="11" spans="1:10" ht="24" customHeight="1" x14ac:dyDescent="0.2">
      <c r="B11" s="14" t="s">
        <v>12</v>
      </c>
      <c r="C11" s="17" t="str">
        <f>'01_PANEL_CONTROL'!$C$7&amp;" años"</f>
        <v>5 años</v>
      </c>
      <c r="E11" s="14" t="s">
        <v>13</v>
      </c>
      <c r="F11" s="18">
        <f>'01_PANEL_CONTROL'!$C$15</f>
        <v>0.124</v>
      </c>
      <c r="H11" s="14" t="s">
        <v>14</v>
      </c>
      <c r="I11" s="17" t="str">
        <f>'01_PANEL_CONTROL'!$C$12&amp;" años"</f>
        <v>2.9 años</v>
      </c>
    </row>
    <row r="12" spans="1:10" ht="12" customHeight="1" x14ac:dyDescent="0.2"/>
    <row r="13" spans="1:10" ht="24" customHeight="1" x14ac:dyDescent="0.2">
      <c r="B13" s="14" t="s">
        <v>15</v>
      </c>
      <c r="C13" s="16">
        <f>'01_PANEL_CONTROL'!$C$66</f>
        <v>1.2500000000000001E-2</v>
      </c>
      <c r="E13" s="14" t="s">
        <v>16</v>
      </c>
      <c r="F13" s="16">
        <f>'01_PANEL_CONTROL'!$C$68</f>
        <v>5.0000000000000001E-3</v>
      </c>
      <c r="H13" s="14" t="s">
        <v>17</v>
      </c>
      <c r="I13" s="16">
        <f>'01_PANEL_CONTROL'!$C$42</f>
        <v>5.3999999999999999E-2</v>
      </c>
    </row>
    <row r="15" spans="1:10" ht="21.75" customHeight="1" x14ac:dyDescent="0.2">
      <c r="A15" s="7" t="s">
        <v>18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8" customHeight="1" x14ac:dyDescent="0.2">
      <c r="B16" s="14" t="s">
        <v>19</v>
      </c>
      <c r="E16" s="14" t="s">
        <v>20</v>
      </c>
      <c r="H16" s="14" t="s">
        <v>21</v>
      </c>
    </row>
    <row r="17" spans="1:10" ht="31.5" customHeight="1" x14ac:dyDescent="0.2">
      <c r="B17" s="19">
        <f>'03_CASCADA_FLUJO_5Y'!$H$70</f>
        <v>9.3647845356261916E-2</v>
      </c>
      <c r="E17" s="20">
        <f>'03_CASCADA_FLUJO_5Y'!$H$71</f>
        <v>1.385900455486029</v>
      </c>
      <c r="H17" s="21">
        <f>'03_CASCADA_FLUJO_5Y'!$H$32</f>
        <v>2672118.4610329787</v>
      </c>
    </row>
    <row r="18" spans="1:10" ht="13.5" customHeight="1" x14ac:dyDescent="0.2">
      <c r="B18" s="22" t="s">
        <v>22</v>
      </c>
      <c r="E18" s="22" t="s">
        <v>23</v>
      </c>
      <c r="H18" s="22" t="s">
        <v>24</v>
      </c>
    </row>
    <row r="19" spans="1:10" ht="7.5" customHeight="1" x14ac:dyDescent="0.2"/>
    <row r="20" spans="1:10" ht="18" customHeight="1" x14ac:dyDescent="0.2">
      <c r="B20" s="14" t="s">
        <v>25</v>
      </c>
      <c r="E20" s="14" t="s">
        <v>26</v>
      </c>
      <c r="H20" s="14" t="s">
        <v>27</v>
      </c>
    </row>
    <row r="21" spans="1:10" ht="31.5" customHeight="1" x14ac:dyDescent="0.2">
      <c r="B21" s="21">
        <f>'03_CASCADA_FLUJO_5Y'!$H$56</f>
        <v>1490959.9315528311</v>
      </c>
      <c r="E21" s="21">
        <f>'03_CASCADA_FLUJO_5Y'!$H$24</f>
        <v>7014133.8335493878</v>
      </c>
      <c r="H21" s="23">
        <f>'03_CASCADA_FLUJO_5Y'!$H$25</f>
        <v>200.40382381569682</v>
      </c>
    </row>
    <row r="22" spans="1:10" ht="13.5" customHeight="1" x14ac:dyDescent="0.2">
      <c r="B22" s="22" t="s">
        <v>28</v>
      </c>
      <c r="E22" s="22" t="s">
        <v>29</v>
      </c>
      <c r="H22" s="22" t="s">
        <v>30</v>
      </c>
    </row>
    <row r="24" spans="1:10" ht="21.75" customHeight="1" x14ac:dyDescent="0.2">
      <c r="A24" s="7" t="s">
        <v>31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18" customHeight="1" x14ac:dyDescent="0.2">
      <c r="B25" s="14" t="s">
        <v>32</v>
      </c>
      <c r="E25" s="14" t="s">
        <v>33</v>
      </c>
      <c r="H25" s="14" t="s">
        <v>34</v>
      </c>
    </row>
    <row r="26" spans="1:10" ht="31.5" customHeight="1" x14ac:dyDescent="0.2">
      <c r="B26" s="24">
        <f>'04_INGRESOS_TCMC'!$H$21</f>
        <v>203335.63191595217</v>
      </c>
      <c r="E26" s="25">
        <f>'03_CASCADA_FLUJO_5Y'!$H$49</f>
        <v>32598.642241379304</v>
      </c>
      <c r="H26" s="21">
        <f>'04_INGRESOS_TCMC'!$H$21/5</f>
        <v>40667.126383190436</v>
      </c>
    </row>
    <row r="27" spans="1:10" ht="13.5" customHeight="1" x14ac:dyDescent="0.2">
      <c r="B27" s="22" t="s">
        <v>35</v>
      </c>
      <c r="E27" s="22" t="s">
        <v>36</v>
      </c>
      <c r="H27" s="22" t="s">
        <v>37</v>
      </c>
    </row>
    <row r="29" spans="1:10" ht="21.75" customHeight="1" x14ac:dyDescent="0.2">
      <c r="A29" s="7" t="s">
        <v>38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ht="27.75" customHeight="1" x14ac:dyDescent="0.2">
      <c r="B30" s="26" t="s">
        <v>39</v>
      </c>
      <c r="C30" s="6" t="str">
        <f>IF('03_CASCADA_FLUJO_5Y'!$H$70&gt;='01_PANEL_CONTROL'!$C$44,"✓ TIR supera el hurdle. Carry se activa.","✗ TIR por debajo del hurdle. No hay carry.")</f>
        <v>✓ TIR supera el hurdle. Carry se activa.</v>
      </c>
      <c r="D30" s="6"/>
      <c r="E30" s="6"/>
      <c r="F30" s="6"/>
      <c r="G30" s="6"/>
      <c r="H30" s="6"/>
      <c r="I30" s="6"/>
    </row>
    <row r="31" spans="1:10" ht="27.75" customHeight="1" x14ac:dyDescent="0.2">
      <c r="B31" s="26" t="s">
        <v>40</v>
      </c>
      <c r="C31" s="6" t="str">
        <f>IF('03_CASCADA_FLUJO_5Y'!$H$49&gt;0,"⚠ Costos exceden 5,4% PN. TCMC paga "&amp;TEXT('03_CASCADA_FLUJO_5Y'!$H$49,"$#,##0"),"✓ Costos dentro del tope. Sin obligación sponsor.")</f>
        <v>⚠ Costos exceden 5,4% PN. TCMC paga $32,599</v>
      </c>
      <c r="D31" s="6"/>
      <c r="E31" s="6"/>
      <c r="F31" s="6"/>
      <c r="G31" s="6"/>
      <c r="H31" s="6"/>
      <c r="I31" s="6"/>
    </row>
    <row r="32" spans="1:10" ht="27.75" customHeight="1" x14ac:dyDescent="0.2">
      <c r="B32" s="26" t="s">
        <v>41</v>
      </c>
      <c r="C32" s="6" t="str">
        <f>IF('04_INGRESOS_TCMC'!$H$21&gt;0,"✓ Ingreso TCMC positivo: "&amp;TEXT('04_INGRESOS_TCMC'!$H$21,"$#,##0"),"✗ Ingreso TCMC negativo o nulo")</f>
        <v>✓ Ingreso TCMC positivo: $203,336</v>
      </c>
      <c r="D32" s="6"/>
      <c r="E32" s="6"/>
      <c r="F32" s="6"/>
      <c r="G32" s="6"/>
      <c r="H32" s="6"/>
      <c r="I32" s="6"/>
    </row>
    <row r="34" spans="1:10" ht="21.75" customHeight="1" x14ac:dyDescent="0.2">
      <c r="A34" s="7" t="s">
        <v>42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 ht="18" customHeight="1" x14ac:dyDescent="0.2">
      <c r="B35" s="28" t="s">
        <v>43</v>
      </c>
      <c r="C35" s="29" t="s">
        <v>44</v>
      </c>
      <c r="D35" s="28" t="s">
        <v>45</v>
      </c>
      <c r="E35" s="5" t="s">
        <v>46</v>
      </c>
      <c r="F35" s="5"/>
      <c r="G35" s="5"/>
      <c r="H35" s="5"/>
      <c r="I35" s="5"/>
    </row>
    <row r="36" spans="1:10" ht="18" customHeight="1" x14ac:dyDescent="0.2">
      <c r="B36" s="27" t="s">
        <v>47</v>
      </c>
      <c r="C36" s="30">
        <f>'01_PANEL_CONTROL'!$C$44</f>
        <v>0.06</v>
      </c>
      <c r="D36" s="31" t="s">
        <v>48</v>
      </c>
      <c r="E36" s="4" t="s">
        <v>49</v>
      </c>
      <c r="F36" s="4"/>
      <c r="G36" s="4"/>
      <c r="H36" s="4"/>
      <c r="I36" s="4"/>
    </row>
    <row r="37" spans="1:10" ht="18" customHeight="1" x14ac:dyDescent="0.2">
      <c r="B37" s="27" t="s">
        <v>50</v>
      </c>
      <c r="C37" s="30">
        <f>'01_PANEL_CONTROL'!$C$43</f>
        <v>0.1</v>
      </c>
      <c r="D37" s="31" t="s">
        <v>48</v>
      </c>
      <c r="E37" s="4" t="s">
        <v>51</v>
      </c>
      <c r="F37" s="4"/>
      <c r="G37" s="4"/>
      <c r="H37" s="4"/>
      <c r="I37" s="4"/>
    </row>
    <row r="38" spans="1:10" ht="18" customHeight="1" x14ac:dyDescent="0.2">
      <c r="B38" s="27" t="s">
        <v>52</v>
      </c>
      <c r="C38" s="33">
        <f>'01_PANEL_CONTROL'!$C$68</f>
        <v>5.0000000000000001E-3</v>
      </c>
      <c r="D38" s="31" t="s">
        <v>53</v>
      </c>
      <c r="E38" s="4" t="s">
        <v>54</v>
      </c>
      <c r="F38" s="4"/>
      <c r="G38" s="4"/>
      <c r="H38" s="4"/>
      <c r="I38" s="4"/>
    </row>
    <row r="39" spans="1:10" ht="18" customHeight="1" x14ac:dyDescent="0.2">
      <c r="B39" s="27" t="s">
        <v>55</v>
      </c>
      <c r="C39" s="30">
        <f>'01_PANEL_CONTROL'!$C$66</f>
        <v>1.2500000000000001E-2</v>
      </c>
      <c r="D39" s="31" t="s">
        <v>56</v>
      </c>
      <c r="E39" s="4" t="s">
        <v>57</v>
      </c>
      <c r="F39" s="4"/>
      <c r="G39" s="4"/>
      <c r="H39" s="4"/>
      <c r="I39" s="4"/>
    </row>
    <row r="40" spans="1:10" ht="18" customHeight="1" x14ac:dyDescent="0.2">
      <c r="B40" s="27" t="s">
        <v>11</v>
      </c>
      <c r="C40" s="30">
        <f>'01_PANEL_CONTROL'!$C$10</f>
        <v>0.3</v>
      </c>
      <c r="D40" s="31" t="s">
        <v>58</v>
      </c>
      <c r="E40" s="4" t="s">
        <v>59</v>
      </c>
      <c r="F40" s="4"/>
      <c r="G40" s="4"/>
      <c r="H40" s="4"/>
      <c r="I40" s="4"/>
    </row>
    <row r="42" spans="1:10" ht="27.75" customHeight="1" x14ac:dyDescent="0.2">
      <c r="A42" s="3" t="s">
        <v>60</v>
      </c>
      <c r="B42" s="3"/>
      <c r="C42" s="3"/>
      <c r="D42" s="3"/>
      <c r="E42" s="3"/>
      <c r="F42" s="3"/>
      <c r="G42" s="3"/>
      <c r="H42" s="3"/>
      <c r="I42" s="3"/>
      <c r="J42" s="3"/>
    </row>
  </sheetData>
  <mergeCells count="18">
    <mergeCell ref="E39:I39"/>
    <mergeCell ref="E40:I40"/>
    <mergeCell ref="A42:J42"/>
    <mergeCell ref="A34:J34"/>
    <mergeCell ref="E35:I35"/>
    <mergeCell ref="E36:I36"/>
    <mergeCell ref="E37:I37"/>
    <mergeCell ref="E38:I38"/>
    <mergeCell ref="A24:J24"/>
    <mergeCell ref="A29:J29"/>
    <mergeCell ref="C30:I30"/>
    <mergeCell ref="C31:I31"/>
    <mergeCell ref="C32:I32"/>
    <mergeCell ref="A1:J1"/>
    <mergeCell ref="A2:J2"/>
    <mergeCell ref="A4:J4"/>
    <mergeCell ref="A8:J8"/>
    <mergeCell ref="A15:J15"/>
  </mergeCells>
  <hyperlinks>
    <hyperlink ref="B5" r:id="rId1" location="01_PANEL_CONTROL!A1" xr:uid="{00000000-0004-0000-0000-000000000000}"/>
    <hyperlink ref="D5" r:id="rId2" location="02_COMPARATIVA_LENDAR!A1" xr:uid="{00000000-0004-0000-0000-000001000000}"/>
    <hyperlink ref="F5" r:id="rId3" location="03_CASCADA_FLUJO_5Y!A1" xr:uid="{00000000-0004-0000-0000-000002000000}"/>
    <hyperlink ref="H5" r:id="rId4" location="04_INGRESOS_TCMC!A1" xr:uid="{00000000-0004-0000-0000-000003000000}"/>
    <hyperlink ref="B6" r:id="rId5" location="05_SENSIBILIDADES!A1" xr:uid="{00000000-0004-0000-0000-000004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'03_CASCADA_FLUJO_5Y'!$H$70&gt;='01_PANEL_CONTROL'!$C$44</xm:f>
            <x14:dxf>
              <fill>
                <patternFill>
                  <bgColor rgb="FFD4F4DD"/>
                </patternFill>
              </fill>
            </x14:dxf>
          </x14:cfRule>
          <x14:cfRule type="expression" priority="3" id="{00000000-000E-0000-0000-000003000000}">
            <xm:f>'03_CASCADA_FLUJO_5Y'!$H$70&lt;'01_PANEL_CONTROL'!$C$44</xm:f>
            <x14:dxf>
              <fill>
                <patternFill>
                  <bgColor rgb="FFFBD5D5"/>
                </patternFill>
              </fill>
            </x14:dxf>
          </x14:cfRule>
          <xm:sqref>C30</xm:sqref>
        </x14:conditionalFormatting>
        <x14:conditionalFormatting xmlns:xm="http://schemas.microsoft.com/office/excel/2006/main">
          <x14:cfRule type="expression" priority="4" id="{00000000-000E-0000-0000-000004000000}">
            <xm:f>'03_CASCADA_FLUJO_5Y'!$H$49&gt;0</xm:f>
            <x14:dxf>
              <fill>
                <patternFill>
                  <bgColor rgb="FFFBD5D5"/>
                </patternFill>
              </fill>
            </x14:dxf>
          </x14:cfRule>
          <x14:cfRule type="expression" priority="5" id="{00000000-000E-0000-0000-000005000000}">
            <xm:f>'03_CASCADA_FLUJO_5Y'!$H$49=0</xm:f>
            <x14:dxf>
              <fill>
                <patternFill>
                  <bgColor rgb="FFD4F4DD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expression" priority="6" id="{00000000-000E-0000-0000-000006000000}">
            <xm:f>'04_INGRESOS_TCMC'!$H$21&gt;0</xm:f>
            <x14:dxf>
              <fill>
                <patternFill>
                  <bgColor rgb="FFD4F4DD"/>
                </patternFill>
              </fill>
            </x14:dxf>
          </x14:cfRule>
          <x14:cfRule type="expression" priority="7" id="{00000000-000E-0000-0000-000007000000}">
            <xm:f>'04_INGRESOS_TCMC'!$H$21&lt;=0</xm:f>
            <x14:dxf>
              <fill>
                <patternFill>
                  <bgColor rgb="FFFBD5D5"/>
                </patternFill>
              </fill>
            </x14:dxf>
          </x14:cfRule>
          <xm:sqref>C32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showGridLines="0" zoomScaleNormal="100" workbookViewId="0">
      <pane ySplit="3" topLeftCell="A4" activePane="bottomLeft" state="frozen"/>
      <selection pane="bottomLeft" activeCell="C83" sqref="C83"/>
    </sheetView>
  </sheetViews>
  <sheetFormatPr baseColWidth="10" defaultColWidth="8.6640625" defaultRowHeight="15" x14ac:dyDescent="0.2"/>
  <cols>
    <col min="1" max="1" width="4" customWidth="1"/>
    <col min="2" max="2" width="48" customWidth="1"/>
    <col min="3" max="3" width="18" customWidth="1"/>
    <col min="4" max="7" width="14" customWidth="1"/>
    <col min="8" max="8" width="38" customWidth="1"/>
  </cols>
  <sheetData>
    <row r="1" spans="1:8" ht="37.5" customHeight="1" x14ac:dyDescent="0.2">
      <c r="A1" s="2" t="s">
        <v>61</v>
      </c>
      <c r="B1" s="2"/>
      <c r="C1" s="2"/>
      <c r="D1" s="2"/>
      <c r="E1" s="2"/>
      <c r="F1" s="2"/>
      <c r="G1" s="2"/>
      <c r="H1" s="2"/>
    </row>
    <row r="2" spans="1:8" ht="19.5" customHeight="1" x14ac:dyDescent="0.2">
      <c r="A2" s="1" t="s">
        <v>62</v>
      </c>
      <c r="B2" s="1"/>
      <c r="C2" s="1"/>
      <c r="D2" s="1"/>
      <c r="E2" s="1"/>
      <c r="F2" s="1"/>
      <c r="G2" s="1"/>
      <c r="H2" s="1"/>
    </row>
    <row r="4" spans="1:8" ht="15" customHeight="1" x14ac:dyDescent="0.2">
      <c r="B4" s="26" t="s">
        <v>63</v>
      </c>
      <c r="C4" s="28" t="s">
        <v>64</v>
      </c>
      <c r="H4" s="26" t="s">
        <v>65</v>
      </c>
    </row>
    <row r="5" spans="1:8" ht="21.75" customHeight="1" x14ac:dyDescent="0.2">
      <c r="A5" s="307" t="s">
        <v>66</v>
      </c>
      <c r="B5" s="307"/>
      <c r="C5" s="307"/>
      <c r="D5" s="307"/>
      <c r="E5" s="307"/>
      <c r="F5" s="307"/>
      <c r="G5" s="307"/>
      <c r="H5" s="307"/>
    </row>
    <row r="6" spans="1:8" ht="18.75" customHeight="1" x14ac:dyDescent="0.2">
      <c r="B6" s="27" t="s">
        <v>67</v>
      </c>
      <c r="C6" s="34">
        <v>3000000</v>
      </c>
      <c r="H6" s="32" t="s">
        <v>68</v>
      </c>
    </row>
    <row r="7" spans="1:8" ht="15" customHeight="1" x14ac:dyDescent="0.2">
      <c r="B7" s="27" t="s">
        <v>69</v>
      </c>
      <c r="C7" s="35">
        <v>5</v>
      </c>
      <c r="H7" s="32" t="s">
        <v>70</v>
      </c>
    </row>
    <row r="8" spans="1:8" ht="15" customHeight="1" x14ac:dyDescent="0.2">
      <c r="B8" s="27" t="s">
        <v>71</v>
      </c>
      <c r="C8" s="36">
        <v>2026</v>
      </c>
      <c r="H8" s="32" t="s">
        <v>72</v>
      </c>
    </row>
    <row r="9" spans="1:8" ht="18.75" customHeight="1" x14ac:dyDescent="0.2">
      <c r="B9" s="27" t="s">
        <v>73</v>
      </c>
      <c r="C9" s="34">
        <v>35000</v>
      </c>
      <c r="H9" s="32" t="s">
        <v>74</v>
      </c>
    </row>
    <row r="10" spans="1:8" ht="15" customHeight="1" x14ac:dyDescent="0.2">
      <c r="B10" s="27" t="s">
        <v>11</v>
      </c>
      <c r="C10" s="37">
        <v>0.3</v>
      </c>
      <c r="H10" s="32" t="s">
        <v>75</v>
      </c>
    </row>
    <row r="11" spans="1:8" ht="15" customHeight="1" x14ac:dyDescent="0.2">
      <c r="B11" s="27" t="s">
        <v>76</v>
      </c>
      <c r="C11" s="38" t="s">
        <v>77</v>
      </c>
      <c r="H11" s="32" t="s">
        <v>78</v>
      </c>
    </row>
    <row r="12" spans="1:8" ht="18.75" customHeight="1" x14ac:dyDescent="0.2">
      <c r="B12" s="27" t="s">
        <v>79</v>
      </c>
      <c r="C12" s="39">
        <v>2.9</v>
      </c>
      <c r="H12" s="32" t="s">
        <v>80</v>
      </c>
    </row>
    <row r="13" spans="1:8" ht="18.75" customHeight="1" x14ac:dyDescent="0.2">
      <c r="B13" s="27" t="s">
        <v>81</v>
      </c>
      <c r="C13" s="40">
        <f>IFERROR(1/C12,0)</f>
        <v>0.34482758620689657</v>
      </c>
      <c r="H13" s="32" t="s">
        <v>82</v>
      </c>
    </row>
    <row r="14" spans="1:8" ht="18.75" customHeight="1" x14ac:dyDescent="0.2">
      <c r="B14" s="27" t="s">
        <v>83</v>
      </c>
      <c r="C14" s="37">
        <v>1</v>
      </c>
      <c r="H14" s="32" t="s">
        <v>84</v>
      </c>
    </row>
    <row r="15" spans="1:8" ht="15" customHeight="1" x14ac:dyDescent="0.2">
      <c r="B15" s="27" t="s">
        <v>85</v>
      </c>
      <c r="C15" s="40">
        <f>SUMPRODUCT(D20:D24,E20:E24)</f>
        <v>0.124</v>
      </c>
      <c r="H15" s="32" t="s">
        <v>86</v>
      </c>
    </row>
    <row r="16" spans="1:8" ht="15" customHeight="1" x14ac:dyDescent="0.2">
      <c r="B16" s="27" t="s">
        <v>87</v>
      </c>
      <c r="C16" s="40">
        <f>C15</f>
        <v>0.124</v>
      </c>
      <c r="H16" s="32" t="s">
        <v>88</v>
      </c>
    </row>
    <row r="18" spans="1:8" ht="21.75" customHeight="1" x14ac:dyDescent="0.2">
      <c r="A18" s="307" t="s">
        <v>89</v>
      </c>
      <c r="B18" s="307"/>
      <c r="C18" s="307"/>
      <c r="D18" s="307"/>
      <c r="E18" s="307"/>
      <c r="F18" s="307"/>
      <c r="G18" s="307"/>
      <c r="H18" s="307"/>
    </row>
    <row r="19" spans="1:8" ht="15" customHeight="1" x14ac:dyDescent="0.2">
      <c r="B19" s="28" t="s">
        <v>90</v>
      </c>
      <c r="C19" s="28" t="s">
        <v>91</v>
      </c>
      <c r="D19" s="28" t="s">
        <v>92</v>
      </c>
      <c r="E19" s="28" t="s">
        <v>93</v>
      </c>
      <c r="F19" s="28" t="s">
        <v>94</v>
      </c>
      <c r="H19" s="26" t="s">
        <v>95</v>
      </c>
    </row>
    <row r="20" spans="1:8" ht="15" customHeight="1" x14ac:dyDescent="0.2">
      <c r="B20" s="41">
        <v>1</v>
      </c>
      <c r="C20" s="42">
        <f>$C$9</f>
        <v>35000</v>
      </c>
      <c r="D20" s="37">
        <v>0.1</v>
      </c>
      <c r="E20" s="37">
        <v>0.105</v>
      </c>
      <c r="F20" s="40">
        <v>9.5000000000000001E-2</v>
      </c>
      <c r="H20" s="32" t="s">
        <v>96</v>
      </c>
    </row>
    <row r="21" spans="1:8" ht="15" customHeight="1" x14ac:dyDescent="0.2">
      <c r="B21" s="41">
        <v>2</v>
      </c>
      <c r="C21" s="42">
        <f>$C$9</f>
        <v>35000</v>
      </c>
      <c r="D21" s="37">
        <v>0.25</v>
      </c>
      <c r="E21" s="37">
        <v>0.115</v>
      </c>
      <c r="F21" s="40">
        <v>0.105</v>
      </c>
      <c r="H21" s="32" t="s">
        <v>97</v>
      </c>
    </row>
    <row r="22" spans="1:8" ht="15" customHeight="1" x14ac:dyDescent="0.2">
      <c r="B22" s="41">
        <v>3</v>
      </c>
      <c r="C22" s="42">
        <f>$C$9</f>
        <v>35000</v>
      </c>
      <c r="D22" s="37">
        <v>0.4</v>
      </c>
      <c r="E22" s="37">
        <v>0.125</v>
      </c>
      <c r="F22" s="40">
        <v>0.115</v>
      </c>
      <c r="H22" s="32" t="s">
        <v>97</v>
      </c>
    </row>
    <row r="23" spans="1:8" ht="15" customHeight="1" x14ac:dyDescent="0.2">
      <c r="B23" s="41">
        <v>4</v>
      </c>
      <c r="C23" s="42">
        <f>$C$9</f>
        <v>35000</v>
      </c>
      <c r="D23" s="37">
        <v>0.15</v>
      </c>
      <c r="E23" s="37">
        <v>0.13500000000000001</v>
      </c>
      <c r="F23" s="40">
        <v>0.125</v>
      </c>
      <c r="H23" s="32" t="s">
        <v>97</v>
      </c>
    </row>
    <row r="24" spans="1:8" ht="15" customHeight="1" x14ac:dyDescent="0.2">
      <c r="B24" s="41">
        <v>5</v>
      </c>
      <c r="C24" s="42">
        <f>$C$9</f>
        <v>35000</v>
      </c>
      <c r="D24" s="37">
        <v>0.1</v>
      </c>
      <c r="E24" s="37">
        <v>0.14499999999999999</v>
      </c>
      <c r="F24" s="40">
        <v>0.13500000000000001</v>
      </c>
      <c r="H24" s="32" t="s">
        <v>98</v>
      </c>
    </row>
    <row r="25" spans="1:8" ht="15" customHeight="1" x14ac:dyDescent="0.2">
      <c r="B25" s="28" t="s">
        <v>99</v>
      </c>
      <c r="D25" s="43">
        <f>SUM(D20:D24)</f>
        <v>1</v>
      </c>
      <c r="E25" s="43">
        <f>SUMPRODUCT(D20:D24,E20:E24)</f>
        <v>0.124</v>
      </c>
      <c r="F25" s="43">
        <f>SUMPRODUCT(D20:D24,F20:F24)</f>
        <v>0.11400000000000002</v>
      </c>
      <c r="H25" s="32" t="s">
        <v>100</v>
      </c>
    </row>
    <row r="27" spans="1:8" ht="21.75" customHeight="1" x14ac:dyDescent="0.2">
      <c r="A27" s="307" t="s">
        <v>101</v>
      </c>
      <c r="B27" s="307"/>
      <c r="C27" s="307"/>
      <c r="D27" s="307"/>
      <c r="E27" s="307"/>
      <c r="F27" s="307"/>
      <c r="G27" s="307"/>
      <c r="H27" s="307"/>
    </row>
    <row r="28" spans="1:8" ht="15" customHeight="1" x14ac:dyDescent="0.2">
      <c r="B28" s="27" t="s">
        <v>102</v>
      </c>
      <c r="C28" s="37">
        <v>0.05</v>
      </c>
      <c r="H28" s="32" t="s">
        <v>103</v>
      </c>
    </row>
    <row r="29" spans="1:8" ht="15" customHeight="1" x14ac:dyDescent="0.2">
      <c r="B29" s="27" t="s">
        <v>104</v>
      </c>
      <c r="C29" s="37">
        <v>0.21</v>
      </c>
      <c r="H29" s="32" t="s">
        <v>105</v>
      </c>
    </row>
    <row r="30" spans="1:8" ht="15" customHeight="1" x14ac:dyDescent="0.2">
      <c r="B30" s="27" t="s">
        <v>106</v>
      </c>
      <c r="C30" s="42">
        <f>C9/(1+C28*(1+C29))</f>
        <v>33003.300330033002</v>
      </c>
      <c r="H30" s="32" t="s">
        <v>107</v>
      </c>
    </row>
    <row r="31" spans="1:8" ht="15" customHeight="1" x14ac:dyDescent="0.2">
      <c r="B31" s="27" t="s">
        <v>108</v>
      </c>
      <c r="C31" s="42">
        <f>C30*C28</f>
        <v>1650.1650165016501</v>
      </c>
      <c r="H31" s="32" t="s">
        <v>109</v>
      </c>
    </row>
    <row r="32" spans="1:8" ht="15" customHeight="1" x14ac:dyDescent="0.2">
      <c r="B32" s="27" t="s">
        <v>110</v>
      </c>
      <c r="C32" s="42">
        <f>C31*C29</f>
        <v>346.53465346534654</v>
      </c>
      <c r="H32" s="32" t="s">
        <v>111</v>
      </c>
    </row>
    <row r="34" spans="1:8" ht="21.75" customHeight="1" x14ac:dyDescent="0.2">
      <c r="A34" s="307" t="s">
        <v>112</v>
      </c>
      <c r="B34" s="307"/>
      <c r="C34" s="307"/>
      <c r="D34" s="307"/>
      <c r="E34" s="307"/>
      <c r="F34" s="307"/>
      <c r="G34" s="307"/>
      <c r="H34" s="307"/>
    </row>
    <row r="35" spans="1:8" ht="15" customHeight="1" x14ac:dyDescent="0.2">
      <c r="B35" s="27" t="s">
        <v>113</v>
      </c>
      <c r="C35" s="37">
        <v>1.2E-2</v>
      </c>
      <c r="H35" s="32" t="s">
        <v>114</v>
      </c>
    </row>
    <row r="36" spans="1:8" ht="15" customHeight="1" x14ac:dyDescent="0.2">
      <c r="B36" s="27" t="s">
        <v>115</v>
      </c>
      <c r="C36" s="37">
        <v>2E-3</v>
      </c>
      <c r="H36" s="32" t="s">
        <v>116</v>
      </c>
    </row>
    <row r="37" spans="1:8" ht="15" customHeight="1" x14ac:dyDescent="0.2">
      <c r="B37" s="27" t="s">
        <v>117</v>
      </c>
      <c r="C37" s="34">
        <v>21600</v>
      </c>
      <c r="H37" s="32" t="s">
        <v>118</v>
      </c>
    </row>
    <row r="38" spans="1:8" ht="15" customHeight="1" x14ac:dyDescent="0.2">
      <c r="B38" s="27" t="s">
        <v>119</v>
      </c>
      <c r="C38" s="34">
        <v>10000</v>
      </c>
      <c r="H38" s="32" t="s">
        <v>120</v>
      </c>
    </row>
    <row r="39" spans="1:8" ht="15" customHeight="1" x14ac:dyDescent="0.2">
      <c r="B39" s="27" t="s">
        <v>121</v>
      </c>
      <c r="C39" s="37">
        <v>1.4999999999999999E-2</v>
      </c>
      <c r="H39" s="32" t="s">
        <v>122</v>
      </c>
    </row>
    <row r="40" spans="1:8" ht="15" customHeight="1" x14ac:dyDescent="0.2">
      <c r="B40" s="27" t="s">
        <v>123</v>
      </c>
      <c r="C40" s="37">
        <v>2.5000000000000001E-3</v>
      </c>
      <c r="H40" s="32" t="s">
        <v>124</v>
      </c>
    </row>
    <row r="41" spans="1:8" ht="15" customHeight="1" x14ac:dyDescent="0.2">
      <c r="B41" s="27" t="s">
        <v>125</v>
      </c>
      <c r="C41" s="37">
        <v>1.4999999999999999E-2</v>
      </c>
      <c r="H41" s="32" t="s">
        <v>126</v>
      </c>
    </row>
    <row r="42" spans="1:8" ht="15" customHeight="1" x14ac:dyDescent="0.2">
      <c r="B42" s="27" t="s">
        <v>127</v>
      </c>
      <c r="C42" s="37">
        <v>5.3999999999999999E-2</v>
      </c>
      <c r="H42" s="32" t="s">
        <v>128</v>
      </c>
    </row>
    <row r="43" spans="1:8" ht="15" customHeight="1" x14ac:dyDescent="0.2">
      <c r="B43" s="27" t="s">
        <v>129</v>
      </c>
      <c r="C43" s="37">
        <v>0.1</v>
      </c>
      <c r="H43" s="32" t="s">
        <v>130</v>
      </c>
    </row>
    <row r="44" spans="1:8" ht="15" customHeight="1" x14ac:dyDescent="0.2">
      <c r="B44" s="27" t="s">
        <v>131</v>
      </c>
      <c r="C44" s="37">
        <v>0.06</v>
      </c>
      <c r="H44" s="32" t="s">
        <v>132</v>
      </c>
    </row>
    <row r="46" spans="1:8" ht="21.75" customHeight="1" x14ac:dyDescent="0.2">
      <c r="A46" s="307" t="s">
        <v>133</v>
      </c>
      <c r="B46" s="307"/>
      <c r="C46" s="307"/>
      <c r="D46" s="307"/>
      <c r="E46" s="307"/>
      <c r="F46" s="307"/>
      <c r="G46" s="307"/>
      <c r="H46" s="307"/>
    </row>
    <row r="47" spans="1:8" ht="15" customHeight="1" x14ac:dyDescent="0.2">
      <c r="B47" s="27" t="s">
        <v>134</v>
      </c>
      <c r="C47" s="34">
        <v>10000</v>
      </c>
      <c r="H47" s="32" t="s">
        <v>135</v>
      </c>
    </row>
    <row r="48" spans="1:8" ht="15" customHeight="1" x14ac:dyDescent="0.2">
      <c r="B48" s="27" t="s">
        <v>136</v>
      </c>
      <c r="C48" s="34">
        <v>10000</v>
      </c>
      <c r="H48" s="32" t="s">
        <v>135</v>
      </c>
    </row>
    <row r="49" spans="1:8" ht="15" customHeight="1" x14ac:dyDescent="0.2">
      <c r="B49" s="27" t="s">
        <v>137</v>
      </c>
      <c r="C49" s="34">
        <v>12000</v>
      </c>
      <c r="H49" s="32" t="s">
        <v>135</v>
      </c>
    </row>
    <row r="50" spans="1:8" ht="15" customHeight="1" x14ac:dyDescent="0.2">
      <c r="B50" s="27" t="s">
        <v>138</v>
      </c>
      <c r="C50" s="34">
        <v>12000</v>
      </c>
      <c r="H50" s="32" t="s">
        <v>135</v>
      </c>
    </row>
    <row r="51" spans="1:8" ht="15" customHeight="1" x14ac:dyDescent="0.2">
      <c r="B51" s="27" t="s">
        <v>139</v>
      </c>
      <c r="C51" s="34">
        <v>6000</v>
      </c>
      <c r="H51" s="32" t="s">
        <v>135</v>
      </c>
    </row>
    <row r="52" spans="1:8" ht="15" customHeight="1" x14ac:dyDescent="0.2">
      <c r="B52" s="27" t="s">
        <v>140</v>
      </c>
      <c r="C52" s="34">
        <v>6000</v>
      </c>
      <c r="H52" s="32" t="s">
        <v>135</v>
      </c>
    </row>
    <row r="53" spans="1:8" ht="15" customHeight="1" x14ac:dyDescent="0.2">
      <c r="B53" s="27" t="s">
        <v>141</v>
      </c>
      <c r="C53" s="34">
        <f>20000*1.21</f>
        <v>24200</v>
      </c>
      <c r="H53" s="32" t="s">
        <v>135</v>
      </c>
    </row>
    <row r="54" spans="1:8" ht="15" customHeight="1" x14ac:dyDescent="0.2">
      <c r="B54" s="26" t="s">
        <v>142</v>
      </c>
      <c r="C54" s="44">
        <f>SUM(C47:C52)</f>
        <v>56000</v>
      </c>
      <c r="H54" s="32" t="s">
        <v>143</v>
      </c>
    </row>
    <row r="55" spans="1:8" ht="15" customHeight="1" x14ac:dyDescent="0.2">
      <c r="B55" s="26" t="s">
        <v>144</v>
      </c>
      <c r="C55" s="44">
        <f>SUM(C47:C53)</f>
        <v>80200</v>
      </c>
      <c r="H55" s="32" t="s">
        <v>145</v>
      </c>
    </row>
    <row r="57" spans="1:8" ht="21.75" customHeight="1" x14ac:dyDescent="0.2">
      <c r="A57" s="307" t="s">
        <v>146</v>
      </c>
      <c r="B57" s="307"/>
      <c r="C57" s="307"/>
      <c r="D57" s="307"/>
      <c r="E57" s="307"/>
      <c r="F57" s="307"/>
      <c r="G57" s="307"/>
      <c r="H57" s="307"/>
    </row>
    <row r="58" spans="1:8" ht="15" customHeight="1" x14ac:dyDescent="0.2">
      <c r="B58" s="26" t="s">
        <v>147</v>
      </c>
      <c r="C58" s="45">
        <f>$C$8+0</f>
        <v>2026</v>
      </c>
      <c r="D58" s="45">
        <f>$C$8+1</f>
        <v>2027</v>
      </c>
      <c r="E58" s="45">
        <f>$C$8+2</f>
        <v>2028</v>
      </c>
      <c r="F58" s="45">
        <f>$C$8+3</f>
        <v>2029</v>
      </c>
      <c r="G58" s="45">
        <f>$C$8+4</f>
        <v>2030</v>
      </c>
      <c r="H58" s="26" t="s">
        <v>46</v>
      </c>
    </row>
    <row r="59" spans="1:8" ht="15" customHeight="1" x14ac:dyDescent="0.2">
      <c r="B59" s="27" t="s">
        <v>148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2" t="s">
        <v>149</v>
      </c>
    </row>
    <row r="60" spans="1:8" ht="15" customHeight="1" x14ac:dyDescent="0.2">
      <c r="B60" s="27" t="s">
        <v>150</v>
      </c>
      <c r="C60" s="37">
        <v>0</v>
      </c>
      <c r="D60" s="37">
        <v>0.06</v>
      </c>
      <c r="E60" s="37">
        <v>0.06</v>
      </c>
      <c r="F60" s="37">
        <v>0.06</v>
      </c>
      <c r="G60" s="37">
        <v>0</v>
      </c>
      <c r="H60" s="32" t="s">
        <v>151</v>
      </c>
    </row>
    <row r="61" spans="1:8" ht="18.75" customHeight="1" x14ac:dyDescent="0.2">
      <c r="B61" s="27" t="s">
        <v>152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2" t="s">
        <v>153</v>
      </c>
    </row>
    <row r="62" spans="1:8" ht="15" customHeight="1" x14ac:dyDescent="0.2">
      <c r="B62" s="27" t="s">
        <v>154</v>
      </c>
      <c r="C62" s="35">
        <v>1</v>
      </c>
      <c r="D62" s="35">
        <v>1</v>
      </c>
      <c r="E62" s="35">
        <v>1</v>
      </c>
      <c r="F62" s="35">
        <v>1</v>
      </c>
      <c r="G62" s="35">
        <v>0</v>
      </c>
      <c r="H62" s="32" t="s">
        <v>155</v>
      </c>
    </row>
    <row r="63" spans="1:8" ht="15" customHeight="1" x14ac:dyDescent="0.2">
      <c r="B63" s="27" t="s">
        <v>156</v>
      </c>
      <c r="C63" s="37">
        <v>0.9</v>
      </c>
      <c r="D63" s="37">
        <v>1</v>
      </c>
      <c r="E63" s="37">
        <v>1</v>
      </c>
      <c r="F63" s="37">
        <v>1</v>
      </c>
      <c r="G63" s="37">
        <v>1</v>
      </c>
      <c r="H63" s="32" t="s">
        <v>157</v>
      </c>
    </row>
    <row r="65" spans="1:8" ht="21.75" customHeight="1" x14ac:dyDescent="0.2">
      <c r="A65" s="307" t="s">
        <v>158</v>
      </c>
      <c r="B65" s="307"/>
      <c r="C65" s="307"/>
      <c r="D65" s="307"/>
      <c r="E65" s="307"/>
      <c r="F65" s="307"/>
      <c r="G65" s="307"/>
      <c r="H65" s="307"/>
    </row>
    <row r="66" spans="1:8" ht="15" customHeight="1" x14ac:dyDescent="0.2">
      <c r="B66" s="27" t="s">
        <v>159</v>
      </c>
      <c r="C66" s="37">
        <v>1.2500000000000001E-2</v>
      </c>
      <c r="H66" s="32" t="s">
        <v>160</v>
      </c>
    </row>
    <row r="67" spans="1:8" ht="15" customHeight="1" x14ac:dyDescent="0.2">
      <c r="B67" s="27" t="s">
        <v>161</v>
      </c>
      <c r="C67" s="37">
        <v>0.01</v>
      </c>
      <c r="H67" s="32" t="s">
        <v>162</v>
      </c>
    </row>
    <row r="68" spans="1:8" ht="15" customHeight="1" x14ac:dyDescent="0.2">
      <c r="B68" s="27" t="s">
        <v>163</v>
      </c>
      <c r="C68" s="37">
        <v>5.0000000000000001E-3</v>
      </c>
      <c r="H68" s="32" t="s">
        <v>164</v>
      </c>
    </row>
    <row r="69" spans="1:8" ht="15" customHeight="1" x14ac:dyDescent="0.2">
      <c r="B69" s="27" t="s">
        <v>165</v>
      </c>
      <c r="C69" s="37">
        <v>0</v>
      </c>
      <c r="H69" s="32" t="s">
        <v>166</v>
      </c>
    </row>
    <row r="71" spans="1:8" ht="21.75" customHeight="1" x14ac:dyDescent="0.2">
      <c r="A71" s="307" t="s">
        <v>167</v>
      </c>
      <c r="B71" s="307"/>
      <c r="C71" s="307"/>
      <c r="D71" s="307"/>
      <c r="E71" s="307"/>
      <c r="F71" s="307"/>
      <c r="G71" s="307"/>
      <c r="H71" s="307"/>
    </row>
    <row r="72" spans="1:8" ht="15" customHeight="1" x14ac:dyDescent="0.2">
      <c r="B72" s="27" t="s">
        <v>168</v>
      </c>
      <c r="C72" s="39">
        <v>1</v>
      </c>
      <c r="H72" s="32" t="s">
        <v>169</v>
      </c>
    </row>
    <row r="73" spans="1:8" ht="15" customHeight="1" x14ac:dyDescent="0.2">
      <c r="B73" s="27" t="s">
        <v>170</v>
      </c>
      <c r="C73" s="37">
        <v>0.5</v>
      </c>
      <c r="H73" s="32" t="s">
        <v>171</v>
      </c>
    </row>
    <row r="74" spans="1:8" ht="15" customHeight="1" x14ac:dyDescent="0.2">
      <c r="B74" s="27" t="s">
        <v>172</v>
      </c>
      <c r="C74" s="36">
        <v>3</v>
      </c>
      <c r="H74" s="32" t="s">
        <v>173</v>
      </c>
    </row>
    <row r="75" spans="1:8" ht="15" customHeight="1" x14ac:dyDescent="0.2">
      <c r="B75" s="27" t="s">
        <v>174</v>
      </c>
      <c r="C75" s="37">
        <v>0.08</v>
      </c>
      <c r="H75" s="32" t="s">
        <v>175</v>
      </c>
    </row>
    <row r="76" spans="1:8" ht="15" customHeight="1" x14ac:dyDescent="0.2">
      <c r="B76" s="27" t="s">
        <v>176</v>
      </c>
      <c r="C76" s="37">
        <v>0.09</v>
      </c>
      <c r="H76" s="32" t="s">
        <v>177</v>
      </c>
    </row>
    <row r="79" spans="1:8" ht="21.75" customHeight="1" x14ac:dyDescent="0.2">
      <c r="A79" s="307" t="s">
        <v>178</v>
      </c>
      <c r="B79" s="307"/>
      <c r="C79" s="307"/>
      <c r="D79" s="307"/>
      <c r="E79" s="307"/>
      <c r="F79" s="307"/>
      <c r="G79" s="307"/>
      <c r="H79" s="307"/>
    </row>
    <row r="80" spans="1:8" ht="30" customHeight="1" x14ac:dyDescent="0.2">
      <c r="B80" s="46" t="s">
        <v>179</v>
      </c>
      <c r="C80" s="320" t="s">
        <v>180</v>
      </c>
    </row>
    <row r="81" spans="2:3" ht="30" customHeight="1" x14ac:dyDescent="0.2">
      <c r="B81" s="31" t="s">
        <v>181</v>
      </c>
      <c r="C81" s="320" t="s">
        <v>182</v>
      </c>
    </row>
    <row r="82" spans="2:3" ht="20.25" customHeight="1" x14ac:dyDescent="0.2">
      <c r="B82" s="47" t="s">
        <v>183</v>
      </c>
      <c r="C82" s="320" t="s">
        <v>184</v>
      </c>
    </row>
  </sheetData>
  <mergeCells count="11">
    <mergeCell ref="A79:H79"/>
    <mergeCell ref="A34:H34"/>
    <mergeCell ref="A46:H46"/>
    <mergeCell ref="A57:H57"/>
    <mergeCell ref="A65:H65"/>
    <mergeCell ref="A71:H71"/>
    <mergeCell ref="A1:H1"/>
    <mergeCell ref="A2:H2"/>
    <mergeCell ref="A5:H5"/>
    <mergeCell ref="A18:H18"/>
    <mergeCell ref="A27:H2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 x14ac:dyDescent="0.2"/>
  <cols>
    <col min="1" max="1" width="4" customWidth="1"/>
    <col min="2" max="2" width="44" customWidth="1"/>
    <col min="3" max="4" width="18" customWidth="1"/>
    <col min="5" max="5" width="12" customWidth="1"/>
    <col min="6" max="6" width="8" customWidth="1"/>
    <col min="7" max="7" width="16" customWidth="1"/>
    <col min="8" max="8" width="38" customWidth="1"/>
  </cols>
  <sheetData>
    <row r="1" spans="1:8" ht="37.5" customHeight="1" x14ac:dyDescent="0.2">
      <c r="A1" s="12" t="s">
        <v>185</v>
      </c>
      <c r="B1" s="12"/>
      <c r="C1" s="12"/>
      <c r="D1" s="12"/>
      <c r="E1" s="12"/>
      <c r="F1" s="12"/>
      <c r="G1" s="12"/>
      <c r="H1" s="12"/>
    </row>
    <row r="2" spans="1:8" ht="19.5" customHeight="1" x14ac:dyDescent="0.2">
      <c r="A2" s="11" t="s">
        <v>186</v>
      </c>
      <c r="B2" s="11"/>
      <c r="C2" s="11"/>
      <c r="D2" s="11"/>
      <c r="E2" s="11"/>
      <c r="F2" s="11"/>
      <c r="G2" s="11"/>
      <c r="H2" s="11"/>
    </row>
    <row r="4" spans="1:8" ht="21.75" customHeight="1" x14ac:dyDescent="0.2">
      <c r="B4" s="48" t="s">
        <v>63</v>
      </c>
      <c r="C4" s="49" t="s">
        <v>44</v>
      </c>
      <c r="D4" s="50" t="s">
        <v>187</v>
      </c>
      <c r="E4" s="51" t="s">
        <v>188</v>
      </c>
      <c r="F4" s="51" t="s">
        <v>189</v>
      </c>
      <c r="G4" s="51" t="s">
        <v>190</v>
      </c>
      <c r="H4" s="48" t="s">
        <v>191</v>
      </c>
    </row>
    <row r="5" spans="1:8" ht="21.75" customHeight="1" x14ac:dyDescent="0.2">
      <c r="A5" s="10" t="s">
        <v>66</v>
      </c>
      <c r="B5" s="10"/>
      <c r="C5" s="10"/>
      <c r="D5" s="10"/>
      <c r="E5" s="10"/>
      <c r="F5" s="10"/>
      <c r="G5" s="10"/>
      <c r="H5" s="10"/>
    </row>
    <row r="6" spans="1:8" ht="15" customHeight="1" x14ac:dyDescent="0.2">
      <c r="B6" s="27" t="s">
        <v>192</v>
      </c>
      <c r="C6" s="52">
        <f>'01_PANEL_CONTROL'!$C$6</f>
        <v>3000000</v>
      </c>
      <c r="D6" s="53">
        <v>3000000</v>
      </c>
      <c r="E6" s="42">
        <f>C6-D6</f>
        <v>0</v>
      </c>
      <c r="F6" s="54" t="s">
        <v>193</v>
      </c>
      <c r="G6" s="55" t="s">
        <v>194</v>
      </c>
      <c r="H6" s="32" t="s">
        <v>195</v>
      </c>
    </row>
    <row r="7" spans="1:8" ht="15" customHeight="1" x14ac:dyDescent="0.2">
      <c r="B7" s="27" t="s">
        <v>69</v>
      </c>
      <c r="C7" s="56">
        <f>'01_PANEL_CONTROL'!$C$7</f>
        <v>5</v>
      </c>
      <c r="D7" s="57">
        <v>11</v>
      </c>
      <c r="E7" s="58">
        <f>C7-D7</f>
        <v>-6</v>
      </c>
      <c r="F7" s="59" t="s">
        <v>44</v>
      </c>
      <c r="G7" s="55" t="s">
        <v>196</v>
      </c>
      <c r="H7" s="32" t="s">
        <v>197</v>
      </c>
    </row>
    <row r="8" spans="1:8" ht="15" customHeight="1" x14ac:dyDescent="0.2">
      <c r="B8" s="27" t="s">
        <v>198</v>
      </c>
      <c r="C8" s="52">
        <f>'01_PANEL_CONTROL'!$C$9</f>
        <v>35000</v>
      </c>
      <c r="D8" s="53" t="s">
        <v>199</v>
      </c>
      <c r="E8" s="55" t="s">
        <v>194</v>
      </c>
      <c r="F8" s="54" t="s">
        <v>193</v>
      </c>
      <c r="G8" s="55" t="s">
        <v>194</v>
      </c>
      <c r="H8" s="32" t="s">
        <v>200</v>
      </c>
    </row>
    <row r="9" spans="1:8" ht="15" customHeight="1" x14ac:dyDescent="0.2">
      <c r="B9" s="27" t="s">
        <v>11</v>
      </c>
      <c r="C9" s="60">
        <f>'01_PANEL_CONTROL'!$C$10</f>
        <v>0.3</v>
      </c>
      <c r="D9" s="61">
        <v>0.35</v>
      </c>
      <c r="E9" s="40">
        <f>C9-D9</f>
        <v>-4.9999999999999989E-2</v>
      </c>
      <c r="F9" s="62" t="s">
        <v>201</v>
      </c>
      <c r="G9" s="55" t="s">
        <v>202</v>
      </c>
      <c r="H9" s="32" t="s">
        <v>203</v>
      </c>
    </row>
    <row r="10" spans="1:8" ht="15" customHeight="1" x14ac:dyDescent="0.2">
      <c r="B10" s="27" t="s">
        <v>76</v>
      </c>
      <c r="C10" s="63" t="s">
        <v>77</v>
      </c>
      <c r="D10" s="64" t="s">
        <v>77</v>
      </c>
      <c r="E10" s="55" t="s">
        <v>194</v>
      </c>
      <c r="F10" s="54" t="s">
        <v>193</v>
      </c>
      <c r="G10" s="55" t="s">
        <v>204</v>
      </c>
      <c r="H10" s="32" t="s">
        <v>205</v>
      </c>
    </row>
    <row r="11" spans="1:8" ht="15" customHeight="1" x14ac:dyDescent="0.2">
      <c r="B11" s="27" t="s">
        <v>206</v>
      </c>
      <c r="C11" s="65">
        <f>'01_PANEL_CONTROL'!$C$12</f>
        <v>2.9</v>
      </c>
      <c r="D11" s="66" t="s">
        <v>53</v>
      </c>
      <c r="E11" s="55" t="s">
        <v>194</v>
      </c>
      <c r="F11" s="54" t="s">
        <v>193</v>
      </c>
      <c r="G11" s="55" t="s">
        <v>194</v>
      </c>
      <c r="H11" s="32" t="s">
        <v>207</v>
      </c>
    </row>
    <row r="12" spans="1:8" ht="15" customHeight="1" x14ac:dyDescent="0.2">
      <c r="B12" s="27" t="s">
        <v>208</v>
      </c>
      <c r="C12" s="60">
        <f>'01_PANEL_CONTROL'!$C$15</f>
        <v>0.124</v>
      </c>
      <c r="D12" s="61">
        <v>0.115</v>
      </c>
      <c r="E12" s="40">
        <f>C12-D12</f>
        <v>8.9999999999999941E-3</v>
      </c>
      <c r="F12" s="59" t="s">
        <v>44</v>
      </c>
      <c r="G12" s="55" t="s">
        <v>196</v>
      </c>
      <c r="H12" s="32" t="s">
        <v>209</v>
      </c>
    </row>
    <row r="14" spans="1:8" ht="21.75" customHeight="1" x14ac:dyDescent="0.2">
      <c r="A14" s="10" t="s">
        <v>210</v>
      </c>
      <c r="B14" s="10"/>
      <c r="C14" s="10"/>
      <c r="D14" s="10"/>
      <c r="E14" s="10"/>
      <c r="F14" s="10"/>
      <c r="G14" s="10"/>
      <c r="H14" s="10"/>
    </row>
    <row r="15" spans="1:8" ht="15" customHeight="1" x14ac:dyDescent="0.2">
      <c r="B15" s="27" t="s">
        <v>211</v>
      </c>
      <c r="C15" s="60">
        <f>'01_PANEL_CONTROL'!$C$35</f>
        <v>1.2E-2</v>
      </c>
      <c r="D15" s="61">
        <v>1.2500000000000001E-2</v>
      </c>
      <c r="E15" s="40">
        <f t="shared" ref="E15:E24" si="0">C15-D15</f>
        <v>-5.0000000000000044E-4</v>
      </c>
      <c r="F15" s="59" t="s">
        <v>44</v>
      </c>
      <c r="G15" s="55" t="s">
        <v>212</v>
      </c>
      <c r="H15" s="32" t="s">
        <v>213</v>
      </c>
    </row>
    <row r="16" spans="1:8" ht="15" customHeight="1" x14ac:dyDescent="0.2">
      <c r="B16" s="27" t="s">
        <v>214</v>
      </c>
      <c r="C16" s="60">
        <f>'01_PANEL_CONTROL'!$C$36</f>
        <v>2E-3</v>
      </c>
      <c r="D16" s="61">
        <v>2E-3</v>
      </c>
      <c r="E16" s="40">
        <f t="shared" si="0"/>
        <v>0</v>
      </c>
      <c r="F16" s="54" t="s">
        <v>193</v>
      </c>
      <c r="G16" s="55" t="s">
        <v>215</v>
      </c>
      <c r="H16" s="32" t="s">
        <v>216</v>
      </c>
    </row>
    <row r="17" spans="1:8" ht="15" customHeight="1" x14ac:dyDescent="0.2">
      <c r="B17" s="27" t="s">
        <v>217</v>
      </c>
      <c r="C17" s="52">
        <f>'01_PANEL_CONTROL'!$C$37</f>
        <v>21600</v>
      </c>
      <c r="D17" s="53">
        <v>21600</v>
      </c>
      <c r="E17" s="42">
        <f t="shared" si="0"/>
        <v>0</v>
      </c>
      <c r="F17" s="54" t="s">
        <v>193</v>
      </c>
      <c r="G17" s="55" t="s">
        <v>218</v>
      </c>
      <c r="H17" s="32" t="s">
        <v>219</v>
      </c>
    </row>
    <row r="18" spans="1:8" ht="15" customHeight="1" x14ac:dyDescent="0.2">
      <c r="B18" s="27" t="s">
        <v>220</v>
      </c>
      <c r="C18" s="60">
        <f>'01_PANEL_CONTROL'!$C$66</f>
        <v>1.2500000000000001E-2</v>
      </c>
      <c r="D18" s="61">
        <v>0.01</v>
      </c>
      <c r="E18" s="40">
        <f t="shared" si="0"/>
        <v>2.5000000000000005E-3</v>
      </c>
      <c r="F18" s="62" t="s">
        <v>201</v>
      </c>
      <c r="G18" s="55" t="s">
        <v>221</v>
      </c>
      <c r="H18" s="32" t="s">
        <v>222</v>
      </c>
    </row>
    <row r="19" spans="1:8" ht="15" customHeight="1" x14ac:dyDescent="0.2">
      <c r="B19" s="27" t="s">
        <v>223</v>
      </c>
      <c r="C19" s="60">
        <f>'01_PANEL_CONTROL'!$C$67</f>
        <v>0.01</v>
      </c>
      <c r="D19" s="61">
        <v>7.0000000000000001E-3</v>
      </c>
      <c r="E19" s="40">
        <f t="shared" si="0"/>
        <v>3.0000000000000001E-3</v>
      </c>
      <c r="F19" s="62" t="s">
        <v>201</v>
      </c>
      <c r="G19" s="55" t="s">
        <v>221</v>
      </c>
      <c r="H19" s="32" t="s">
        <v>224</v>
      </c>
    </row>
    <row r="20" spans="1:8" ht="15" customHeight="1" x14ac:dyDescent="0.2">
      <c r="B20" s="27" t="s">
        <v>225</v>
      </c>
      <c r="C20" s="60">
        <f>'01_PANEL_CONTROL'!$C$43</f>
        <v>0.1</v>
      </c>
      <c r="D20" s="61">
        <v>0</v>
      </c>
      <c r="E20" s="40">
        <f t="shared" si="0"/>
        <v>0.1</v>
      </c>
      <c r="F20" s="62" t="s">
        <v>201</v>
      </c>
      <c r="G20" s="55" t="s">
        <v>226</v>
      </c>
      <c r="H20" s="32" t="s">
        <v>227</v>
      </c>
    </row>
    <row r="21" spans="1:8" ht="15" customHeight="1" x14ac:dyDescent="0.2">
      <c r="B21" s="27" t="s">
        <v>47</v>
      </c>
      <c r="C21" s="60">
        <f>'01_PANEL_CONTROL'!$C$44</f>
        <v>0.06</v>
      </c>
      <c r="D21" s="61">
        <v>0</v>
      </c>
      <c r="E21" s="40">
        <f t="shared" si="0"/>
        <v>0.06</v>
      </c>
      <c r="F21" s="59" t="s">
        <v>44</v>
      </c>
      <c r="G21" s="55" t="s">
        <v>226</v>
      </c>
      <c r="H21" s="32" t="s">
        <v>228</v>
      </c>
    </row>
    <row r="22" spans="1:8" ht="15" customHeight="1" x14ac:dyDescent="0.2">
      <c r="B22" s="27" t="s">
        <v>229</v>
      </c>
      <c r="C22" s="60">
        <f>'01_PANEL_CONTROL'!$C$42</f>
        <v>5.3999999999999999E-2</v>
      </c>
      <c r="D22" s="61">
        <v>5.3999999999999999E-2</v>
      </c>
      <c r="E22" s="40">
        <f t="shared" si="0"/>
        <v>0</v>
      </c>
      <c r="F22" s="54" t="s">
        <v>193</v>
      </c>
      <c r="G22" s="55" t="s">
        <v>230</v>
      </c>
      <c r="H22" s="32" t="s">
        <v>231</v>
      </c>
    </row>
    <row r="23" spans="1:8" ht="15" customHeight="1" x14ac:dyDescent="0.2">
      <c r="B23" s="27" t="s">
        <v>232</v>
      </c>
      <c r="C23" s="60">
        <f>'01_PANEL_CONTROL'!$C$39</f>
        <v>1.4999999999999999E-2</v>
      </c>
      <c r="D23" s="61">
        <v>5.0000000000000001E-3</v>
      </c>
      <c r="E23" s="40">
        <f t="shared" si="0"/>
        <v>9.9999999999999985E-3</v>
      </c>
      <c r="F23" s="62" t="s">
        <v>201</v>
      </c>
      <c r="G23" s="55" t="s">
        <v>233</v>
      </c>
      <c r="H23" s="32" t="s">
        <v>234</v>
      </c>
    </row>
    <row r="24" spans="1:8" ht="15" customHeight="1" x14ac:dyDescent="0.2">
      <c r="B24" s="27" t="s">
        <v>235</v>
      </c>
      <c r="C24" s="60">
        <f>'01_PANEL_CONTROL'!$C$40</f>
        <v>2.5000000000000001E-3</v>
      </c>
      <c r="D24" s="61">
        <v>2.5000000000000001E-3</v>
      </c>
      <c r="E24" s="40">
        <f t="shared" si="0"/>
        <v>0</v>
      </c>
      <c r="F24" s="54" t="s">
        <v>193</v>
      </c>
      <c r="G24" s="55" t="s">
        <v>194</v>
      </c>
      <c r="H24" s="32" t="s">
        <v>236</v>
      </c>
    </row>
    <row r="26" spans="1:8" ht="21.75" customHeight="1" x14ac:dyDescent="0.2">
      <c r="A26" s="10" t="s">
        <v>237</v>
      </c>
      <c r="B26" s="10"/>
      <c r="C26" s="10"/>
      <c r="D26" s="10"/>
      <c r="E26" s="10"/>
      <c r="F26" s="10"/>
      <c r="G26" s="10"/>
      <c r="H26" s="10"/>
    </row>
    <row r="27" spans="1:8" ht="15" customHeight="1" x14ac:dyDescent="0.2">
      <c r="B27" s="27" t="s">
        <v>238</v>
      </c>
      <c r="C27" s="60">
        <f>'01_PANEL_CONTROL'!$C$28</f>
        <v>0.05</v>
      </c>
      <c r="D27" s="61">
        <v>0.05</v>
      </c>
      <c r="E27" s="40">
        <f>C27-D27</f>
        <v>0</v>
      </c>
      <c r="F27" s="54" t="s">
        <v>193</v>
      </c>
      <c r="G27" s="55" t="s">
        <v>196</v>
      </c>
      <c r="H27" s="32" t="s">
        <v>239</v>
      </c>
    </row>
    <row r="28" spans="1:8" ht="15" customHeight="1" x14ac:dyDescent="0.2">
      <c r="B28" s="27" t="s">
        <v>240</v>
      </c>
      <c r="C28" s="60">
        <f>'01_PANEL_CONTROL'!$C$29</f>
        <v>0.21</v>
      </c>
      <c r="D28" s="61">
        <v>0.21</v>
      </c>
      <c r="E28" s="40">
        <f>C28-D28</f>
        <v>0</v>
      </c>
      <c r="F28" s="54" t="s">
        <v>193</v>
      </c>
      <c r="G28" s="55" t="s">
        <v>194</v>
      </c>
      <c r="H28" s="32" t="s">
        <v>241</v>
      </c>
    </row>
    <row r="30" spans="1:8" ht="21.75" customHeight="1" x14ac:dyDescent="0.2">
      <c r="A30" s="10" t="s">
        <v>242</v>
      </c>
      <c r="B30" s="10"/>
      <c r="C30" s="10"/>
      <c r="D30" s="10"/>
      <c r="E30" s="10"/>
      <c r="F30" s="10"/>
      <c r="G30" s="10"/>
      <c r="H30" s="10"/>
    </row>
    <row r="31" spans="1:8" ht="15" customHeight="1" x14ac:dyDescent="0.2">
      <c r="B31" s="27" t="s">
        <v>243</v>
      </c>
      <c r="C31" s="56">
        <f>'01_PANEL_CONTROL'!$C$74</f>
        <v>3</v>
      </c>
      <c r="D31" s="57">
        <v>3</v>
      </c>
      <c r="E31" s="58">
        <f>C31-D31</f>
        <v>0</v>
      </c>
      <c r="F31" s="62" t="s">
        <v>201</v>
      </c>
      <c r="G31" s="55" t="s">
        <v>244</v>
      </c>
      <c r="H31" s="32" t="s">
        <v>245</v>
      </c>
    </row>
    <row r="32" spans="1:8" ht="15" customHeight="1" x14ac:dyDescent="0.2">
      <c r="B32" s="27" t="s">
        <v>246</v>
      </c>
      <c r="C32" s="63" t="s">
        <v>247</v>
      </c>
      <c r="D32" s="64" t="s">
        <v>248</v>
      </c>
      <c r="E32" s="55" t="s">
        <v>194</v>
      </c>
      <c r="F32" s="59" t="s">
        <v>44</v>
      </c>
      <c r="G32" s="55" t="s">
        <v>244</v>
      </c>
      <c r="H32" s="32" t="s">
        <v>249</v>
      </c>
    </row>
    <row r="33" spans="1:8" ht="15" customHeight="1" x14ac:dyDescent="0.2">
      <c r="B33" s="27" t="s">
        <v>250</v>
      </c>
      <c r="C33" s="60">
        <f>'01_PANEL_CONTROL'!$C$69</f>
        <v>0</v>
      </c>
      <c r="D33" s="61">
        <v>0.05</v>
      </c>
      <c r="E33" s="40">
        <f>C33-D33</f>
        <v>-0.05</v>
      </c>
      <c r="F33" s="59" t="s">
        <v>44</v>
      </c>
      <c r="G33" s="55" t="s">
        <v>251</v>
      </c>
      <c r="H33" s="32" t="s">
        <v>252</v>
      </c>
    </row>
    <row r="34" spans="1:8" ht="15" customHeight="1" x14ac:dyDescent="0.2">
      <c r="B34" s="27" t="s">
        <v>253</v>
      </c>
      <c r="C34" s="60">
        <v>0</v>
      </c>
      <c r="D34" s="61">
        <v>0</v>
      </c>
      <c r="E34" s="55" t="s">
        <v>194</v>
      </c>
      <c r="F34" s="54" t="s">
        <v>193</v>
      </c>
      <c r="G34" s="55" t="s">
        <v>251</v>
      </c>
      <c r="H34" s="32" t="s">
        <v>254</v>
      </c>
    </row>
    <row r="36" spans="1:8" ht="21.75" customHeight="1" x14ac:dyDescent="0.2">
      <c r="A36" s="10" t="s">
        <v>255</v>
      </c>
      <c r="B36" s="10"/>
      <c r="C36" s="10"/>
      <c r="D36" s="10"/>
      <c r="E36" s="10"/>
      <c r="F36" s="10"/>
      <c r="G36" s="10"/>
      <c r="H36" s="10"/>
    </row>
    <row r="37" spans="1:8" ht="15" customHeight="1" x14ac:dyDescent="0.2">
      <c r="B37" s="27" t="s">
        <v>256</v>
      </c>
      <c r="C37" s="67">
        <f>'01_PANEL_CONTROL'!$C$72</f>
        <v>1</v>
      </c>
      <c r="D37" s="68">
        <v>1</v>
      </c>
      <c r="E37" s="69">
        <f>C37-D37</f>
        <v>0</v>
      </c>
      <c r="F37" s="54" t="s">
        <v>193</v>
      </c>
      <c r="G37" s="55" t="s">
        <v>257</v>
      </c>
      <c r="H37" s="32" t="s">
        <v>258</v>
      </c>
    </row>
    <row r="38" spans="1:8" ht="15" customHeight="1" x14ac:dyDescent="0.2">
      <c r="B38" s="27" t="s">
        <v>259</v>
      </c>
      <c r="C38" s="60">
        <f>'01_PANEL_CONTROL'!$C$73</f>
        <v>0.5</v>
      </c>
      <c r="D38" s="61">
        <v>0</v>
      </c>
      <c r="E38" s="40">
        <f>C38-D38</f>
        <v>0.5</v>
      </c>
      <c r="F38" s="54" t="s">
        <v>193</v>
      </c>
      <c r="G38" s="55" t="s">
        <v>194</v>
      </c>
      <c r="H38" s="32" t="s">
        <v>260</v>
      </c>
    </row>
    <row r="39" spans="1:8" ht="15" customHeight="1" x14ac:dyDescent="0.2">
      <c r="B39" s="27" t="s">
        <v>172</v>
      </c>
      <c r="C39" s="56">
        <f>'01_PANEL_CONTROL'!$C$74</f>
        <v>3</v>
      </c>
      <c r="D39" s="57">
        <v>3</v>
      </c>
      <c r="E39" s="58">
        <f>C39-D39</f>
        <v>0</v>
      </c>
      <c r="F39" s="54" t="s">
        <v>193</v>
      </c>
      <c r="G39" s="55" t="s">
        <v>194</v>
      </c>
      <c r="H39" s="32" t="s">
        <v>261</v>
      </c>
    </row>
    <row r="40" spans="1:8" ht="15" customHeight="1" x14ac:dyDescent="0.2">
      <c r="B40" s="27" t="s">
        <v>262</v>
      </c>
      <c r="C40" s="60">
        <f>'01_PANEL_CONTROL'!$C$76</f>
        <v>0.09</v>
      </c>
      <c r="D40" s="61">
        <v>0.09</v>
      </c>
      <c r="E40" s="40">
        <f>C40-D40</f>
        <v>0</v>
      </c>
      <c r="F40" s="54" t="s">
        <v>193</v>
      </c>
      <c r="G40" s="55" t="s">
        <v>194</v>
      </c>
      <c r="H40" s="32" t="s">
        <v>263</v>
      </c>
    </row>
    <row r="42" spans="1:8" ht="21.75" customHeight="1" x14ac:dyDescent="0.2">
      <c r="A42" s="10" t="s">
        <v>264</v>
      </c>
      <c r="B42" s="10"/>
      <c r="C42" s="10"/>
      <c r="D42" s="10"/>
      <c r="E42" s="10"/>
      <c r="F42" s="10"/>
      <c r="G42" s="10"/>
      <c r="H42" s="10"/>
    </row>
    <row r="43" spans="1:8" ht="15" customHeight="1" x14ac:dyDescent="0.2">
      <c r="B43" s="27" t="s">
        <v>265</v>
      </c>
      <c r="C43" s="60">
        <f>'01_PANEL_CONTROL'!$C$68</f>
        <v>5.0000000000000001E-3</v>
      </c>
      <c r="D43" s="61" t="s">
        <v>53</v>
      </c>
      <c r="E43" s="55" t="s">
        <v>194</v>
      </c>
      <c r="F43" s="59" t="s">
        <v>44</v>
      </c>
      <c r="G43" s="55" t="s">
        <v>194</v>
      </c>
      <c r="H43" s="32" t="s">
        <v>266</v>
      </c>
    </row>
    <row r="44" spans="1:8" ht="15" customHeight="1" x14ac:dyDescent="0.2">
      <c r="B44" s="27" t="s">
        <v>267</v>
      </c>
      <c r="C44" s="63" t="s">
        <v>268</v>
      </c>
      <c r="D44" s="64" t="s">
        <v>269</v>
      </c>
      <c r="E44" s="55" t="s">
        <v>194</v>
      </c>
      <c r="F44" s="54" t="s">
        <v>193</v>
      </c>
      <c r="G44" s="55" t="s">
        <v>230</v>
      </c>
      <c r="H44" s="32" t="s">
        <v>270</v>
      </c>
    </row>
    <row r="47" spans="1:8" ht="21.75" customHeight="1" x14ac:dyDescent="0.2">
      <c r="A47" s="10" t="s">
        <v>271</v>
      </c>
      <c r="B47" s="10"/>
      <c r="C47" s="10"/>
      <c r="D47" s="10"/>
      <c r="E47" s="10"/>
      <c r="F47" s="10"/>
      <c r="G47" s="10"/>
      <c r="H47" s="10"/>
    </row>
    <row r="48" spans="1:8" ht="15" customHeight="1" x14ac:dyDescent="0.2">
      <c r="B48" s="26" t="s">
        <v>272</v>
      </c>
      <c r="C48" s="29" t="s">
        <v>273</v>
      </c>
      <c r="D48" s="70" t="s">
        <v>274</v>
      </c>
      <c r="E48" s="28" t="s">
        <v>275</v>
      </c>
    </row>
    <row r="49" spans="2:8" ht="15" customHeight="1" x14ac:dyDescent="0.2">
      <c r="B49" s="27" t="s">
        <v>276</v>
      </c>
      <c r="C49" s="59">
        <v>2</v>
      </c>
      <c r="D49" s="62">
        <v>1</v>
      </c>
      <c r="E49" s="54">
        <v>4</v>
      </c>
    </row>
    <row r="50" spans="2:8" ht="15" customHeight="1" x14ac:dyDescent="0.2">
      <c r="B50" s="27" t="s">
        <v>277</v>
      </c>
      <c r="C50" s="59">
        <v>2</v>
      </c>
      <c r="D50" s="62">
        <v>4</v>
      </c>
      <c r="E50" s="54">
        <v>4</v>
      </c>
    </row>
    <row r="51" spans="2:8" ht="15" customHeight="1" x14ac:dyDescent="0.2">
      <c r="B51" s="27" t="s">
        <v>278</v>
      </c>
      <c r="C51" s="59">
        <v>0</v>
      </c>
      <c r="D51" s="62">
        <v>0</v>
      </c>
      <c r="E51" s="54">
        <v>2</v>
      </c>
    </row>
    <row r="52" spans="2:8" ht="15" customHeight="1" x14ac:dyDescent="0.2">
      <c r="B52" s="27" t="s">
        <v>279</v>
      </c>
      <c r="C52" s="59">
        <v>2</v>
      </c>
      <c r="D52" s="62">
        <v>1</v>
      </c>
      <c r="E52" s="54">
        <v>1</v>
      </c>
    </row>
    <row r="53" spans="2:8" ht="15" customHeight="1" x14ac:dyDescent="0.2">
      <c r="B53" s="27" t="s">
        <v>280</v>
      </c>
      <c r="C53" s="59">
        <v>0</v>
      </c>
      <c r="D53" s="62">
        <v>0</v>
      </c>
      <c r="E53" s="54">
        <v>4</v>
      </c>
    </row>
    <row r="54" spans="2:8" ht="15" customHeight="1" x14ac:dyDescent="0.2">
      <c r="B54" s="27" t="s">
        <v>281</v>
      </c>
      <c r="C54" s="59">
        <v>1</v>
      </c>
      <c r="D54" s="62">
        <v>0</v>
      </c>
      <c r="E54" s="54">
        <v>1</v>
      </c>
    </row>
    <row r="55" spans="2:8" ht="15" customHeight="1" x14ac:dyDescent="0.2">
      <c r="B55" s="48" t="s">
        <v>99</v>
      </c>
      <c r="C55" s="49">
        <f>SUM(C49:C54)</f>
        <v>7</v>
      </c>
      <c r="D55" s="50">
        <f>SUM(D49:D54)</f>
        <v>6</v>
      </c>
      <c r="E55" s="71">
        <f>SUM(E49:E54)</f>
        <v>16</v>
      </c>
    </row>
    <row r="57" spans="2:8" ht="30" customHeight="1" x14ac:dyDescent="0.2">
      <c r="B57" s="4" t="s">
        <v>282</v>
      </c>
      <c r="C57" s="4"/>
      <c r="D57" s="4"/>
      <c r="E57" s="4"/>
      <c r="F57" s="4"/>
      <c r="G57" s="4"/>
      <c r="H57" s="4"/>
    </row>
  </sheetData>
  <mergeCells count="10">
    <mergeCell ref="A30:H30"/>
    <mergeCell ref="A36:H36"/>
    <mergeCell ref="A42:H42"/>
    <mergeCell ref="A47:H47"/>
    <mergeCell ref="B57:H57"/>
    <mergeCell ref="A1:H1"/>
    <mergeCell ref="A2:H2"/>
    <mergeCell ref="A5:H5"/>
    <mergeCell ref="A14:H14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4"/>
  <sheetViews>
    <sheetView showGridLines="0" zoomScaleNormal="100" workbookViewId="0">
      <pane xSplit="2" ySplit="4" topLeftCell="C18" activePane="bottomRight" state="frozen"/>
      <selection pane="topRight"/>
      <selection pane="bottomLeft"/>
      <selection pane="bottomRight" activeCell="C25" sqref="C25"/>
    </sheetView>
  </sheetViews>
  <sheetFormatPr baseColWidth="10" defaultColWidth="8.6640625" defaultRowHeight="15" x14ac:dyDescent="0.2"/>
  <cols>
    <col min="1" max="1" width="4" customWidth="1"/>
    <col min="2" max="2" width="52" customWidth="1"/>
    <col min="3" max="8" width="16" customWidth="1"/>
    <col min="9" max="9" width="64.83203125" customWidth="1"/>
    <col min="12" max="12" width="10.1640625" bestFit="1" customWidth="1"/>
  </cols>
  <sheetData>
    <row r="1" spans="1:9" ht="37.5" customHeight="1" x14ac:dyDescent="0.2">
      <c r="A1" s="12" t="s">
        <v>283</v>
      </c>
      <c r="B1" s="12"/>
      <c r="C1" s="12"/>
      <c r="D1" s="12"/>
      <c r="E1" s="12"/>
      <c r="F1" s="12"/>
      <c r="G1" s="12"/>
      <c r="H1" s="12"/>
      <c r="I1" s="12"/>
    </row>
    <row r="2" spans="1:9" ht="19.5" customHeight="1" x14ac:dyDescent="0.2">
      <c r="A2" s="11" t="s">
        <v>284</v>
      </c>
      <c r="B2" s="11"/>
      <c r="C2" s="11"/>
      <c r="D2" s="11"/>
      <c r="E2" s="11"/>
      <c r="F2" s="11"/>
      <c r="G2" s="11"/>
      <c r="H2" s="11"/>
      <c r="I2" s="11"/>
    </row>
    <row r="4" spans="1:9" ht="21.75" customHeight="1" x14ac:dyDescent="0.2">
      <c r="B4" s="48" t="s">
        <v>285</v>
      </c>
      <c r="C4" s="51" t="s">
        <v>286</v>
      </c>
      <c r="D4" s="51" t="s">
        <v>287</v>
      </c>
      <c r="E4" s="51" t="s">
        <v>288</v>
      </c>
      <c r="F4" s="51" t="s">
        <v>289</v>
      </c>
      <c r="G4" s="51" t="s">
        <v>290</v>
      </c>
      <c r="H4" s="49" t="s">
        <v>291</v>
      </c>
      <c r="I4" s="48" t="s">
        <v>292</v>
      </c>
    </row>
    <row r="5" spans="1:9" ht="15" customHeight="1" x14ac:dyDescent="0.2">
      <c r="B5" s="26" t="s">
        <v>293</v>
      </c>
      <c r="C5" s="72">
        <f>'01_PANEL_CONTROL'!$C$8+0</f>
        <v>2026</v>
      </c>
      <c r="D5" s="72">
        <f>'01_PANEL_CONTROL'!$C$8+1</f>
        <v>2027</v>
      </c>
      <c r="E5" s="72">
        <f>'01_PANEL_CONTROL'!$C$8+2</f>
        <v>2028</v>
      </c>
      <c r="F5" s="72">
        <f>'01_PANEL_CONTROL'!$C$8+3</f>
        <v>2029</v>
      </c>
      <c r="G5" s="72">
        <f>'01_PANEL_CONTROL'!$C$8+4</f>
        <v>2030</v>
      </c>
      <c r="H5" s="28" t="s">
        <v>99</v>
      </c>
      <c r="I5" s="32" t="s">
        <v>294</v>
      </c>
    </row>
    <row r="7" spans="1:9" ht="21.75" customHeight="1" x14ac:dyDescent="0.2">
      <c r="A7" s="10" t="s">
        <v>295</v>
      </c>
      <c r="B7" s="10"/>
      <c r="C7" s="10"/>
      <c r="D7" s="10"/>
      <c r="E7" s="10"/>
      <c r="F7" s="10"/>
      <c r="G7" s="10"/>
      <c r="H7" s="10"/>
      <c r="I7" s="10"/>
    </row>
    <row r="8" spans="1:9" ht="18.75" customHeight="1" x14ac:dyDescent="0.2">
      <c r="B8" s="73" t="s">
        <v>296</v>
      </c>
      <c r="C8" s="74">
        <f>'01_PANEL_CONTROL'!$C$6+'01_PANEL_CONTROL'!C$59</f>
        <v>3000000</v>
      </c>
      <c r="D8" s="74">
        <f>'01_PANEL_CONTROL'!D$59</f>
        <v>0</v>
      </c>
      <c r="E8" s="74">
        <f>'01_PANEL_CONTROL'!E$59</f>
        <v>0</v>
      </c>
      <c r="F8" s="74">
        <f>'01_PANEL_CONTROL'!F$59</f>
        <v>0</v>
      </c>
      <c r="G8" s="74">
        <f>'01_PANEL_CONTROL'!G$59</f>
        <v>0</v>
      </c>
      <c r="H8" s="44">
        <f>SUM(C8:G8)</f>
        <v>3000000</v>
      </c>
      <c r="I8" s="32" t="s">
        <v>297</v>
      </c>
    </row>
    <row r="9" spans="1:9" ht="15" customHeight="1" x14ac:dyDescent="0.2">
      <c r="B9" s="27" t="s">
        <v>298</v>
      </c>
      <c r="C9" s="42">
        <f>-C8*'01_PANEL_CONTROL'!$C$39</f>
        <v>-45000</v>
      </c>
      <c r="D9" s="42">
        <f>-D8*'01_PANEL_CONTROL'!$C$39</f>
        <v>0</v>
      </c>
      <c r="E9" s="42">
        <f>-E8*'01_PANEL_CONTROL'!$C$39</f>
        <v>0</v>
      </c>
      <c r="F9" s="42">
        <f>-F8*'01_PANEL_CONTROL'!$C$39</f>
        <v>0</v>
      </c>
      <c r="G9" s="42">
        <f>-G8*'01_PANEL_CONTROL'!$C$39</f>
        <v>0</v>
      </c>
      <c r="H9" s="44">
        <f>SUM(C9:G9)</f>
        <v>-45000</v>
      </c>
      <c r="I9" s="32" t="s">
        <v>299</v>
      </c>
    </row>
    <row r="10" spans="1:9" ht="15" customHeight="1" x14ac:dyDescent="0.2">
      <c r="B10" s="27" t="s">
        <v>300</v>
      </c>
      <c r="C10" s="42">
        <f>-C8*'01_PANEL_CONTROL'!$C$40</f>
        <v>-7500</v>
      </c>
      <c r="D10" s="42">
        <f>-D8*'01_PANEL_CONTROL'!$C$40</f>
        <v>0</v>
      </c>
      <c r="E10" s="42">
        <f>-E8*'01_PANEL_CONTROL'!$C$40</f>
        <v>0</v>
      </c>
      <c r="F10" s="42">
        <f>-F8*'01_PANEL_CONTROL'!$C$40</f>
        <v>0</v>
      </c>
      <c r="G10" s="42">
        <f>-G8*'01_PANEL_CONTROL'!$C$40</f>
        <v>0</v>
      </c>
      <c r="H10" s="44">
        <f>SUM(C10:G10)</f>
        <v>-7500</v>
      </c>
      <c r="I10" s="32" t="s">
        <v>301</v>
      </c>
    </row>
    <row r="11" spans="1:9" ht="15" customHeight="1" x14ac:dyDescent="0.2">
      <c r="B11" s="27" t="s">
        <v>302</v>
      </c>
      <c r="C11" s="42">
        <f>-C8*'01_PANEL_CONTROL'!$C$41</f>
        <v>-45000</v>
      </c>
      <c r="D11" s="42">
        <v>0</v>
      </c>
      <c r="E11" s="42">
        <v>0</v>
      </c>
      <c r="F11" s="42">
        <v>0</v>
      </c>
      <c r="G11" s="42">
        <v>0</v>
      </c>
      <c r="H11" s="44">
        <f>SUM(C11:G11)</f>
        <v>-45000</v>
      </c>
      <c r="I11" s="32" t="s">
        <v>303</v>
      </c>
    </row>
    <row r="12" spans="1:9" ht="15" customHeight="1" x14ac:dyDescent="0.2">
      <c r="B12" s="75" t="s">
        <v>304</v>
      </c>
      <c r="C12" s="76">
        <f>C8+C9+C10</f>
        <v>2947500</v>
      </c>
      <c r="D12" s="76">
        <f>D8+D9+D10</f>
        <v>0</v>
      </c>
      <c r="E12" s="76">
        <f>E8+E9+E10</f>
        <v>0</v>
      </c>
      <c r="F12" s="76">
        <f>F8+F9+F10</f>
        <v>0</v>
      </c>
      <c r="G12" s="76">
        <f>G8+G9+G10</f>
        <v>0</v>
      </c>
      <c r="H12" s="77">
        <f>SUM(C12:G12)</f>
        <v>2947500</v>
      </c>
      <c r="I12" s="32" t="s">
        <v>305</v>
      </c>
    </row>
    <row r="14" spans="1:9" ht="21.75" customHeight="1" x14ac:dyDescent="0.2">
      <c r="A14" s="10" t="s">
        <v>306</v>
      </c>
      <c r="B14" s="10"/>
      <c r="C14" s="10"/>
      <c r="D14" s="10"/>
      <c r="E14" s="10"/>
      <c r="F14" s="10"/>
      <c r="G14" s="10"/>
      <c r="H14" s="10"/>
      <c r="I14" s="10"/>
    </row>
    <row r="15" spans="1:9" ht="18.75" customHeight="1" x14ac:dyDescent="0.2">
      <c r="B15" s="27" t="s">
        <v>307</v>
      </c>
      <c r="C15" s="42">
        <f>IF(1&gt;='01_PANEL_CONTROL'!$C$74,'01_PANEL_CONTROL'!$C$6*'01_PANEL_CONTROL'!$C$73,0)</f>
        <v>0</v>
      </c>
      <c r="D15" s="42">
        <f>IF(2&gt;='01_PANEL_CONTROL'!$C$74,'01_PANEL_CONTROL'!$C$6*'01_PANEL_CONTROL'!$C$73,0)</f>
        <v>0</v>
      </c>
      <c r="E15" s="42">
        <f>IF(3&gt;='01_PANEL_CONTROL'!$C$74,'01_PANEL_CONTROL'!$C$6*'01_PANEL_CONTROL'!$C$73,0)</f>
        <v>1500000</v>
      </c>
      <c r="F15" s="42">
        <f>IF(4&gt;='01_PANEL_CONTROL'!$C$74,'01_PANEL_CONTROL'!$C$6*'01_PANEL_CONTROL'!$C$73,0)</f>
        <v>1500000</v>
      </c>
      <c r="G15" s="42">
        <f>IF(5&gt;='01_PANEL_CONTROL'!$C$74,'01_PANEL_CONTROL'!$C$6*'01_PANEL_CONTROL'!$C$73,0)</f>
        <v>1500000</v>
      </c>
      <c r="H15" s="44">
        <f>MAX(C15:G15)</f>
        <v>1500000</v>
      </c>
      <c r="I15" s="32" t="s">
        <v>308</v>
      </c>
    </row>
    <row r="16" spans="1:9" ht="15" customHeight="1" x14ac:dyDescent="0.2">
      <c r="B16" s="26" t="s">
        <v>309</v>
      </c>
      <c r="C16" s="78">
        <f>C12+C15</f>
        <v>2947500</v>
      </c>
      <c r="D16" s="78">
        <f>D12+D15</f>
        <v>0</v>
      </c>
      <c r="E16" s="78">
        <f>E12+E15</f>
        <v>1500000</v>
      </c>
      <c r="F16" s="78">
        <f>F12+F15</f>
        <v>1500000</v>
      </c>
      <c r="G16" s="78">
        <f>G12+G15</f>
        <v>1500000</v>
      </c>
      <c r="H16" s="79" t="s">
        <v>194</v>
      </c>
      <c r="I16" s="32" t="s">
        <v>310</v>
      </c>
    </row>
    <row r="18" spans="1:12" ht="21.75" customHeight="1" x14ac:dyDescent="0.2">
      <c r="A18" s="10" t="s">
        <v>311</v>
      </c>
      <c r="B18" s="10"/>
      <c r="C18" s="10"/>
      <c r="D18" s="10"/>
      <c r="E18" s="10"/>
      <c r="F18" s="10"/>
      <c r="G18" s="10"/>
      <c r="H18" s="10"/>
      <c r="I18" s="10"/>
    </row>
    <row r="19" spans="1:12" ht="15" customHeight="1" x14ac:dyDescent="0.2">
      <c r="B19" s="27" t="s">
        <v>312</v>
      </c>
      <c r="C19" s="42">
        <f>C16</f>
        <v>2947500</v>
      </c>
      <c r="D19" s="80">
        <f>C27+D15-C15</f>
        <v>2947500</v>
      </c>
      <c r="E19" s="80">
        <f>D27+E15-D15</f>
        <v>4573302.8594839778</v>
      </c>
      <c r="F19" s="80">
        <f>E27+F15-E15</f>
        <v>4579999.9459557626</v>
      </c>
      <c r="G19" s="80">
        <f>F27+G15-F15</f>
        <v>4652460.0559241669</v>
      </c>
    </row>
    <row r="20" spans="1:12" ht="15" customHeight="1" x14ac:dyDescent="0.2">
      <c r="B20" s="27" t="s">
        <v>313</v>
      </c>
      <c r="C20" s="42">
        <f>-C19*'01_PANEL_CONTROL'!$C$13</f>
        <v>-1016379.3103448277</v>
      </c>
      <c r="D20" s="42">
        <f>-D19*'01_PANEL_CONTROL'!$C$13</f>
        <v>-1016379.3103448277</v>
      </c>
      <c r="E20" s="42">
        <f>-E19*'01_PANEL_CONTROL'!$C$13</f>
        <v>-1577000.9860289579</v>
      </c>
      <c r="F20" s="42">
        <f>-F19*'01_PANEL_CONTROL'!$C$13</f>
        <v>-1579310.3261916423</v>
      </c>
      <c r="G20" s="42">
        <f>-G19*'01_PANEL_CONTROL'!$C$13</f>
        <v>-1604296.5710083335</v>
      </c>
      <c r="H20" s="44">
        <f t="shared" ref="H20:H26" si="0">SUM(C20:G20)</f>
        <v>-6793366.50391859</v>
      </c>
      <c r="I20" s="32" t="s">
        <v>314</v>
      </c>
    </row>
    <row r="21" spans="1:12" ht="18.75" customHeight="1" x14ac:dyDescent="0.2">
      <c r="B21" s="27" t="s">
        <v>315</v>
      </c>
      <c r="C21" s="42">
        <f>-C19*'01_PANEL_CONTROL'!C$60</f>
        <v>0</v>
      </c>
      <c r="D21" s="42">
        <f>-D19*'01_PANEL_CONTROL'!D$60</f>
        <v>-176850</v>
      </c>
      <c r="E21" s="42">
        <f>-E19*'01_PANEL_CONTROL'!E$60</f>
        <v>-274398.17156903865</v>
      </c>
      <c r="F21" s="42">
        <f>-F19*'01_PANEL_CONTROL'!F$60</f>
        <v>-274799.99675734574</v>
      </c>
      <c r="G21" s="42">
        <f>-G19*'01_PANEL_CONTROL'!G$60</f>
        <v>0</v>
      </c>
      <c r="H21" s="44">
        <f t="shared" si="0"/>
        <v>-726048.16832638439</v>
      </c>
      <c r="I21" s="32" t="s">
        <v>316</v>
      </c>
    </row>
    <row r="22" spans="1:12" ht="15" customHeight="1" x14ac:dyDescent="0.2">
      <c r="B22" s="27" t="s">
        <v>317</v>
      </c>
      <c r="C22" s="74">
        <f>-'01_PANEL_CONTROL'!C$61</f>
        <v>0</v>
      </c>
      <c r="D22" s="74">
        <f>-'01_PANEL_CONTROL'!D$61</f>
        <v>0</v>
      </c>
      <c r="E22" s="74">
        <f>-'01_PANEL_CONTROL'!E$61</f>
        <v>0</v>
      </c>
      <c r="F22" s="74">
        <f>-'01_PANEL_CONTROL'!F$61</f>
        <v>0</v>
      </c>
      <c r="G22" s="74">
        <f>-'01_PANEL_CONTROL'!G$61</f>
        <v>0</v>
      </c>
      <c r="H22" s="44">
        <f t="shared" si="0"/>
        <v>0</v>
      </c>
      <c r="I22" s="32" t="s">
        <v>318</v>
      </c>
    </row>
    <row r="23" spans="1:12" ht="18.75" customHeight="1" x14ac:dyDescent="0.2">
      <c r="B23" s="73" t="s">
        <v>319</v>
      </c>
      <c r="C23" s="42">
        <f>C16</f>
        <v>2947500</v>
      </c>
      <c r="D23" s="42">
        <f>-D20*'01_PANEL_CONTROL'!$C$14+D12+D21+D22</f>
        <v>839529.31034482771</v>
      </c>
      <c r="E23" s="42">
        <f>-E20*'01_PANEL_CONTROL'!$C$14+E12+E21+E22</f>
        <v>1302602.8144599192</v>
      </c>
      <c r="F23" s="42">
        <f>-F20*'01_PANEL_CONTROL'!$C$14+F12+F21+F22</f>
        <v>1304510.3294342966</v>
      </c>
      <c r="G23" s="42">
        <f>-G20*'01_PANEL_CONTROL'!$C$14+G12+G21+G22</f>
        <v>1604296.5710083335</v>
      </c>
      <c r="H23" s="44">
        <f t="shared" si="0"/>
        <v>7998439.0252473783</v>
      </c>
      <c r="I23" s="32" t="s">
        <v>320</v>
      </c>
    </row>
    <row r="24" spans="1:12" ht="18.75" customHeight="1" x14ac:dyDescent="0.2">
      <c r="B24" s="27" t="s">
        <v>321</v>
      </c>
      <c r="C24" s="42">
        <f>MAX(0,C23)*(1+'01_PANEL_CONTROL'!$C$13*'01_PANEL_CONTROL'!$C$14)*'01_PANEL_CONTROL'!C$62*'01_PANEL_CONTROL'!C$63</f>
        <v>3567491.3793103453</v>
      </c>
      <c r="D24" s="42">
        <f>MAX(0,D23)*'01_PANEL_CONTROL'!D$62*'01_PANEL_CONTROL'!D$63</f>
        <v>839529.31034482771</v>
      </c>
      <c r="E24" s="42">
        <f>MAX(0,E23)*'01_PANEL_CONTROL'!E$62*'01_PANEL_CONTROL'!E$63</f>
        <v>1302602.8144599192</v>
      </c>
      <c r="F24" s="42">
        <f>MAX(0,F23)*'01_PANEL_CONTROL'!F$62*'01_PANEL_CONTROL'!F$63</f>
        <v>1304510.3294342966</v>
      </c>
      <c r="G24" s="42">
        <f>MAX(0,G23)*'01_PANEL_CONTROL'!G$62*'01_PANEL_CONTROL'!G$63</f>
        <v>0</v>
      </c>
      <c r="H24" s="44">
        <f t="shared" si="0"/>
        <v>7014133.8335493878</v>
      </c>
      <c r="I24" s="32" t="s">
        <v>322</v>
      </c>
    </row>
    <row r="25" spans="1:12" ht="18.75" customHeight="1" x14ac:dyDescent="0.2">
      <c r="B25" s="27" t="s">
        <v>323</v>
      </c>
      <c r="C25" s="81">
        <f>IFERROR(C24/'01_PANEL_CONTROL'!$C$9,0)</f>
        <v>101.92832512315272</v>
      </c>
      <c r="D25" s="81">
        <f>IFERROR(D24/'01_PANEL_CONTROL'!$C$9,0)</f>
        <v>23.986551724137936</v>
      </c>
      <c r="E25" s="81">
        <f>IFERROR(E24/'01_PANEL_CONTROL'!$C$9,0)</f>
        <v>37.217223270283405</v>
      </c>
      <c r="F25" s="81">
        <f>IFERROR(F24/'01_PANEL_CONTROL'!$C$9,0)</f>
        <v>37.271723698122763</v>
      </c>
      <c r="G25" s="81">
        <f>IFERROR(G24/'01_PANEL_CONTROL'!$C$9,0)</f>
        <v>0</v>
      </c>
      <c r="H25" s="82">
        <f t="shared" si="0"/>
        <v>200.40382381569682</v>
      </c>
      <c r="I25" s="32" t="s">
        <v>324</v>
      </c>
      <c r="L25" s="80"/>
    </row>
    <row r="26" spans="1:12" ht="18.75" customHeight="1" x14ac:dyDescent="0.2">
      <c r="B26" s="27" t="s">
        <v>325</v>
      </c>
      <c r="C26" s="42">
        <f>C25*'01_PANEL_CONTROL'!$C$30</f>
        <v>3363971.1261766572</v>
      </c>
      <c r="D26" s="42">
        <f>D25*'01_PANEL_CONTROL'!$C$30</f>
        <v>791635.37043359526</v>
      </c>
      <c r="E26" s="42">
        <f>E25*'01_PANEL_CONTROL'!$C$30</f>
        <v>1228291.1970390563</v>
      </c>
      <c r="F26" s="42">
        <f>F25*'01_PANEL_CONTROL'!$C$30</f>
        <v>1230089.8910271539</v>
      </c>
      <c r="G26" s="42">
        <f>G25*'01_PANEL_CONTROL'!$C$30</f>
        <v>0</v>
      </c>
      <c r="H26" s="44">
        <f t="shared" si="0"/>
        <v>6613987.5846764632</v>
      </c>
      <c r="I26" s="32" t="s">
        <v>326</v>
      </c>
    </row>
    <row r="27" spans="1:12" ht="18.75" customHeight="1" x14ac:dyDescent="0.2">
      <c r="B27" s="75" t="s">
        <v>327</v>
      </c>
      <c r="C27" s="76">
        <f>C19+C21+C22+IF('01_PANEL_CONTROL'!C$62=0,C20,0)</f>
        <v>2947500</v>
      </c>
      <c r="D27" s="76">
        <f>D19+D12+D21+D22+C56+IF('01_PANEL_CONTROL'!D$62=0,D20,0)</f>
        <v>3073302.8594839778</v>
      </c>
      <c r="E27" s="76">
        <f>E19+E12+E21+E22+D56+IF('01_PANEL_CONTROL'!E$62=0,E20,0)</f>
        <v>4579999.9459557626</v>
      </c>
      <c r="F27" s="76">
        <f>F19+F12+F21+F22+E56+IF('01_PANEL_CONTROL'!F$62=0,F20,0)</f>
        <v>4652460.0559241669</v>
      </c>
      <c r="G27" s="76">
        <f>G19+G12+G21+G22+F56+IF('01_PANEL_CONTROL'!G$62=0,G20,0)</f>
        <v>3400298.1772585637</v>
      </c>
      <c r="H27" s="83" t="s">
        <v>194</v>
      </c>
      <c r="I27" s="32" t="s">
        <v>328</v>
      </c>
    </row>
    <row r="29" spans="1:12" ht="21.75" customHeight="1" x14ac:dyDescent="0.2">
      <c r="A29" s="10" t="s">
        <v>329</v>
      </c>
      <c r="B29" s="10"/>
      <c r="C29" s="10"/>
      <c r="D29" s="10"/>
      <c r="E29" s="10"/>
      <c r="F29" s="10"/>
      <c r="G29" s="10"/>
      <c r="H29" s="10"/>
      <c r="I29" s="10"/>
    </row>
    <row r="30" spans="1:12" ht="18.75" customHeight="1" x14ac:dyDescent="0.2">
      <c r="B30" s="27" t="s">
        <v>330</v>
      </c>
      <c r="C30" s="42">
        <f>((C19+C27)/2)*'01_PANEL_CONTROL'!$C$16*'01_PANEL_CONTROL'!C$63</f>
        <v>328941</v>
      </c>
      <c r="D30" s="42">
        <f>((D19+D27)/2)*'01_PANEL_CONTROL'!$C$16*'01_PANEL_CONTROL'!D$63</f>
        <v>373289.77728800662</v>
      </c>
      <c r="E30" s="42">
        <f>((E19+E27)/2)*'01_PANEL_CONTROL'!$C$16*'01_PANEL_CONTROL'!E$63</f>
        <v>567504.77393726388</v>
      </c>
      <c r="F30" s="42">
        <f>((F19+F27)/2)*'01_PANEL_CONTROL'!$C$16*'01_PANEL_CONTROL'!F$63</f>
        <v>572412.52011655574</v>
      </c>
      <c r="G30" s="42">
        <f>((G19+G27)/2)*'01_PANEL_CONTROL'!$C$16*'01_PANEL_CONTROL'!G$63</f>
        <v>499271.01045732928</v>
      </c>
      <c r="H30" s="44">
        <f>SUM(C30:G30)</f>
        <v>2341419.0817991556</v>
      </c>
      <c r="I30" s="32" t="s">
        <v>331</v>
      </c>
    </row>
    <row r="31" spans="1:12" ht="18.75" customHeight="1" x14ac:dyDescent="0.2">
      <c r="B31" s="27" t="s">
        <v>332</v>
      </c>
      <c r="C31" s="42">
        <f>C26*'01_PANEL_CONTROL'!$C$28</f>
        <v>168198.55630883286</v>
      </c>
      <c r="D31" s="42">
        <f>D26*'01_PANEL_CONTROL'!$C$28</f>
        <v>39581.768521679769</v>
      </c>
      <c r="E31" s="42">
        <f>E26*'01_PANEL_CONTROL'!$C$28</f>
        <v>61414.559851952821</v>
      </c>
      <c r="F31" s="42">
        <f>F26*'01_PANEL_CONTROL'!$C$28</f>
        <v>61504.494551357697</v>
      </c>
      <c r="G31" s="42">
        <f>G26*'01_PANEL_CONTROL'!$C$28</f>
        <v>0</v>
      </c>
      <c r="H31" s="44">
        <f>SUM(C31:G31)</f>
        <v>330699.37923382316</v>
      </c>
      <c r="I31" s="32" t="s">
        <v>333</v>
      </c>
    </row>
    <row r="32" spans="1:12" ht="15" customHeight="1" x14ac:dyDescent="0.2">
      <c r="B32" s="84" t="s">
        <v>334</v>
      </c>
      <c r="C32" s="85">
        <f>C30+C31</f>
        <v>497139.55630883283</v>
      </c>
      <c r="D32" s="85">
        <f>D30+D31</f>
        <v>412871.54580968642</v>
      </c>
      <c r="E32" s="85">
        <f>E30+E31</f>
        <v>628919.3337892167</v>
      </c>
      <c r="F32" s="85">
        <f>F30+F31</f>
        <v>633917.01466791343</v>
      </c>
      <c r="G32" s="85">
        <f>G30+G31</f>
        <v>499271.01045732928</v>
      </c>
      <c r="H32" s="77">
        <f>SUM(C32:G32)</f>
        <v>2672118.4610329787</v>
      </c>
      <c r="I32" s="32" t="s">
        <v>335</v>
      </c>
    </row>
    <row r="34" spans="1:9" ht="21.75" customHeight="1" x14ac:dyDescent="0.2">
      <c r="A34" s="10" t="s">
        <v>336</v>
      </c>
      <c r="B34" s="10"/>
      <c r="C34" s="10"/>
      <c r="D34" s="10"/>
      <c r="E34" s="10"/>
      <c r="F34" s="10"/>
      <c r="G34" s="10"/>
      <c r="H34" s="10"/>
      <c r="I34" s="10"/>
    </row>
    <row r="35" spans="1:9" ht="15" customHeight="1" x14ac:dyDescent="0.2">
      <c r="B35" s="26" t="s">
        <v>337</v>
      </c>
      <c r="C35" s="78">
        <f>C19</f>
        <v>2947500</v>
      </c>
      <c r="D35" s="78">
        <f>D19</f>
        <v>2947500</v>
      </c>
      <c r="E35" s="78">
        <f>E19</f>
        <v>4573302.8594839778</v>
      </c>
      <c r="F35" s="78">
        <f>F19</f>
        <v>4579999.9459557626</v>
      </c>
      <c r="G35" s="78">
        <f>G19</f>
        <v>4652460.0559241669</v>
      </c>
      <c r="H35" s="79" t="s">
        <v>194</v>
      </c>
      <c r="I35" s="32" t="s">
        <v>338</v>
      </c>
    </row>
    <row r="36" spans="1:9" ht="15" customHeight="1" x14ac:dyDescent="0.2">
      <c r="B36" s="27" t="s">
        <v>339</v>
      </c>
      <c r="C36" s="42">
        <f>C35*'01_PANEL_CONTROL'!$C$35</f>
        <v>35370</v>
      </c>
      <c r="D36" s="42">
        <f>D35*'01_PANEL_CONTROL'!$C$35</f>
        <v>35370</v>
      </c>
      <c r="E36" s="42">
        <f>E35*'01_PANEL_CONTROL'!$C$35</f>
        <v>54879.634313807735</v>
      </c>
      <c r="F36" s="42">
        <f>F35*'01_PANEL_CONTROL'!$C$35</f>
        <v>54959.999351469152</v>
      </c>
      <c r="G36" s="42">
        <f>G35*'01_PANEL_CONTROL'!$C$35</f>
        <v>55829.520671090002</v>
      </c>
      <c r="H36" s="44">
        <f t="shared" ref="H36:H43" si="1">SUM(C36:G36)</f>
        <v>236409.15433636689</v>
      </c>
      <c r="I36" s="32" t="s">
        <v>340</v>
      </c>
    </row>
    <row r="37" spans="1:9" ht="27.75" customHeight="1" x14ac:dyDescent="0.2">
      <c r="B37" s="27" t="s">
        <v>341</v>
      </c>
      <c r="C37" s="42">
        <f>MAX(C35*'01_PANEL_CONTROL'!$C$36,'01_PANEL_CONTROL'!$C$37)+'01_PANEL_CONTROL'!$C$38</f>
        <v>31600</v>
      </c>
      <c r="D37" s="42">
        <f>MAX(D35*'01_PANEL_CONTROL'!$C$36,'01_PANEL_CONTROL'!$C$37)</f>
        <v>21600</v>
      </c>
      <c r="E37" s="42">
        <f>MAX(E35*'01_PANEL_CONTROL'!$C$36,'01_PANEL_CONTROL'!$C$37)</f>
        <v>21600</v>
      </c>
      <c r="F37" s="42">
        <f>MAX(F35*'01_PANEL_CONTROL'!$C$36,'01_PANEL_CONTROL'!$C$37)</f>
        <v>21600</v>
      </c>
      <c r="G37" s="42">
        <f>MAX(G35*'01_PANEL_CONTROL'!$C$36,'01_PANEL_CONTROL'!$C$37)</f>
        <v>21600</v>
      </c>
      <c r="H37" s="44">
        <f t="shared" si="1"/>
        <v>118000</v>
      </c>
      <c r="I37" s="32" t="s">
        <v>342</v>
      </c>
    </row>
    <row r="38" spans="1:9" ht="18.75" customHeight="1" x14ac:dyDescent="0.2">
      <c r="B38" s="27" t="s">
        <v>343</v>
      </c>
      <c r="C38" s="42">
        <f>C24*'01_PANEL_CONTROL'!$C$66</f>
        <v>44593.642241379319</v>
      </c>
      <c r="D38" s="42">
        <f>D24*'01_PANEL_CONTROL'!$C$66</f>
        <v>10494.116379310348</v>
      </c>
      <c r="E38" s="42">
        <f>E24*'01_PANEL_CONTROL'!$C$66</f>
        <v>16282.535180748991</v>
      </c>
      <c r="F38" s="42">
        <f>F24*'01_PANEL_CONTROL'!$C$66</f>
        <v>16306.379117928707</v>
      </c>
      <c r="G38" s="42">
        <f>G24*'01_PANEL_CONTROL'!$C$66</f>
        <v>0</v>
      </c>
      <c r="H38" s="44">
        <f t="shared" si="1"/>
        <v>87676.672919367367</v>
      </c>
      <c r="I38" s="32" t="s">
        <v>344</v>
      </c>
    </row>
    <row r="39" spans="1:9" ht="18.75" customHeight="1" x14ac:dyDescent="0.2">
      <c r="B39" s="27" t="s">
        <v>345</v>
      </c>
      <c r="C39" s="74">
        <f>'01_PANEL_CONTROL'!$C$55</f>
        <v>80200</v>
      </c>
      <c r="D39" s="74">
        <f>'01_PANEL_CONTROL'!$C$54</f>
        <v>56000</v>
      </c>
      <c r="E39" s="74">
        <f>'01_PANEL_CONTROL'!$C$54</f>
        <v>56000</v>
      </c>
      <c r="F39" s="74">
        <f>'01_PANEL_CONTROL'!$C$54</f>
        <v>56000</v>
      </c>
      <c r="G39" s="74">
        <f>'01_PANEL_CONTROL'!$C$54</f>
        <v>56000</v>
      </c>
      <c r="H39" s="44">
        <f t="shared" si="1"/>
        <v>304200</v>
      </c>
      <c r="I39" s="32" t="s">
        <v>346</v>
      </c>
    </row>
    <row r="40" spans="1:9" ht="18.75" customHeight="1" x14ac:dyDescent="0.2">
      <c r="B40" s="27" t="s">
        <v>347</v>
      </c>
      <c r="C40" s="42">
        <f>C31*'01_PANEL_CONTROL'!$C$29</f>
        <v>35321.696824854902</v>
      </c>
      <c r="D40" s="42">
        <f>D31*'01_PANEL_CONTROL'!$C$29</f>
        <v>8312.1713895527519</v>
      </c>
      <c r="E40" s="42">
        <f>E31*'01_PANEL_CONTROL'!$C$29</f>
        <v>12897.057568910092</v>
      </c>
      <c r="F40" s="42">
        <f>F31*'01_PANEL_CONTROL'!$C$29</f>
        <v>12915.943855785115</v>
      </c>
      <c r="G40" s="42">
        <f>G31*'01_PANEL_CONTROL'!$C$29</f>
        <v>0</v>
      </c>
      <c r="H40" s="44">
        <f t="shared" si="1"/>
        <v>69446.86963910285</v>
      </c>
      <c r="I40" s="32" t="s">
        <v>348</v>
      </c>
    </row>
    <row r="41" spans="1:9" ht="15" customHeight="1" x14ac:dyDescent="0.2">
      <c r="B41" s="27" t="s">
        <v>349</v>
      </c>
      <c r="C41" s="42">
        <f>C15*'01_PANEL_CONTROL'!$C$75</f>
        <v>0</v>
      </c>
      <c r="D41" s="42">
        <f>D15*'01_PANEL_CONTROL'!$C$75</f>
        <v>0</v>
      </c>
      <c r="E41" s="42">
        <f>E15*'01_PANEL_CONTROL'!$C$75</f>
        <v>120000</v>
      </c>
      <c r="F41" s="42">
        <f>F15*'01_PANEL_CONTROL'!$C$75</f>
        <v>120000</v>
      </c>
      <c r="G41" s="42">
        <f>G15*'01_PANEL_CONTROL'!$C$75</f>
        <v>120000</v>
      </c>
      <c r="H41" s="44">
        <f t="shared" si="1"/>
        <v>360000</v>
      </c>
      <c r="I41" s="32" t="s">
        <v>350</v>
      </c>
    </row>
    <row r="42" spans="1:9" ht="15" customHeight="1" x14ac:dyDescent="0.2">
      <c r="B42" s="32" t="s">
        <v>351</v>
      </c>
      <c r="C42" s="86">
        <f>-(C9+C10)</f>
        <v>52500</v>
      </c>
      <c r="D42" s="86">
        <f>-(D9+D10)</f>
        <v>0</v>
      </c>
      <c r="E42" s="86">
        <f>-(E9+E10)</f>
        <v>0</v>
      </c>
      <c r="F42" s="86">
        <f>-(F9+F10)</f>
        <v>0</v>
      </c>
      <c r="G42" s="86">
        <f>-(G9+G10)</f>
        <v>0</v>
      </c>
      <c r="H42" s="87">
        <f t="shared" si="1"/>
        <v>52500</v>
      </c>
      <c r="I42" s="32" t="s">
        <v>352</v>
      </c>
    </row>
    <row r="43" spans="1:9" ht="15" customHeight="1" x14ac:dyDescent="0.2">
      <c r="B43" s="84" t="s">
        <v>353</v>
      </c>
      <c r="C43" s="85">
        <f>C36+C37+C38+C39+C40+C41</f>
        <v>227085.33906623421</v>
      </c>
      <c r="D43" s="85">
        <f>D36+D37+D38+D39+D40+D41</f>
        <v>131776.28776886311</v>
      </c>
      <c r="E43" s="85">
        <f>E36+E37+E38+E39+E40+E41</f>
        <v>281659.22706346679</v>
      </c>
      <c r="F43" s="85">
        <f>F36+F37+F38+F39+F40+F41</f>
        <v>281782.32232518296</v>
      </c>
      <c r="G43" s="85">
        <f>G36+G37+G38+G39+G40+G41</f>
        <v>253429.52067108999</v>
      </c>
      <c r="H43" s="77">
        <f t="shared" si="1"/>
        <v>1175732.6968948371</v>
      </c>
      <c r="I43" s="32" t="s">
        <v>354</v>
      </c>
    </row>
    <row r="45" spans="1:9" ht="21.75" customHeight="1" x14ac:dyDescent="0.2">
      <c r="A45" s="10" t="s">
        <v>355</v>
      </c>
      <c r="B45" s="10"/>
      <c r="C45" s="10"/>
      <c r="D45" s="10"/>
      <c r="E45" s="10"/>
      <c r="F45" s="10"/>
      <c r="G45" s="10"/>
      <c r="H45" s="10"/>
      <c r="I45" s="10"/>
    </row>
    <row r="46" spans="1:9" ht="18.75" customHeight="1" x14ac:dyDescent="0.2">
      <c r="B46" s="27" t="s">
        <v>356</v>
      </c>
      <c r="C46" s="42">
        <f>C36+C37+C38+C39</f>
        <v>191763.6422413793</v>
      </c>
      <c r="D46" s="42">
        <f>D36+D37+D38+D39</f>
        <v>123464.11637931035</v>
      </c>
      <c r="E46" s="42">
        <f>E36+E37+E38+E39</f>
        <v>148762.16949455673</v>
      </c>
      <c r="F46" s="42">
        <f>F36+F37+F38+F39</f>
        <v>148866.37846939787</v>
      </c>
      <c r="G46" s="42">
        <f>G36+G37+G38+G39</f>
        <v>133429.52067108999</v>
      </c>
      <c r="H46" s="44">
        <f>SUM(C46:G46)</f>
        <v>746285.82725573424</v>
      </c>
      <c r="I46" s="32" t="s">
        <v>357</v>
      </c>
    </row>
    <row r="47" spans="1:9" ht="15" customHeight="1" x14ac:dyDescent="0.2">
      <c r="B47" s="27" t="s">
        <v>358</v>
      </c>
      <c r="C47" s="42">
        <f>C35*'01_PANEL_CONTROL'!$C$42</f>
        <v>159165</v>
      </c>
      <c r="D47" s="42">
        <f>D35*'01_PANEL_CONTROL'!$C$42</f>
        <v>159165</v>
      </c>
      <c r="E47" s="42">
        <f>E35*'01_PANEL_CONTROL'!$C$42</f>
        <v>246958.35441213479</v>
      </c>
      <c r="F47" s="42">
        <f>F35*'01_PANEL_CONTROL'!$C$42</f>
        <v>247319.99708161119</v>
      </c>
      <c r="G47" s="42">
        <f>G35*'01_PANEL_CONTROL'!$C$42</f>
        <v>251232.84301990501</v>
      </c>
      <c r="H47" s="44">
        <f>SUM(C47:G47)</f>
        <v>1063841.1945136508</v>
      </c>
      <c r="I47" s="32" t="s">
        <v>359</v>
      </c>
    </row>
    <row r="48" spans="1:9" ht="15" customHeight="1" x14ac:dyDescent="0.2">
      <c r="B48" s="27" t="s">
        <v>360</v>
      </c>
      <c r="C48" s="40">
        <f>IFERROR(C46/C35,0)</f>
        <v>6.5059759878330556E-2</v>
      </c>
      <c r="D48" s="40">
        <f>IFERROR(D46/D35,0)</f>
        <v>4.1887740925974672E-2</v>
      </c>
      <c r="E48" s="40">
        <f>IFERROR(E46/E35,0)</f>
        <v>3.2528387921228141E-2</v>
      </c>
      <c r="F48" s="40">
        <f>IFERROR(F46/F35,0)</f>
        <v>3.2503576468565255E-2</v>
      </c>
      <c r="G48" s="40">
        <f>IFERROR(G46/G35,0)</f>
        <v>2.8679347929315105E-2</v>
      </c>
      <c r="H48" s="88" t="s">
        <v>194</v>
      </c>
      <c r="I48" s="32" t="s">
        <v>361</v>
      </c>
    </row>
    <row r="49" spans="1:9" ht="18.75" customHeight="1" x14ac:dyDescent="0.2">
      <c r="B49" s="73" t="s">
        <v>362</v>
      </c>
      <c r="C49" s="89">
        <f>MAX(0,C46-C47)</f>
        <v>32598.642241379304</v>
      </c>
      <c r="D49" s="89">
        <f>MAX(0,D46-D47)</f>
        <v>0</v>
      </c>
      <c r="E49" s="89">
        <f>MAX(0,E46-E47)</f>
        <v>0</v>
      </c>
      <c r="F49" s="89">
        <f>MAX(0,F46-F47)</f>
        <v>0</v>
      </c>
      <c r="G49" s="89">
        <f>MAX(0,G46-G47)</f>
        <v>0</v>
      </c>
      <c r="H49" s="90">
        <f>SUM(C49:G49)</f>
        <v>32598.642241379304</v>
      </c>
      <c r="I49" s="32" t="s">
        <v>363</v>
      </c>
    </row>
    <row r="51" spans="1:9" ht="21.75" customHeight="1" x14ac:dyDescent="0.2">
      <c r="A51" s="10" t="s">
        <v>364</v>
      </c>
      <c r="B51" s="10"/>
      <c r="C51" s="10"/>
      <c r="D51" s="10"/>
      <c r="E51" s="10"/>
      <c r="F51" s="10"/>
      <c r="G51" s="10"/>
      <c r="H51" s="10"/>
      <c r="I51" s="10"/>
    </row>
    <row r="52" spans="1:9" ht="15" customHeight="1" x14ac:dyDescent="0.2">
      <c r="B52" s="27" t="s">
        <v>365</v>
      </c>
      <c r="C52" s="42">
        <f>C32-C43+C49</f>
        <v>302652.85948397795</v>
      </c>
      <c r="D52" s="42">
        <f>D32-D43+D49</f>
        <v>281095.25804082328</v>
      </c>
      <c r="E52" s="42">
        <f>E32-E43+E49</f>
        <v>347260.10672574991</v>
      </c>
      <c r="F52" s="42">
        <f>F32-F43+F49</f>
        <v>352134.69234273047</v>
      </c>
      <c r="G52" s="42">
        <f>G32-G43+G49</f>
        <v>245841.48978623928</v>
      </c>
      <c r="H52" s="44">
        <f>SUM(C52:G52)</f>
        <v>1528984.4063795209</v>
      </c>
      <c r="I52" s="32" t="s">
        <v>366</v>
      </c>
    </row>
    <row r="53" spans="1:9" ht="15" customHeight="1" x14ac:dyDescent="0.2">
      <c r="B53" s="27" t="s">
        <v>367</v>
      </c>
      <c r="C53" s="42">
        <f>C35*'01_PANEL_CONTROL'!$C$44</f>
        <v>176850</v>
      </c>
      <c r="D53" s="42">
        <f>D35*'01_PANEL_CONTROL'!$C$44</f>
        <v>176850</v>
      </c>
      <c r="E53" s="42">
        <f>E35*'01_PANEL_CONTROL'!$C$44</f>
        <v>274398.17156903865</v>
      </c>
      <c r="F53" s="42">
        <f>F35*'01_PANEL_CONTROL'!$C$44</f>
        <v>274799.99675734574</v>
      </c>
      <c r="G53" s="42">
        <f>G35*'01_PANEL_CONTROL'!$C$44</f>
        <v>279147.60335545003</v>
      </c>
      <c r="H53" s="44">
        <f>SUM(C53:G53)</f>
        <v>1182045.7716818345</v>
      </c>
      <c r="I53" s="32" t="s">
        <v>368</v>
      </c>
    </row>
    <row r="54" spans="1:9" ht="18.75" customHeight="1" x14ac:dyDescent="0.2">
      <c r="B54" s="27" t="s">
        <v>369</v>
      </c>
      <c r="C54" s="42">
        <f>MAX(0,C52-C53)*'01_PANEL_CONTROL'!$C$43</f>
        <v>12580.285948397795</v>
      </c>
      <c r="D54" s="42">
        <f>MAX(0,D52-D53)*'01_PANEL_CONTROL'!$C$43</f>
        <v>10424.525804082328</v>
      </c>
      <c r="E54" s="42">
        <f>MAX(0,E52-E53)*'01_PANEL_CONTROL'!$C$43</f>
        <v>7286.1935156711261</v>
      </c>
      <c r="F54" s="42">
        <f>MAX(0,F52-F53)*'01_PANEL_CONTROL'!$C$43</f>
        <v>7733.4695585384734</v>
      </c>
      <c r="G54" s="42">
        <f>MAX(0,G52-G53)*'01_PANEL_CONTROL'!$C$43</f>
        <v>0</v>
      </c>
      <c r="H54" s="44">
        <f>SUM(C54:G54)</f>
        <v>38024.474826689722</v>
      </c>
      <c r="I54" s="32" t="s">
        <v>370</v>
      </c>
    </row>
    <row r="55" spans="1:9" ht="15" customHeight="1" x14ac:dyDescent="0.2">
      <c r="B55" s="27" t="s">
        <v>371</v>
      </c>
      <c r="C55" s="42">
        <v>0</v>
      </c>
      <c r="D55" s="42">
        <v>0</v>
      </c>
      <c r="E55" s="42">
        <v>0</v>
      </c>
      <c r="F55" s="42">
        <v>0</v>
      </c>
      <c r="G55" s="42">
        <f>SUM(C54:G54)</f>
        <v>38024.474826689722</v>
      </c>
      <c r="H55" s="44">
        <f>SUM(C55:G55)</f>
        <v>38024.474826689722</v>
      </c>
      <c r="I55" s="32" t="s">
        <v>372</v>
      </c>
    </row>
    <row r="56" spans="1:9" ht="23.25" customHeight="1" x14ac:dyDescent="0.2">
      <c r="B56" s="84" t="s">
        <v>373</v>
      </c>
      <c r="C56" s="85">
        <f>C52-C55</f>
        <v>302652.85948397795</v>
      </c>
      <c r="D56" s="85">
        <f>D52-D55</f>
        <v>281095.25804082328</v>
      </c>
      <c r="E56" s="85">
        <f>E52-E55</f>
        <v>347260.10672574991</v>
      </c>
      <c r="F56" s="85">
        <f>F52-F55</f>
        <v>352134.69234273047</v>
      </c>
      <c r="G56" s="85">
        <f>G52-G55</f>
        <v>207817.01495954956</v>
      </c>
      <c r="H56" s="77">
        <f>SUM(C56:G56)</f>
        <v>1490959.9315528311</v>
      </c>
      <c r="I56" s="32" t="s">
        <v>28</v>
      </c>
    </row>
    <row r="58" spans="1:9" ht="21.75" customHeight="1" x14ac:dyDescent="0.2">
      <c r="A58" s="10" t="s">
        <v>374</v>
      </c>
      <c r="B58" s="10"/>
      <c r="C58" s="10"/>
      <c r="D58" s="10"/>
      <c r="E58" s="10"/>
      <c r="F58" s="10"/>
      <c r="G58" s="10"/>
      <c r="H58" s="10"/>
      <c r="I58" s="10"/>
    </row>
    <row r="59" spans="1:9" ht="15" customHeight="1" x14ac:dyDescent="0.2">
      <c r="B59" s="27" t="s">
        <v>375</v>
      </c>
      <c r="G59" s="42">
        <f>IF('01_PANEL_CONTROL'!G$62=0,-G20,0)</f>
        <v>1604296.5710083335</v>
      </c>
      <c r="I59" s="32" t="s">
        <v>376</v>
      </c>
    </row>
    <row r="60" spans="1:9" ht="15" customHeight="1" x14ac:dyDescent="0.2">
      <c r="B60" s="27" t="s">
        <v>377</v>
      </c>
      <c r="G60" s="42">
        <f>G27</f>
        <v>3400298.1772585637</v>
      </c>
      <c r="I60" s="32" t="s">
        <v>378</v>
      </c>
    </row>
    <row r="61" spans="1:9" ht="18.75" customHeight="1" x14ac:dyDescent="0.2">
      <c r="B61" s="27" t="s">
        <v>379</v>
      </c>
      <c r="G61" s="42">
        <f>G60/(1+'01_PANEL_CONTROL'!$C$76)</f>
        <v>3119539.6121638198</v>
      </c>
      <c r="I61" s="32" t="s">
        <v>380</v>
      </c>
    </row>
    <row r="62" spans="1:9" ht="15" customHeight="1" x14ac:dyDescent="0.2">
      <c r="B62" s="27" t="s">
        <v>381</v>
      </c>
      <c r="G62" s="42">
        <f>-G15</f>
        <v>-1500000</v>
      </c>
      <c r="I62" s="32" t="s">
        <v>382</v>
      </c>
    </row>
    <row r="63" spans="1:9" ht="15" customHeight="1" x14ac:dyDescent="0.2">
      <c r="B63" s="84" t="s">
        <v>383</v>
      </c>
      <c r="G63" s="85">
        <f>G59+G61+G62+G56</f>
        <v>3431653.1981317028</v>
      </c>
      <c r="I63" s="32" t="s">
        <v>384</v>
      </c>
    </row>
    <row r="65" spans="1:9" ht="21.75" customHeight="1" x14ac:dyDescent="0.2">
      <c r="A65" s="10" t="s">
        <v>385</v>
      </c>
      <c r="B65" s="10"/>
      <c r="C65" s="10"/>
      <c r="D65" s="10"/>
      <c r="E65" s="10"/>
      <c r="F65" s="10"/>
      <c r="G65" s="10"/>
      <c r="H65" s="10"/>
      <c r="I65" s="10"/>
    </row>
    <row r="66" spans="1:9" ht="15" customHeight="1" x14ac:dyDescent="0.2">
      <c r="B66" s="27" t="s">
        <v>386</v>
      </c>
      <c r="C66" s="42">
        <f>-C21-C22</f>
        <v>0</v>
      </c>
      <c r="D66" s="42">
        <f>-D21-D22</f>
        <v>176850</v>
      </c>
      <c r="E66" s="42">
        <f>-E21-E22</f>
        <v>274398.17156903865</v>
      </c>
      <c r="F66" s="42">
        <f>-F21-F22</f>
        <v>274799.99675734574</v>
      </c>
      <c r="G66" s="42">
        <f>-G21-G22</f>
        <v>0</v>
      </c>
      <c r="H66" s="44">
        <f>SUM(C66:G66)</f>
        <v>726048.16832638439</v>
      </c>
      <c r="I66" s="32" t="s">
        <v>387</v>
      </c>
    </row>
    <row r="67" spans="1:9" ht="15" customHeight="1" x14ac:dyDescent="0.2">
      <c r="B67" s="27" t="s">
        <v>388</v>
      </c>
      <c r="C67" s="42">
        <v>0</v>
      </c>
      <c r="D67" s="42">
        <v>0</v>
      </c>
      <c r="E67" s="42">
        <v>0</v>
      </c>
      <c r="F67" s="42">
        <v>0</v>
      </c>
      <c r="G67" s="42">
        <f>G63</f>
        <v>3431653.1981317028</v>
      </c>
      <c r="H67" s="44">
        <f>SUM(C67:G67)</f>
        <v>3431653.1981317028</v>
      </c>
      <c r="I67" s="32" t="s">
        <v>389</v>
      </c>
    </row>
    <row r="68" spans="1:9" ht="18.75" customHeight="1" x14ac:dyDescent="0.2">
      <c r="B68" s="26" t="s">
        <v>390</v>
      </c>
      <c r="C68" s="78">
        <f>-'01_PANEL_CONTROL'!$C$6-'01_PANEL_CONTROL'!C$59+C66+C67</f>
        <v>-3000000</v>
      </c>
      <c r="D68" s="78">
        <f>-'01_PANEL_CONTROL'!D$59+D66+D67</f>
        <v>176850</v>
      </c>
      <c r="E68" s="78">
        <f>-'01_PANEL_CONTROL'!E$59+E66+E67</f>
        <v>274398.17156903865</v>
      </c>
      <c r="F68" s="78">
        <f>-'01_PANEL_CONTROL'!F$59+F66+F67</f>
        <v>274799.99675734574</v>
      </c>
      <c r="G68" s="78">
        <f>-'01_PANEL_CONTROL'!G$59+G66+G67</f>
        <v>3431653.1981317028</v>
      </c>
      <c r="H68" s="44">
        <f>SUM(C68:G68)</f>
        <v>1157701.3664580872</v>
      </c>
      <c r="I68" s="32" t="s">
        <v>391</v>
      </c>
    </row>
    <row r="70" spans="1:9" ht="21.75" customHeight="1" x14ac:dyDescent="0.2">
      <c r="B70" s="91" t="s">
        <v>392</v>
      </c>
      <c r="H70" s="92">
        <f>IFERROR(IRR(C68:G68),"-")</f>
        <v>9.3647845356261916E-2</v>
      </c>
      <c r="I70" s="32" t="s">
        <v>393</v>
      </c>
    </row>
    <row r="71" spans="1:9" ht="21.75" customHeight="1" x14ac:dyDescent="0.2">
      <c r="B71" s="91" t="s">
        <v>394</v>
      </c>
      <c r="H71" s="93">
        <f>IFERROR((SUM(C66:G66)+SUM(C67:G67))/('01_PANEL_CONTROL'!$C$6+SUM(C8:G8)-'01_PANEL_CONTROL'!$C$6),"-")</f>
        <v>1.385900455486029</v>
      </c>
      <c r="I71" s="32" t="s">
        <v>395</v>
      </c>
    </row>
    <row r="73" spans="1:9" ht="15" customHeight="1" x14ac:dyDescent="0.2">
      <c r="B73" s="73" t="s">
        <v>396</v>
      </c>
      <c r="H73" s="94">
        <f>SUM(C49:G49)</f>
        <v>32598.642241379304</v>
      </c>
      <c r="I73" s="32" t="s">
        <v>397</v>
      </c>
    </row>
    <row r="74" spans="1:9" ht="15" customHeight="1" x14ac:dyDescent="0.2">
      <c r="B74" s="73" t="s">
        <v>398</v>
      </c>
      <c r="H74" s="95">
        <f>SUM(C56:G56)</f>
        <v>1490959.9315528311</v>
      </c>
    </row>
  </sheetData>
  <mergeCells count="11">
    <mergeCell ref="A65:I65"/>
    <mergeCell ref="A29:I29"/>
    <mergeCell ref="A34:I34"/>
    <mergeCell ref="A45:I45"/>
    <mergeCell ref="A51:I51"/>
    <mergeCell ref="A58:I58"/>
    <mergeCell ref="A1:I1"/>
    <mergeCell ref="A2:I2"/>
    <mergeCell ref="A7:I7"/>
    <mergeCell ref="A14:I14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baseColWidth="10" defaultColWidth="8.6640625" defaultRowHeight="15" x14ac:dyDescent="0.2"/>
  <cols>
    <col min="1" max="1" width="4" customWidth="1"/>
    <col min="2" max="2" width="50" customWidth="1"/>
    <col min="3" max="7" width="16" customWidth="1"/>
    <col min="8" max="8" width="18" customWidth="1"/>
    <col min="9" max="9" width="38" customWidth="1"/>
  </cols>
  <sheetData>
    <row r="1" spans="1:9" ht="37.5" customHeight="1" x14ac:dyDescent="0.2">
      <c r="A1" s="12" t="s">
        <v>399</v>
      </c>
      <c r="B1" s="12"/>
      <c r="C1" s="12"/>
      <c r="D1" s="12"/>
      <c r="E1" s="12"/>
      <c r="F1" s="12"/>
      <c r="G1" s="12"/>
      <c r="H1" s="12"/>
      <c r="I1" s="12"/>
    </row>
    <row r="2" spans="1:9" ht="19.5" customHeight="1" x14ac:dyDescent="0.2">
      <c r="A2" s="11" t="s">
        <v>400</v>
      </c>
      <c r="B2" s="11"/>
      <c r="C2" s="11"/>
      <c r="D2" s="11"/>
      <c r="E2" s="11"/>
      <c r="F2" s="11"/>
      <c r="G2" s="11"/>
      <c r="H2" s="11"/>
      <c r="I2" s="11"/>
    </row>
    <row r="4" spans="1:9" ht="21.75" customHeight="1" x14ac:dyDescent="0.2">
      <c r="B4" s="48" t="s">
        <v>285</v>
      </c>
      <c r="C4" s="51" t="s">
        <v>286</v>
      </c>
      <c r="D4" s="51" t="s">
        <v>287</v>
      </c>
      <c r="E4" s="51" t="s">
        <v>288</v>
      </c>
      <c r="F4" s="51" t="s">
        <v>289</v>
      </c>
      <c r="G4" s="51" t="s">
        <v>290</v>
      </c>
      <c r="H4" s="49" t="s">
        <v>291</v>
      </c>
      <c r="I4" s="48" t="s">
        <v>292</v>
      </c>
    </row>
    <row r="5" spans="1:9" ht="21.75" customHeight="1" x14ac:dyDescent="0.2">
      <c r="A5" s="10" t="s">
        <v>401</v>
      </c>
      <c r="B5" s="10"/>
      <c r="C5" s="10"/>
      <c r="D5" s="10"/>
      <c r="E5" s="10"/>
      <c r="F5" s="10"/>
      <c r="G5" s="10"/>
      <c r="H5" s="10"/>
      <c r="I5" s="10"/>
    </row>
    <row r="6" spans="1:9" ht="18.75" customHeight="1" x14ac:dyDescent="0.2">
      <c r="B6" s="27" t="s">
        <v>402</v>
      </c>
      <c r="C6" s="74">
        <f>'03_CASCADA_FLUJO_5Y'!C38</f>
        <v>44593.642241379319</v>
      </c>
      <c r="D6" s="74">
        <f>'03_CASCADA_FLUJO_5Y'!D38</f>
        <v>10494.116379310348</v>
      </c>
      <c r="E6" s="74">
        <f>'03_CASCADA_FLUJO_5Y'!E38</f>
        <v>16282.535180748991</v>
      </c>
      <c r="F6" s="74">
        <f>'03_CASCADA_FLUJO_5Y'!F38</f>
        <v>16306.379117928707</v>
      </c>
      <c r="G6" s="74">
        <f>'03_CASCADA_FLUJO_5Y'!G38</f>
        <v>0</v>
      </c>
      <c r="H6" s="44">
        <f>SUM(C6:G6)</f>
        <v>87676.672919367367</v>
      </c>
      <c r="I6" s="32" t="s">
        <v>403</v>
      </c>
    </row>
    <row r="7" spans="1:9" ht="15" customHeight="1" x14ac:dyDescent="0.2">
      <c r="B7" s="27" t="s">
        <v>404</v>
      </c>
      <c r="C7" s="74">
        <f>'03_CASCADA_FLUJO_5Y'!C55</f>
        <v>0</v>
      </c>
      <c r="D7" s="74">
        <f>'03_CASCADA_FLUJO_5Y'!D55</f>
        <v>0</v>
      </c>
      <c r="E7" s="74">
        <f>'03_CASCADA_FLUJO_5Y'!E55</f>
        <v>0</v>
      </c>
      <c r="F7" s="74">
        <f>'03_CASCADA_FLUJO_5Y'!F55</f>
        <v>0</v>
      </c>
      <c r="G7" s="74">
        <f>'03_CASCADA_FLUJO_5Y'!G55</f>
        <v>38024.474826689722</v>
      </c>
      <c r="H7" s="44">
        <f>SUM(C7:G7)</f>
        <v>38024.474826689722</v>
      </c>
      <c r="I7" s="32" t="s">
        <v>405</v>
      </c>
    </row>
    <row r="8" spans="1:9" ht="18.75" customHeight="1" x14ac:dyDescent="0.2">
      <c r="B8" s="27" t="s">
        <v>406</v>
      </c>
      <c r="C8" s="42">
        <f>-('03_CASCADA_FLUJO_5Y'!C21)*'01_PANEL_CONTROL'!$C$69</f>
        <v>0</v>
      </c>
      <c r="D8" s="42">
        <f>-('03_CASCADA_FLUJO_5Y'!D21)*'01_PANEL_CONTROL'!$C$69</f>
        <v>0</v>
      </c>
      <c r="E8" s="42">
        <f>-('03_CASCADA_FLUJO_5Y'!E21)*'01_PANEL_CONTROL'!$C$69</f>
        <v>0</v>
      </c>
      <c r="F8" s="42">
        <f>-('03_CASCADA_FLUJO_5Y'!F21)*'01_PANEL_CONTROL'!$C$69</f>
        <v>0</v>
      </c>
      <c r="G8" s="42">
        <f>-('03_CASCADA_FLUJO_5Y'!G21)*'01_PANEL_CONTROL'!$C$69</f>
        <v>0</v>
      </c>
      <c r="H8" s="44">
        <f>SUM(C8:G8)</f>
        <v>0</v>
      </c>
      <c r="I8" s="32" t="s">
        <v>407</v>
      </c>
    </row>
    <row r="9" spans="1:9" ht="15" customHeight="1" x14ac:dyDescent="0.2">
      <c r="B9" s="84" t="s">
        <v>408</v>
      </c>
      <c r="C9" s="85">
        <f>C6+C7+C8</f>
        <v>44593.642241379319</v>
      </c>
      <c r="D9" s="85">
        <f>D6+D7+D8</f>
        <v>10494.116379310348</v>
      </c>
      <c r="E9" s="85">
        <f>E6+E7+E8</f>
        <v>16282.535180748991</v>
      </c>
      <c r="F9" s="85">
        <f>F6+F7+F8</f>
        <v>16306.379117928707</v>
      </c>
      <c r="G9" s="85">
        <f>G6+G7+G8</f>
        <v>38024.474826689722</v>
      </c>
      <c r="H9" s="77">
        <f>SUM(C9:G9)</f>
        <v>125701.14774605709</v>
      </c>
      <c r="I9" s="32" t="s">
        <v>409</v>
      </c>
    </row>
    <row r="11" spans="1:9" ht="21.75" customHeight="1" x14ac:dyDescent="0.2">
      <c r="A11" s="10" t="s">
        <v>410</v>
      </c>
      <c r="B11" s="10"/>
      <c r="C11" s="10"/>
      <c r="D11" s="10"/>
      <c r="E11" s="10"/>
      <c r="F11" s="10"/>
      <c r="G11" s="10"/>
      <c r="H11" s="10"/>
      <c r="I11" s="10"/>
    </row>
    <row r="12" spans="1:9" ht="15" customHeight="1" x14ac:dyDescent="0.2">
      <c r="B12" s="27" t="s">
        <v>411</v>
      </c>
      <c r="C12" s="42">
        <f>IFERROR('01_PANEL_CONTROL'!$C$30/'01_PANEL_CONTROL'!$C$10,0)</f>
        <v>110011.00110011001</v>
      </c>
      <c r="D12" s="42">
        <f>IFERROR('01_PANEL_CONTROL'!$C$30/'01_PANEL_CONTROL'!$C$10,0)</f>
        <v>110011.00110011001</v>
      </c>
      <c r="E12" s="42">
        <f>IFERROR('01_PANEL_CONTROL'!$C$30/'01_PANEL_CONTROL'!$C$10,0)</f>
        <v>110011.00110011001</v>
      </c>
      <c r="F12" s="42">
        <f>IFERROR('01_PANEL_CONTROL'!$C$30/'01_PANEL_CONTROL'!$C$10,0)</f>
        <v>110011.00110011001</v>
      </c>
      <c r="G12" s="42">
        <f>IFERROR('01_PANEL_CONTROL'!$C$30/'01_PANEL_CONTROL'!$C$10,0)</f>
        <v>110011.00110011001</v>
      </c>
      <c r="H12" s="79" t="s">
        <v>194</v>
      </c>
      <c r="I12" s="32" t="s">
        <v>412</v>
      </c>
    </row>
    <row r="13" spans="1:9" ht="18.75" customHeight="1" x14ac:dyDescent="0.2">
      <c r="B13" s="27" t="s">
        <v>413</v>
      </c>
      <c r="C13" s="42">
        <f>C12*'03_CASCADA_FLUJO_5Y'!C25</f>
        <v>11213237.087255524</v>
      </c>
      <c r="D13" s="42">
        <f>D12*'03_CASCADA_FLUJO_5Y'!D25</f>
        <v>2638784.5681119841</v>
      </c>
      <c r="E13" s="42">
        <f>E12*'03_CASCADA_FLUJO_5Y'!E25</f>
        <v>4094303.9901301875</v>
      </c>
      <c r="F13" s="42">
        <f>F12*'03_CASCADA_FLUJO_5Y'!F25</f>
        <v>4100299.6367571796</v>
      </c>
      <c r="G13" s="42">
        <f>G12*'03_CASCADA_FLUJO_5Y'!G25</f>
        <v>0</v>
      </c>
      <c r="H13" s="44">
        <f>SUM(C13:G13)</f>
        <v>22046625.282254875</v>
      </c>
      <c r="I13" s="32" t="s">
        <v>414</v>
      </c>
    </row>
    <row r="14" spans="1:9" ht="18.75" customHeight="1" x14ac:dyDescent="0.2">
      <c r="B14" s="27" t="s">
        <v>415</v>
      </c>
      <c r="C14" s="74">
        <f>C13*'01_PANEL_CONTROL'!$C$68</f>
        <v>56066.185436277621</v>
      </c>
      <c r="D14" s="74">
        <f>D13*'01_PANEL_CONTROL'!$C$68</f>
        <v>13193.922840559921</v>
      </c>
      <c r="E14" s="74">
        <f>E13*'01_PANEL_CONTROL'!$C$68</f>
        <v>20471.519950650938</v>
      </c>
      <c r="F14" s="74">
        <f>F13*'01_PANEL_CONTROL'!$C$68</f>
        <v>20501.498183785898</v>
      </c>
      <c r="G14" s="74">
        <f>G13*'01_PANEL_CONTROL'!$C$68</f>
        <v>0</v>
      </c>
      <c r="H14" s="44">
        <f>SUM(C14:G14)</f>
        <v>110233.12641127437</v>
      </c>
      <c r="I14" s="32" t="s">
        <v>416</v>
      </c>
    </row>
    <row r="15" spans="1:9" ht="15" customHeight="1" x14ac:dyDescent="0.2">
      <c r="B15" s="84" t="s">
        <v>417</v>
      </c>
      <c r="C15" s="85">
        <f>C14</f>
        <v>56066.185436277621</v>
      </c>
      <c r="D15" s="85">
        <f>D14</f>
        <v>13193.922840559921</v>
      </c>
      <c r="E15" s="85">
        <f>E14</f>
        <v>20471.519950650938</v>
      </c>
      <c r="F15" s="85">
        <f>F14</f>
        <v>20501.498183785898</v>
      </c>
      <c r="G15" s="85">
        <f>G14</f>
        <v>0</v>
      </c>
      <c r="H15" s="77">
        <f>SUM(C15:G15)</f>
        <v>110233.12641127437</v>
      </c>
      <c r="I15" s="32" t="s">
        <v>418</v>
      </c>
    </row>
    <row r="17" spans="1:9" ht="21.75" customHeight="1" x14ac:dyDescent="0.2">
      <c r="A17" s="10" t="s">
        <v>419</v>
      </c>
      <c r="B17" s="10"/>
      <c r="C17" s="10"/>
      <c r="D17" s="10"/>
      <c r="E17" s="10"/>
      <c r="F17" s="10"/>
      <c r="G17" s="10"/>
      <c r="H17" s="10"/>
      <c r="I17" s="10"/>
    </row>
    <row r="18" spans="1:9" ht="18.75" customHeight="1" x14ac:dyDescent="0.2">
      <c r="B18" s="73" t="s">
        <v>420</v>
      </c>
      <c r="C18" s="89">
        <f>-'03_CASCADA_FLUJO_5Y'!C49</f>
        <v>-32598.642241379304</v>
      </c>
      <c r="D18" s="89">
        <f>-'03_CASCADA_FLUJO_5Y'!D49</f>
        <v>0</v>
      </c>
      <c r="E18" s="89">
        <f>-'03_CASCADA_FLUJO_5Y'!E49</f>
        <v>0</v>
      </c>
      <c r="F18" s="89">
        <f>-'03_CASCADA_FLUJO_5Y'!F49</f>
        <v>0</v>
      </c>
      <c r="G18" s="89">
        <f>-'03_CASCADA_FLUJO_5Y'!G49</f>
        <v>0</v>
      </c>
      <c r="H18" s="96">
        <f>SUM(C18:G18)</f>
        <v>-32598.642241379304</v>
      </c>
      <c r="I18" s="32" t="s">
        <v>421</v>
      </c>
    </row>
    <row r="20" spans="1:9" ht="21.75" customHeight="1" x14ac:dyDescent="0.2">
      <c r="A20" s="10" t="s">
        <v>422</v>
      </c>
      <c r="B20" s="10"/>
      <c r="C20" s="10"/>
      <c r="D20" s="10"/>
      <c r="E20" s="10"/>
      <c r="F20" s="10"/>
      <c r="G20" s="10"/>
      <c r="H20" s="10"/>
      <c r="I20" s="10"/>
    </row>
    <row r="21" spans="1:9" ht="27.75" customHeight="1" x14ac:dyDescent="0.2">
      <c r="B21" s="97" t="s">
        <v>423</v>
      </c>
      <c r="C21" s="77">
        <f>C9+C15+C18</f>
        <v>68061.185436277636</v>
      </c>
      <c r="D21" s="77">
        <f>D9+D15+D18</f>
        <v>23688.039219870268</v>
      </c>
      <c r="E21" s="77">
        <f>E9+E15+E18</f>
        <v>36754.055131399931</v>
      </c>
      <c r="F21" s="77">
        <f>F9+F15+F18</f>
        <v>36807.877301714601</v>
      </c>
      <c r="G21" s="77">
        <f>G9+G15+G18</f>
        <v>38024.474826689722</v>
      </c>
      <c r="H21" s="98">
        <f>SUM(C21:G21)</f>
        <v>203335.63191595217</v>
      </c>
      <c r="I21" s="32" t="s">
        <v>424</v>
      </c>
    </row>
    <row r="23" spans="1:9" ht="15" customHeight="1" x14ac:dyDescent="0.2">
      <c r="B23" s="27" t="s">
        <v>425</v>
      </c>
      <c r="C23" s="42">
        <f>C21</f>
        <v>68061.185436277636</v>
      </c>
      <c r="D23" s="42">
        <f>C23+D21</f>
        <v>91749.224656147911</v>
      </c>
      <c r="E23" s="42">
        <f>D23+E21</f>
        <v>128503.27978754784</v>
      </c>
      <c r="F23" s="42">
        <f>E23+F21</f>
        <v>165311.15708926244</v>
      </c>
      <c r="G23" s="42">
        <f>F23+G21</f>
        <v>203335.63191595217</v>
      </c>
      <c r="H23" s="79" t="s">
        <v>194</v>
      </c>
      <c r="I23" s="32" t="s">
        <v>426</v>
      </c>
    </row>
    <row r="25" spans="1:9" ht="21.75" customHeight="1" x14ac:dyDescent="0.2">
      <c r="A25" s="10" t="s">
        <v>427</v>
      </c>
      <c r="B25" s="10"/>
      <c r="C25" s="10"/>
      <c r="D25" s="10"/>
      <c r="E25" s="10"/>
      <c r="F25" s="10"/>
      <c r="G25" s="10"/>
      <c r="H25" s="10"/>
      <c r="I25" s="10"/>
    </row>
    <row r="26" spans="1:9" ht="15" customHeight="1" x14ac:dyDescent="0.2">
      <c r="B26" s="26" t="s">
        <v>428</v>
      </c>
      <c r="C26" s="28" t="s">
        <v>429</v>
      </c>
      <c r="D26" s="28" t="s">
        <v>37</v>
      </c>
      <c r="E26" s="28" t="s">
        <v>430</v>
      </c>
    </row>
    <row r="27" spans="1:9" ht="15" customHeight="1" x14ac:dyDescent="0.2">
      <c r="B27" s="27" t="s">
        <v>431</v>
      </c>
      <c r="C27" s="42">
        <f>H6</f>
        <v>87676.672919367367</v>
      </c>
      <c r="D27" s="42">
        <f t="shared" ref="D27:D32" si="0">C27/5</f>
        <v>17535.334583873475</v>
      </c>
      <c r="E27" s="99">
        <f>IFERROR(C27/SUM(C27:C31),0)</f>
        <v>0.43119187765186245</v>
      </c>
    </row>
    <row r="28" spans="1:9" ht="15" customHeight="1" x14ac:dyDescent="0.2">
      <c r="B28" s="27" t="s">
        <v>432</v>
      </c>
      <c r="C28" s="42">
        <f>H7</f>
        <v>38024.474826689722</v>
      </c>
      <c r="D28" s="42">
        <f t="shared" si="0"/>
        <v>7604.8949653379441</v>
      </c>
      <c r="E28" s="99">
        <f>IFERROR(C28/SUM(C27:C31),0)</f>
        <v>0.18700349991981222</v>
      </c>
    </row>
    <row r="29" spans="1:9" ht="15" customHeight="1" x14ac:dyDescent="0.2">
      <c r="B29" s="27" t="s">
        <v>433</v>
      </c>
      <c r="C29" s="42">
        <f>H8</f>
        <v>0</v>
      </c>
      <c r="D29" s="42">
        <f t="shared" si="0"/>
        <v>0</v>
      </c>
      <c r="E29" s="99">
        <f>IFERROR(C29/SUM(C27:C31),0)</f>
        <v>0</v>
      </c>
    </row>
    <row r="30" spans="1:9" ht="15" customHeight="1" x14ac:dyDescent="0.2">
      <c r="B30" s="27" t="s">
        <v>434</v>
      </c>
      <c r="C30" s="42">
        <f>H14</f>
        <v>110233.12641127437</v>
      </c>
      <c r="D30" s="42">
        <f t="shared" si="0"/>
        <v>22046.625282254874</v>
      </c>
      <c r="E30" s="99">
        <f>IFERROR(C30/SUM(C27:C31),0)</f>
        <v>0.54212400144820039</v>
      </c>
    </row>
    <row r="31" spans="1:9" ht="15" customHeight="1" x14ac:dyDescent="0.2">
      <c r="B31" s="27" t="s">
        <v>435</v>
      </c>
      <c r="C31" s="42">
        <f>H18</f>
        <v>-32598.642241379304</v>
      </c>
      <c r="D31" s="42">
        <f t="shared" si="0"/>
        <v>-6519.7284482758605</v>
      </c>
      <c r="E31" s="99">
        <f>IFERROR(C31/SUM(C27:C31),0)</f>
        <v>-0.16031937901987492</v>
      </c>
    </row>
    <row r="32" spans="1:9" ht="15" customHeight="1" x14ac:dyDescent="0.2">
      <c r="B32" s="84" t="s">
        <v>99</v>
      </c>
      <c r="C32" s="85">
        <f>SUM(C27:C31)</f>
        <v>203335.63191595214</v>
      </c>
      <c r="D32" s="85">
        <f t="shared" si="0"/>
        <v>40667.126383190429</v>
      </c>
      <c r="E32" s="100" t="s">
        <v>436</v>
      </c>
    </row>
    <row r="34" spans="1:9" ht="21.75" customHeight="1" x14ac:dyDescent="0.2">
      <c r="A34" s="10" t="s">
        <v>437</v>
      </c>
      <c r="B34" s="10"/>
      <c r="C34" s="10"/>
      <c r="D34" s="10"/>
      <c r="E34" s="10"/>
      <c r="F34" s="10"/>
      <c r="G34" s="10"/>
      <c r="H34" s="10"/>
      <c r="I34" s="10"/>
    </row>
    <row r="35" spans="1:9" ht="19.5" customHeight="1" x14ac:dyDescent="0.2">
      <c r="B35" s="27" t="s">
        <v>438</v>
      </c>
      <c r="C35" s="101">
        <f>H21/'01_PANEL_CONTROL'!$C$6</f>
        <v>6.7778543971984059E-2</v>
      </c>
      <c r="I35" s="32" t="s">
        <v>439</v>
      </c>
    </row>
    <row r="36" spans="1:9" ht="19.5" customHeight="1" x14ac:dyDescent="0.2">
      <c r="B36" s="27" t="s">
        <v>440</v>
      </c>
      <c r="C36" s="102">
        <f>H21/5</f>
        <v>40667.126383190436</v>
      </c>
      <c r="I36" s="32" t="s">
        <v>441</v>
      </c>
    </row>
  </sheetData>
  <mergeCells count="8">
    <mergeCell ref="A20:I20"/>
    <mergeCell ref="A25:I25"/>
    <mergeCell ref="A34:I34"/>
    <mergeCell ref="A1:I1"/>
    <mergeCell ref="A2:I2"/>
    <mergeCell ref="A5:I5"/>
    <mergeCell ref="A11:I11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3"/>
  <sheetViews>
    <sheetView showGridLines="0" zoomScaleNormal="100" workbookViewId="0">
      <pane ySplit="3" topLeftCell="A23" activePane="bottomLeft" state="frozen"/>
      <selection pane="bottomLeft" activeCell="D34" sqref="D34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12" width="14" customWidth="1"/>
  </cols>
  <sheetData>
    <row r="1" spans="1:12" ht="37.5" customHeight="1" x14ac:dyDescent="0.2">
      <c r="A1" s="12" t="s">
        <v>442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9.5" customHeight="1" x14ac:dyDescent="0.2">
      <c r="A2" s="11" t="s">
        <v>443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21.75" customHeight="1" x14ac:dyDescent="0.2">
      <c r="A4" s="10" t="s">
        <v>444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 x14ac:dyDescent="0.2">
      <c r="B5" s="103" t="s">
        <v>445</v>
      </c>
      <c r="C5" s="104">
        <v>8.0000000000000002E-3</v>
      </c>
      <c r="D5" s="104">
        <v>0.01</v>
      </c>
      <c r="E5" s="104">
        <v>1.2E-2</v>
      </c>
      <c r="F5" s="104">
        <v>1.4E-2</v>
      </c>
      <c r="G5" s="104">
        <v>1.6E-2</v>
      </c>
    </row>
    <row r="6" spans="1:12" ht="15" customHeight="1" x14ac:dyDescent="0.2">
      <c r="B6" s="104">
        <v>0.1</v>
      </c>
      <c r="C6" s="105">
        <v>9.5000000000000001E-2</v>
      </c>
      <c r="D6" s="105">
        <v>9.2999999999999999E-2</v>
      </c>
      <c r="E6" s="105">
        <v>9.0999999999999998E-2</v>
      </c>
      <c r="F6" s="105">
        <v>8.8999999999999996E-2</v>
      </c>
      <c r="G6" s="105">
        <v>8.6999999999999994E-2</v>
      </c>
    </row>
    <row r="7" spans="1:12" ht="15" customHeight="1" x14ac:dyDescent="0.2">
      <c r="B7" s="104">
        <v>0.115</v>
      </c>
      <c r="C7" s="105">
        <v>0.11</v>
      </c>
      <c r="D7" s="105">
        <v>0.108</v>
      </c>
      <c r="E7" s="105">
        <v>0.106</v>
      </c>
      <c r="F7" s="105">
        <v>0.104</v>
      </c>
      <c r="G7" s="105">
        <v>0.10199999999999999</v>
      </c>
    </row>
    <row r="8" spans="1:12" ht="15" customHeight="1" x14ac:dyDescent="0.2">
      <c r="B8" s="104">
        <v>0.124</v>
      </c>
      <c r="C8" s="105">
        <v>0.11899999999999999</v>
      </c>
      <c r="D8" s="105">
        <v>0.11700000000000001</v>
      </c>
      <c r="E8" s="105">
        <v>0.115</v>
      </c>
      <c r="F8" s="105">
        <v>0.113</v>
      </c>
      <c r="G8" s="105">
        <v>0.111</v>
      </c>
    </row>
    <row r="9" spans="1:12" ht="15" customHeight="1" x14ac:dyDescent="0.2">
      <c r="B9" s="104">
        <v>0.13500000000000001</v>
      </c>
      <c r="C9" s="105">
        <v>0.13</v>
      </c>
      <c r="D9" s="105">
        <v>0.128</v>
      </c>
      <c r="E9" s="105">
        <v>0.126</v>
      </c>
      <c r="F9" s="105">
        <v>0.124</v>
      </c>
      <c r="G9" s="105">
        <v>0.122</v>
      </c>
    </row>
    <row r="10" spans="1:12" ht="15" customHeight="1" x14ac:dyDescent="0.2">
      <c r="B10" s="104">
        <v>0.15</v>
      </c>
      <c r="C10" s="105">
        <v>0.14499999999999999</v>
      </c>
      <c r="D10" s="105">
        <v>0.14299999999999999</v>
      </c>
      <c r="E10" s="105">
        <v>0.14099999999999999</v>
      </c>
      <c r="F10" s="105">
        <v>0.13900000000000001</v>
      </c>
      <c r="G10" s="105">
        <v>0.13700000000000001</v>
      </c>
    </row>
    <row r="11" spans="1:12" ht="18.75" customHeight="1" x14ac:dyDescent="0.2">
      <c r="B11" s="32" t="s">
        <v>446</v>
      </c>
      <c r="C11" s="4" t="s">
        <v>447</v>
      </c>
      <c r="D11" s="4"/>
      <c r="E11" s="4"/>
      <c r="F11" s="4"/>
      <c r="G11" s="4"/>
    </row>
    <row r="13" spans="1:12" ht="21.75" customHeight="1" x14ac:dyDescent="0.2">
      <c r="A13" s="10" t="s">
        <v>448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 x14ac:dyDescent="0.2">
      <c r="B14" s="103" t="s">
        <v>449</v>
      </c>
      <c r="C14" s="106">
        <v>25000</v>
      </c>
      <c r="D14" s="106">
        <v>30000</v>
      </c>
      <c r="E14" s="106">
        <v>35000</v>
      </c>
      <c r="F14" s="106">
        <v>40000</v>
      </c>
      <c r="G14" s="106">
        <v>50000</v>
      </c>
    </row>
    <row r="15" spans="1:12" ht="15" customHeight="1" x14ac:dyDescent="0.2">
      <c r="B15" s="106">
        <v>2000000</v>
      </c>
      <c r="C15" s="107">
        <v>397511.00110011001</v>
      </c>
      <c r="D15" s="107">
        <v>397511.00110011001</v>
      </c>
      <c r="E15" s="107">
        <v>397511.00110011001</v>
      </c>
      <c r="F15" s="107">
        <v>397511.00110011001</v>
      </c>
      <c r="G15" s="107">
        <v>397511.00110011001</v>
      </c>
    </row>
    <row r="16" spans="1:12" ht="15" customHeight="1" x14ac:dyDescent="0.2">
      <c r="B16" s="106">
        <v>3000000</v>
      </c>
      <c r="C16" s="107">
        <v>596266.50165016495</v>
      </c>
      <c r="D16" s="107">
        <v>596266.50165016495</v>
      </c>
      <c r="E16" s="107">
        <v>596266.50165016495</v>
      </c>
      <c r="F16" s="107">
        <v>596266.50165016495</v>
      </c>
      <c r="G16" s="107">
        <v>596266.50165016495</v>
      </c>
    </row>
    <row r="17" spans="1:12" ht="15" customHeight="1" x14ac:dyDescent="0.2">
      <c r="B17" s="106">
        <v>5000000</v>
      </c>
      <c r="C17" s="107">
        <v>993777.50275027496</v>
      </c>
      <c r="D17" s="107">
        <v>993777.50275027496</v>
      </c>
      <c r="E17" s="107">
        <v>993777.50275027496</v>
      </c>
      <c r="F17" s="107">
        <v>993777.50275027496</v>
      </c>
      <c r="G17" s="107">
        <v>993777.50275027496</v>
      </c>
    </row>
    <row r="18" spans="1:12" ht="15" customHeight="1" x14ac:dyDescent="0.2">
      <c r="B18" s="106">
        <v>7500000</v>
      </c>
      <c r="C18" s="107">
        <v>1490666.25412541</v>
      </c>
      <c r="D18" s="107">
        <v>1490666.25412541</v>
      </c>
      <c r="E18" s="107">
        <v>1490666.25412541</v>
      </c>
      <c r="F18" s="107">
        <v>1490666.25412541</v>
      </c>
      <c r="G18" s="107">
        <v>1490666.25412541</v>
      </c>
    </row>
    <row r="19" spans="1:12" ht="15" customHeight="1" x14ac:dyDescent="0.2">
      <c r="B19" s="106">
        <v>10000000</v>
      </c>
      <c r="C19" s="107">
        <v>1987555.0055005499</v>
      </c>
      <c r="D19" s="107">
        <v>1987555.0055005499</v>
      </c>
      <c r="E19" s="107">
        <v>1987555.0055005499</v>
      </c>
      <c r="F19" s="107">
        <v>1987555.0055005499</v>
      </c>
      <c r="G19" s="107">
        <v>1987555.0055005499</v>
      </c>
    </row>
    <row r="21" spans="1:12" ht="25.5" customHeight="1" x14ac:dyDescent="0.2">
      <c r="B21" s="4" t="s">
        <v>450</v>
      </c>
      <c r="C21" s="4"/>
      <c r="D21" s="4"/>
      <c r="E21" s="4"/>
      <c r="F21" s="4"/>
      <c r="G21" s="4"/>
    </row>
    <row r="23" spans="1:12" ht="21.75" customHeight="1" x14ac:dyDescent="0.2">
      <c r="A23" s="10" t="s">
        <v>451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 x14ac:dyDescent="0.2">
      <c r="B24" s="103" t="s">
        <v>452</v>
      </c>
      <c r="C24" s="106">
        <v>40000</v>
      </c>
      <c r="D24" s="106">
        <v>56000</v>
      </c>
      <c r="E24" s="106">
        <v>75000</v>
      </c>
      <c r="F24" s="106">
        <v>100000</v>
      </c>
      <c r="G24" s="106">
        <v>150000</v>
      </c>
    </row>
    <row r="25" spans="1:12" ht="15" customHeight="1" x14ac:dyDescent="0.2">
      <c r="B25" s="106">
        <v>2000000</v>
      </c>
      <c r="C25" s="107">
        <v>0</v>
      </c>
      <c r="D25" s="107">
        <v>0</v>
      </c>
      <c r="E25" s="107">
        <v>68000</v>
      </c>
      <c r="F25" s="107">
        <v>193000</v>
      </c>
      <c r="G25" s="107">
        <v>443000</v>
      </c>
    </row>
    <row r="26" spans="1:12" ht="15" customHeight="1" x14ac:dyDescent="0.2">
      <c r="B26" s="106">
        <v>3000000</v>
      </c>
      <c r="C26" s="107">
        <v>0</v>
      </c>
      <c r="D26" s="107">
        <v>0</v>
      </c>
      <c r="E26" s="107">
        <v>0</v>
      </c>
      <c r="F26" s="107">
        <v>0</v>
      </c>
      <c r="G26" s="107">
        <v>235500</v>
      </c>
    </row>
    <row r="27" spans="1:12" ht="15" customHeight="1" x14ac:dyDescent="0.2">
      <c r="B27" s="106">
        <v>5000000</v>
      </c>
      <c r="C27" s="107">
        <v>0</v>
      </c>
      <c r="D27" s="107">
        <v>0</v>
      </c>
      <c r="E27" s="107">
        <v>0</v>
      </c>
      <c r="F27" s="107">
        <v>0</v>
      </c>
      <c r="G27" s="107">
        <v>0</v>
      </c>
    </row>
    <row r="28" spans="1:12" ht="15" customHeight="1" x14ac:dyDescent="0.2">
      <c r="B28" s="106">
        <v>7500000</v>
      </c>
      <c r="C28" s="107">
        <v>0</v>
      </c>
      <c r="D28" s="107">
        <v>0</v>
      </c>
      <c r="E28" s="107">
        <v>0</v>
      </c>
      <c r="F28" s="107">
        <v>0</v>
      </c>
      <c r="G28" s="107">
        <v>0</v>
      </c>
    </row>
    <row r="29" spans="1:12" ht="15" customHeight="1" x14ac:dyDescent="0.2">
      <c r="B29" s="106">
        <v>10000000</v>
      </c>
      <c r="C29" s="107">
        <v>0</v>
      </c>
      <c r="D29" s="107">
        <v>0</v>
      </c>
      <c r="E29" s="107">
        <v>0</v>
      </c>
      <c r="F29" s="107">
        <v>0</v>
      </c>
      <c r="G29" s="107">
        <v>0</v>
      </c>
    </row>
    <row r="31" spans="1:12" ht="25.5" customHeight="1" x14ac:dyDescent="0.2">
      <c r="B31" s="4" t="s">
        <v>453</v>
      </c>
      <c r="C31" s="4"/>
      <c r="D31" s="4"/>
      <c r="E31" s="4"/>
      <c r="F31" s="4"/>
      <c r="G31" s="4"/>
    </row>
    <row r="33" spans="1:12" ht="21.75" customHeight="1" x14ac:dyDescent="0.2">
      <c r="A33" s="10" t="s">
        <v>454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 x14ac:dyDescent="0.2">
      <c r="B34" s="103" t="s">
        <v>455</v>
      </c>
      <c r="C34" s="108">
        <v>2</v>
      </c>
      <c r="D34" s="108">
        <v>2.5</v>
      </c>
      <c r="E34" s="108">
        <v>2.9</v>
      </c>
      <c r="F34" s="108">
        <v>3.5</v>
      </c>
      <c r="G34" s="108">
        <v>4.5</v>
      </c>
    </row>
    <row r="35" spans="1:12" ht="15" customHeight="1" x14ac:dyDescent="0.2">
      <c r="B35" s="104">
        <v>0.1</v>
      </c>
      <c r="C35" s="105">
        <v>0.10155</v>
      </c>
      <c r="D35" s="105">
        <v>9.6839999999999996E-2</v>
      </c>
      <c r="E35" s="105">
        <v>9.4241379310344903E-2</v>
      </c>
      <c r="F35" s="105">
        <v>9.1457142857142903E-2</v>
      </c>
      <c r="G35" s="105">
        <v>8.8466666666666693E-2</v>
      </c>
    </row>
    <row r="36" spans="1:12" ht="15" customHeight="1" x14ac:dyDescent="0.2">
      <c r="B36" s="104">
        <v>0.115</v>
      </c>
      <c r="C36" s="105">
        <v>0.11655</v>
      </c>
      <c r="D36" s="105">
        <v>0.11183999999999999</v>
      </c>
      <c r="E36" s="105">
        <v>0.109241379310345</v>
      </c>
      <c r="F36" s="105">
        <v>0.106457142857143</v>
      </c>
      <c r="G36" s="105">
        <v>0.103466666666667</v>
      </c>
    </row>
    <row r="37" spans="1:12" ht="15" customHeight="1" x14ac:dyDescent="0.2">
      <c r="B37" s="104">
        <v>0.124</v>
      </c>
      <c r="C37" s="105">
        <v>0.12554999999999999</v>
      </c>
      <c r="D37" s="105">
        <v>0.12084</v>
      </c>
      <c r="E37" s="105">
        <v>0.11824137931034499</v>
      </c>
      <c r="F37" s="105">
        <v>0.11545714285714299</v>
      </c>
      <c r="G37" s="105">
        <v>0.11246666666666701</v>
      </c>
    </row>
    <row r="38" spans="1:12" ht="15" customHeight="1" x14ac:dyDescent="0.2">
      <c r="B38" s="104">
        <v>0.13500000000000001</v>
      </c>
      <c r="C38" s="105">
        <v>0.13655</v>
      </c>
      <c r="D38" s="105">
        <v>0.13184000000000001</v>
      </c>
      <c r="E38" s="105">
        <v>0.12924137931034499</v>
      </c>
      <c r="F38" s="105">
        <v>0.12645714285714299</v>
      </c>
      <c r="G38" s="105">
        <v>0.123466666666667</v>
      </c>
    </row>
    <row r="39" spans="1:12" ht="15" customHeight="1" x14ac:dyDescent="0.2">
      <c r="B39" s="104">
        <v>0.15</v>
      </c>
      <c r="C39" s="105">
        <v>0.15154999999999999</v>
      </c>
      <c r="D39" s="105">
        <v>0.14684</v>
      </c>
      <c r="E39" s="105">
        <v>0.144241379310345</v>
      </c>
      <c r="F39" s="105">
        <v>0.141457142857143</v>
      </c>
      <c r="G39" s="105">
        <v>0.13846666666666699</v>
      </c>
    </row>
    <row r="41" spans="1:12" ht="25.5" customHeight="1" x14ac:dyDescent="0.2">
      <c r="B41" s="4" t="s">
        <v>456</v>
      </c>
      <c r="C41" s="4"/>
      <c r="D41" s="4"/>
      <c r="E41" s="4"/>
      <c r="F41" s="4"/>
      <c r="G41" s="4"/>
    </row>
    <row r="43" spans="1:12" ht="21.75" customHeight="1" x14ac:dyDescent="0.2">
      <c r="A43" s="10" t="s">
        <v>457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 x14ac:dyDescent="0.2">
      <c r="B44" s="26" t="s">
        <v>43</v>
      </c>
      <c r="C44" s="28" t="s">
        <v>458</v>
      </c>
      <c r="D44" s="28" t="s">
        <v>459</v>
      </c>
      <c r="E44" s="28" t="s">
        <v>460</v>
      </c>
      <c r="F44" s="5" t="s">
        <v>46</v>
      </c>
      <c r="G44" s="5"/>
      <c r="H44" s="5"/>
    </row>
    <row r="45" spans="1:12" ht="18.75" customHeight="1" x14ac:dyDescent="0.2">
      <c r="B45" s="27" t="s">
        <v>461</v>
      </c>
      <c r="C45" s="59" t="s">
        <v>462</v>
      </c>
      <c r="D45" s="109" t="s">
        <v>463</v>
      </c>
      <c r="E45" s="55" t="s">
        <v>464</v>
      </c>
      <c r="F45" s="4" t="s">
        <v>465</v>
      </c>
      <c r="G45" s="4"/>
      <c r="H45" s="4"/>
    </row>
    <row r="46" spans="1:12" ht="15" customHeight="1" x14ac:dyDescent="0.2">
      <c r="B46" s="27" t="s">
        <v>466</v>
      </c>
      <c r="C46" s="62" t="s">
        <v>467</v>
      </c>
      <c r="D46" s="109" t="s">
        <v>468</v>
      </c>
      <c r="E46" s="55" t="s">
        <v>464</v>
      </c>
      <c r="F46" s="4" t="s">
        <v>469</v>
      </c>
      <c r="G46" s="4"/>
      <c r="H46" s="4"/>
    </row>
    <row r="47" spans="1:12" ht="15" customHeight="1" x14ac:dyDescent="0.2">
      <c r="B47" s="27" t="s">
        <v>470</v>
      </c>
      <c r="C47" s="62" t="s">
        <v>467</v>
      </c>
      <c r="D47" s="109" t="s">
        <v>471</v>
      </c>
      <c r="E47" s="55" t="s">
        <v>472</v>
      </c>
      <c r="F47" s="4" t="s">
        <v>473</v>
      </c>
      <c r="G47" s="4"/>
      <c r="H47" s="4"/>
    </row>
    <row r="48" spans="1:12" ht="15" customHeight="1" x14ac:dyDescent="0.2">
      <c r="B48" s="27" t="s">
        <v>474</v>
      </c>
      <c r="C48" s="62" t="s">
        <v>467</v>
      </c>
      <c r="D48" s="109" t="s">
        <v>475</v>
      </c>
      <c r="E48" s="55" t="s">
        <v>476</v>
      </c>
      <c r="F48" s="4" t="s">
        <v>477</v>
      </c>
      <c r="G48" s="4"/>
      <c r="H48" s="4"/>
    </row>
    <row r="49" spans="2:8" ht="18.75" customHeight="1" x14ac:dyDescent="0.2">
      <c r="B49" s="27" t="s">
        <v>478</v>
      </c>
      <c r="C49" s="54" t="s">
        <v>479</v>
      </c>
      <c r="D49" s="109" t="s">
        <v>480</v>
      </c>
      <c r="E49" s="55" t="s">
        <v>481</v>
      </c>
      <c r="F49" s="4" t="s">
        <v>482</v>
      </c>
      <c r="G49" s="4"/>
      <c r="H49" s="4"/>
    </row>
    <row r="50" spans="2:8" ht="15" customHeight="1" x14ac:dyDescent="0.2">
      <c r="B50" s="27" t="s">
        <v>483</v>
      </c>
      <c r="C50" s="59" t="s">
        <v>462</v>
      </c>
      <c r="D50" s="109" t="s">
        <v>484</v>
      </c>
      <c r="E50" s="55" t="s">
        <v>485</v>
      </c>
      <c r="F50" s="4" t="s">
        <v>486</v>
      </c>
      <c r="G50" s="4"/>
      <c r="H50" s="4"/>
    </row>
    <row r="51" spans="2:8" ht="20.25" customHeight="1" x14ac:dyDescent="0.2">
      <c r="B51" s="27" t="s">
        <v>487</v>
      </c>
      <c r="C51" s="59" t="s">
        <v>462</v>
      </c>
      <c r="D51" s="109" t="s">
        <v>488</v>
      </c>
      <c r="E51" s="55" t="s">
        <v>489</v>
      </c>
      <c r="F51" s="4" t="s">
        <v>490</v>
      </c>
      <c r="G51" s="4"/>
      <c r="H51" s="4"/>
    </row>
    <row r="52" spans="2:8" ht="20.25" customHeight="1" x14ac:dyDescent="0.2">
      <c r="B52" s="27" t="s">
        <v>491</v>
      </c>
      <c r="C52" s="59" t="s">
        <v>462</v>
      </c>
      <c r="D52" s="109" t="s">
        <v>492</v>
      </c>
      <c r="E52" s="55" t="s">
        <v>493</v>
      </c>
      <c r="F52" s="4" t="s">
        <v>494</v>
      </c>
      <c r="G52" s="4"/>
      <c r="H52" s="4"/>
    </row>
    <row r="53" spans="2:8" ht="15" customHeight="1" x14ac:dyDescent="0.2">
      <c r="B53" s="27" t="s">
        <v>40</v>
      </c>
      <c r="C53" s="62" t="s">
        <v>467</v>
      </c>
      <c r="D53" s="109" t="s">
        <v>495</v>
      </c>
      <c r="E53" s="55" t="s">
        <v>496</v>
      </c>
      <c r="F53" s="4" t="s">
        <v>497</v>
      </c>
      <c r="G53" s="4"/>
      <c r="H53" s="4"/>
    </row>
  </sheetData>
  <mergeCells count="21">
    <mergeCell ref="F53:H53"/>
    <mergeCell ref="F48:H48"/>
    <mergeCell ref="F49:H49"/>
    <mergeCell ref="F50:H50"/>
    <mergeCell ref="F51:H51"/>
    <mergeCell ref="F52:H52"/>
    <mergeCell ref="A43:L43"/>
    <mergeCell ref="F44:H44"/>
    <mergeCell ref="F45:H45"/>
    <mergeCell ref="F46:H46"/>
    <mergeCell ref="F47:H47"/>
    <mergeCell ref="B21:G21"/>
    <mergeCell ref="A23:L23"/>
    <mergeCell ref="B31:G31"/>
    <mergeCell ref="A33:L33"/>
    <mergeCell ref="B41:G41"/>
    <mergeCell ref="A1:L1"/>
    <mergeCell ref="A2:L2"/>
    <mergeCell ref="A4:L4"/>
    <mergeCell ref="C11:G11"/>
    <mergeCell ref="A13:L13"/>
  </mergeCells>
  <conditionalFormatting sqref="C6:G10">
    <cfRule type="colorScale" priority="2">
      <colorScale>
        <cfvo type="min"/>
        <cfvo type="percentile" val="50"/>
        <cfvo type="max"/>
        <color rgb="FFFBD5D5"/>
        <color rgb="FFFFFFFF"/>
        <color rgb="FFD4F4DD"/>
      </colorScale>
    </cfRule>
  </conditionalFormatting>
  <conditionalFormatting sqref="C15:G19">
    <cfRule type="colorScale" priority="3">
      <colorScale>
        <cfvo type="min"/>
        <cfvo type="percentile" val="50"/>
        <cfvo type="max"/>
        <color rgb="FFFBD5D5"/>
        <color rgb="FFFFFFFF"/>
        <color rgb="FFD4F4DD"/>
      </colorScale>
    </cfRule>
  </conditionalFormatting>
  <conditionalFormatting sqref="C25:G29">
    <cfRule type="colorScale" priority="4">
      <colorScale>
        <cfvo type="min"/>
        <cfvo type="percentile" val="50"/>
        <cfvo type="max"/>
        <color rgb="FFD4F4DD"/>
        <color rgb="FFFFFFFF"/>
        <color rgb="FFFBD5D5"/>
      </colorScale>
    </cfRule>
  </conditionalFormatting>
  <conditionalFormatting sqref="C35:G39">
    <cfRule type="colorScale" priority="5">
      <colorScale>
        <cfvo type="min"/>
        <cfvo type="percentile" val="50"/>
        <cfvo type="max"/>
        <color rgb="FFFBD5D5"/>
        <color rgb="FFFFFFFF"/>
        <color rgb="FFD4F4D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zoomScaleNormal="100" workbookViewId="0">
      <selection activeCell="B36" sqref="B36"/>
    </sheetView>
  </sheetViews>
  <sheetFormatPr baseColWidth="10" defaultColWidth="14.5" defaultRowHeight="15" customHeight="1" x14ac:dyDescent="0.2"/>
  <cols>
    <col min="1" max="1" width="42" customWidth="1"/>
    <col min="2" max="2" width="16" customWidth="1"/>
    <col min="3" max="3" width="63" customWidth="1"/>
    <col min="4" max="4" width="16" customWidth="1"/>
    <col min="5" max="5" width="55" customWidth="1"/>
    <col min="6" max="6" width="12" customWidth="1"/>
    <col min="7" max="7" width="60" customWidth="1"/>
    <col min="8" max="26" width="8.6640625" customWidth="1"/>
  </cols>
  <sheetData>
    <row r="1" spans="1:7" ht="17.25" customHeight="1" x14ac:dyDescent="0.2">
      <c r="A1" s="110" t="s">
        <v>498</v>
      </c>
    </row>
    <row r="2" spans="1:7" ht="15" customHeight="1" x14ac:dyDescent="0.2">
      <c r="A2" s="111" t="s">
        <v>499</v>
      </c>
    </row>
    <row r="3" spans="1:7" ht="15" customHeight="1" x14ac:dyDescent="0.2">
      <c r="B3" s="112" t="s">
        <v>500</v>
      </c>
      <c r="C3" s="113" t="s">
        <v>501</v>
      </c>
      <c r="D3" s="114" t="s">
        <v>502</v>
      </c>
      <c r="E3" s="114" t="s">
        <v>503</v>
      </c>
    </row>
    <row r="5" spans="1:7" ht="15" customHeight="1" x14ac:dyDescent="0.2">
      <c r="A5" s="115" t="s">
        <v>66</v>
      </c>
    </row>
    <row r="6" spans="1:7" ht="15" customHeight="1" x14ac:dyDescent="0.2">
      <c r="A6" s="116" t="s">
        <v>192</v>
      </c>
      <c r="B6" s="117">
        <v>3000000</v>
      </c>
      <c r="C6" s="111" t="s">
        <v>504</v>
      </c>
      <c r="D6" s="117">
        <v>3000000</v>
      </c>
      <c r="E6" s="118" t="s">
        <v>505</v>
      </c>
      <c r="F6" s="119" t="s">
        <v>506</v>
      </c>
    </row>
    <row r="7" spans="1:7" ht="15" customHeight="1" x14ac:dyDescent="0.2">
      <c r="A7" s="116" t="s">
        <v>69</v>
      </c>
      <c r="B7" s="120">
        <v>11</v>
      </c>
      <c r="C7" s="111" t="s">
        <v>507</v>
      </c>
      <c r="D7" s="120">
        <v>11</v>
      </c>
      <c r="E7" s="118" t="s">
        <v>508</v>
      </c>
      <c r="F7" s="121" t="s">
        <v>509</v>
      </c>
    </row>
    <row r="8" spans="1:7" ht="15" customHeight="1" x14ac:dyDescent="0.2">
      <c r="A8" s="116" t="s">
        <v>510</v>
      </c>
      <c r="B8" s="120">
        <v>40000</v>
      </c>
      <c r="C8" s="111" t="s">
        <v>511</v>
      </c>
      <c r="D8" s="111" t="s">
        <v>199</v>
      </c>
      <c r="E8" s="118" t="s">
        <v>512</v>
      </c>
      <c r="F8" s="121"/>
    </row>
    <row r="9" spans="1:7" ht="15" customHeight="1" x14ac:dyDescent="0.2">
      <c r="A9" s="116" t="s">
        <v>11</v>
      </c>
      <c r="B9" s="122">
        <v>0.35</v>
      </c>
      <c r="C9" s="111" t="s">
        <v>513</v>
      </c>
      <c r="D9" s="120">
        <v>0.35</v>
      </c>
      <c r="E9" s="118" t="s">
        <v>514</v>
      </c>
      <c r="F9" s="119" t="s">
        <v>515</v>
      </c>
      <c r="G9" s="119" t="s">
        <v>516</v>
      </c>
    </row>
    <row r="10" spans="1:7" ht="15" customHeight="1" x14ac:dyDescent="0.2">
      <c r="A10" s="116" t="s">
        <v>76</v>
      </c>
      <c r="B10" s="120" t="s">
        <v>77</v>
      </c>
      <c r="C10" s="111" t="s">
        <v>517</v>
      </c>
      <c r="D10" s="120" t="s">
        <v>77</v>
      </c>
      <c r="E10" s="118" t="s">
        <v>518</v>
      </c>
    </row>
    <row r="12" spans="1:7" ht="15" customHeight="1" x14ac:dyDescent="0.2">
      <c r="A12" s="115" t="s">
        <v>519</v>
      </c>
    </row>
    <row r="13" spans="1:7" ht="15" customHeight="1" x14ac:dyDescent="0.2">
      <c r="A13" s="123" t="s">
        <v>90</v>
      </c>
      <c r="B13" s="123" t="s">
        <v>520</v>
      </c>
      <c r="C13" s="123" t="s">
        <v>92</v>
      </c>
      <c r="D13" s="123" t="s">
        <v>521</v>
      </c>
      <c r="E13" s="123" t="s">
        <v>522</v>
      </c>
    </row>
    <row r="14" spans="1:7" ht="15" customHeight="1" x14ac:dyDescent="0.2">
      <c r="A14" s="120">
        <v>1</v>
      </c>
      <c r="B14" s="124">
        <v>0.105</v>
      </c>
      <c r="C14" s="125">
        <v>0.1</v>
      </c>
      <c r="D14" s="126">
        <v>9.5000000000000001E-2</v>
      </c>
      <c r="E14" s="118" t="s">
        <v>523</v>
      </c>
      <c r="G14" s="127">
        <f>-PMT((B14/12),(12*A14),(C14*B$6))</f>
        <v>26444.580868273802</v>
      </c>
    </row>
    <row r="15" spans="1:7" ht="15" customHeight="1" x14ac:dyDescent="0.2">
      <c r="A15" s="120">
        <v>2</v>
      </c>
      <c r="B15" s="124">
        <v>0.115</v>
      </c>
      <c r="C15" s="125">
        <v>0.25</v>
      </c>
      <c r="D15" s="126">
        <v>0.105</v>
      </c>
      <c r="E15" s="118">
        <v>2.7</v>
      </c>
      <c r="G15" s="127">
        <f>-PMT((B15/12),(12*A15),(C15*B$6))</f>
        <v>35130.2364740095</v>
      </c>
    </row>
    <row r="16" spans="1:7" ht="15" customHeight="1" x14ac:dyDescent="0.2">
      <c r="A16" s="120">
        <v>3</v>
      </c>
      <c r="B16" s="124">
        <v>0.125</v>
      </c>
      <c r="C16" s="125">
        <v>0.4</v>
      </c>
      <c r="D16" s="126">
        <v>0.115</v>
      </c>
      <c r="E16" s="118">
        <v>2.7</v>
      </c>
      <c r="G16" s="127">
        <f>-PMT((B16/12),(12*A16),(C16*B$6))</f>
        <v>40144.35069205983</v>
      </c>
    </row>
    <row r="17" spans="1:7" ht="15" customHeight="1" x14ac:dyDescent="0.2">
      <c r="A17" s="120">
        <v>4</v>
      </c>
      <c r="B17" s="124">
        <v>0.13500000000000001</v>
      </c>
      <c r="C17" s="125">
        <v>0.15</v>
      </c>
      <c r="D17" s="126">
        <v>0.125</v>
      </c>
      <c r="E17" s="118">
        <v>2.7</v>
      </c>
      <c r="G17" s="127">
        <f>-PMT((B17/12),(12*A17),(C17*B$6))</f>
        <v>12184.345329097569</v>
      </c>
    </row>
    <row r="18" spans="1:7" ht="15" customHeight="1" x14ac:dyDescent="0.2">
      <c r="A18" s="120">
        <v>5</v>
      </c>
      <c r="B18" s="124">
        <v>0.14499999999999999</v>
      </c>
      <c r="C18" s="125">
        <v>0.1</v>
      </c>
      <c r="D18" s="126">
        <v>0.13500000000000001</v>
      </c>
      <c r="E18" s="118" t="s">
        <v>524</v>
      </c>
      <c r="G18" s="127">
        <f>-PMT((B18/12),(12*A18),(C18*B$6))</f>
        <v>7058.4843242574207</v>
      </c>
    </row>
    <row r="19" spans="1:7" ht="15" customHeight="1" x14ac:dyDescent="0.2">
      <c r="A19" s="120"/>
      <c r="B19" s="126"/>
      <c r="C19" s="122"/>
      <c r="D19" s="126"/>
      <c r="E19" s="118"/>
      <c r="G19" s="128">
        <f>SUM(G14:G18)</f>
        <v>120961.99768769814</v>
      </c>
    </row>
    <row r="20" spans="1:7" ht="15" customHeight="1" x14ac:dyDescent="0.2">
      <c r="A20" s="113" t="s">
        <v>206</v>
      </c>
      <c r="B20" s="129">
        <f>A14*C14+A15*C15+A16*C16+A17*C17+A18*C18</f>
        <v>2.9000000000000004</v>
      </c>
      <c r="G20" s="130">
        <f>G19*12</f>
        <v>1451543.9722523778</v>
      </c>
    </row>
    <row r="21" spans="1:7" ht="15" customHeight="1" x14ac:dyDescent="0.2">
      <c r="A21" s="113" t="s">
        <v>525</v>
      </c>
      <c r="B21" s="131">
        <f>B14*C14+B15*C15+B16*C16+B17*C17+B18*C18</f>
        <v>0.124</v>
      </c>
    </row>
    <row r="22" spans="1:7" ht="15" customHeight="1" x14ac:dyDescent="0.2">
      <c r="A22" s="116" t="s">
        <v>526</v>
      </c>
      <c r="B22" s="131">
        <f>1/B20</f>
        <v>0.34482758620689652</v>
      </c>
    </row>
    <row r="23" spans="1:7" ht="15" customHeight="1" x14ac:dyDescent="0.2">
      <c r="A23" s="116" t="s">
        <v>527</v>
      </c>
      <c r="B23" s="122">
        <v>1</v>
      </c>
    </row>
    <row r="24" spans="1:7" ht="15" customHeight="1" x14ac:dyDescent="0.2">
      <c r="A24" s="113" t="s">
        <v>528</v>
      </c>
      <c r="B24" s="131">
        <f>B21*B23</f>
        <v>0.124</v>
      </c>
      <c r="C24" s="119">
        <f>B24*0.7</f>
        <v>8.6799999999999988E-2</v>
      </c>
    </row>
    <row r="25" spans="1:7" ht="15.75" customHeight="1" x14ac:dyDescent="0.2"/>
    <row r="26" spans="1:7" ht="15" customHeight="1" x14ac:dyDescent="0.2">
      <c r="A26" s="115" t="s">
        <v>529</v>
      </c>
    </row>
    <row r="27" spans="1:7" ht="15" customHeight="1" x14ac:dyDescent="0.2">
      <c r="A27" s="123" t="s">
        <v>147</v>
      </c>
      <c r="B27" s="123" t="s">
        <v>44</v>
      </c>
      <c r="C27" s="123" t="s">
        <v>530</v>
      </c>
      <c r="D27" s="123" t="s">
        <v>531</v>
      </c>
      <c r="E27" s="123" t="s">
        <v>532</v>
      </c>
    </row>
    <row r="28" spans="1:7" ht="15" customHeight="1" x14ac:dyDescent="0.2">
      <c r="A28" s="116" t="s">
        <v>533</v>
      </c>
      <c r="B28" s="132">
        <v>1.2E-2</v>
      </c>
      <c r="C28" s="119" t="s">
        <v>534</v>
      </c>
      <c r="D28" s="132">
        <v>1.2500000000000001E-2</v>
      </c>
      <c r="E28" s="118" t="s">
        <v>535</v>
      </c>
      <c r="F28" s="119" t="s">
        <v>536</v>
      </c>
      <c r="G28" s="119" t="s">
        <v>537</v>
      </c>
    </row>
    <row r="29" spans="1:7" ht="15" customHeight="1" x14ac:dyDescent="0.2">
      <c r="A29" s="116" t="s">
        <v>538</v>
      </c>
      <c r="B29" s="132">
        <v>2E-3</v>
      </c>
      <c r="C29" s="119" t="s">
        <v>539</v>
      </c>
      <c r="D29" s="132">
        <v>2E-3</v>
      </c>
      <c r="E29" s="118" t="s">
        <v>540</v>
      </c>
      <c r="F29" s="119" t="s">
        <v>541</v>
      </c>
      <c r="G29" s="119" t="s">
        <v>542</v>
      </c>
    </row>
    <row r="30" spans="1:7" ht="15" customHeight="1" x14ac:dyDescent="0.2">
      <c r="A30" s="116" t="s">
        <v>543</v>
      </c>
      <c r="B30" s="133">
        <v>0</v>
      </c>
      <c r="C30" s="119" t="s">
        <v>544</v>
      </c>
      <c r="D30" s="132">
        <v>0</v>
      </c>
      <c r="E30" s="118" t="s">
        <v>545</v>
      </c>
      <c r="F30" s="119" t="s">
        <v>546</v>
      </c>
      <c r="G30" s="119" t="s">
        <v>547</v>
      </c>
    </row>
    <row r="31" spans="1:7" ht="15" customHeight="1" x14ac:dyDescent="0.2">
      <c r="A31" s="113" t="s">
        <v>548</v>
      </c>
      <c r="B31" s="133">
        <v>1.2500000000000001E-2</v>
      </c>
      <c r="C31" s="119" t="s">
        <v>549</v>
      </c>
      <c r="D31" s="132">
        <v>0.01</v>
      </c>
      <c r="E31" s="118" t="s">
        <v>550</v>
      </c>
      <c r="F31" s="119" t="s">
        <v>551</v>
      </c>
      <c r="G31" s="119" t="s">
        <v>552</v>
      </c>
    </row>
    <row r="32" spans="1:7" ht="15" customHeight="1" x14ac:dyDescent="0.2">
      <c r="A32" s="116" t="s">
        <v>553</v>
      </c>
      <c r="B32" s="134">
        <v>0.01</v>
      </c>
      <c r="C32" s="119" t="s">
        <v>554</v>
      </c>
      <c r="D32" s="132">
        <v>7.0000000000000001E-3</v>
      </c>
      <c r="E32" s="118" t="s">
        <v>555</v>
      </c>
      <c r="F32" s="119" t="s">
        <v>551</v>
      </c>
      <c r="G32" s="119" t="s">
        <v>556</v>
      </c>
    </row>
    <row r="33" spans="1:7" ht="15" customHeight="1" x14ac:dyDescent="0.2">
      <c r="A33" s="135" t="s">
        <v>225</v>
      </c>
      <c r="B33" s="136">
        <v>0.1</v>
      </c>
      <c r="C33" s="137" t="s">
        <v>557</v>
      </c>
      <c r="D33" s="138">
        <v>0</v>
      </c>
      <c r="E33" s="139" t="s">
        <v>558</v>
      </c>
    </row>
    <row r="34" spans="1:7" ht="15" customHeight="1" x14ac:dyDescent="0.2">
      <c r="A34" s="135" t="s">
        <v>47</v>
      </c>
      <c r="B34" s="136">
        <v>0.06</v>
      </c>
      <c r="C34" s="137" t="s">
        <v>559</v>
      </c>
      <c r="D34" s="140">
        <v>0</v>
      </c>
      <c r="E34" s="139" t="s">
        <v>560</v>
      </c>
    </row>
    <row r="35" spans="1:7" ht="15" customHeight="1" x14ac:dyDescent="0.2">
      <c r="A35" s="116" t="s">
        <v>561</v>
      </c>
      <c r="B35" s="126">
        <v>5.3999999999999999E-2</v>
      </c>
      <c r="C35" s="119" t="s">
        <v>562</v>
      </c>
      <c r="D35" s="126">
        <v>5.3999999999999999E-2</v>
      </c>
      <c r="E35" s="118" t="s">
        <v>563</v>
      </c>
      <c r="F35" s="119" t="s">
        <v>564</v>
      </c>
      <c r="G35" s="119" t="s">
        <v>565</v>
      </c>
    </row>
    <row r="36" spans="1:7" ht="15" customHeight="1" x14ac:dyDescent="0.2">
      <c r="A36" s="116" t="s">
        <v>232</v>
      </c>
      <c r="B36" s="132">
        <v>1.4999999999999999E-2</v>
      </c>
      <c r="C36" s="119" t="s">
        <v>566</v>
      </c>
      <c r="D36" s="132">
        <v>1.4999999999999999E-2</v>
      </c>
      <c r="E36" s="118" t="s">
        <v>567</v>
      </c>
      <c r="F36" s="119">
        <v>10.4</v>
      </c>
    </row>
    <row r="37" spans="1:7" ht="15" customHeight="1" x14ac:dyDescent="0.2">
      <c r="A37" s="116" t="s">
        <v>235</v>
      </c>
      <c r="B37" s="132">
        <v>2.5000000000000001E-3</v>
      </c>
      <c r="C37" s="119" t="s">
        <v>568</v>
      </c>
      <c r="D37" s="132">
        <v>2.5000000000000001E-3</v>
      </c>
      <c r="E37" s="118" t="s">
        <v>569</v>
      </c>
      <c r="F37" s="119">
        <v>10.4</v>
      </c>
    </row>
    <row r="38" spans="1:7" ht="15" customHeight="1" x14ac:dyDescent="0.2">
      <c r="A38" s="116" t="s">
        <v>570</v>
      </c>
      <c r="B38" s="122">
        <v>0.05</v>
      </c>
      <c r="C38" s="119" t="s">
        <v>571</v>
      </c>
      <c r="D38" s="122">
        <v>0.05</v>
      </c>
      <c r="E38" s="118" t="s">
        <v>572</v>
      </c>
      <c r="F38" s="119" t="s">
        <v>573</v>
      </c>
      <c r="G38" s="119" t="s">
        <v>574</v>
      </c>
    </row>
    <row r="39" spans="1:7" ht="15" customHeight="1" x14ac:dyDescent="0.2">
      <c r="A39" s="116" t="s">
        <v>575</v>
      </c>
      <c r="B39" s="122">
        <v>0.21</v>
      </c>
      <c r="D39" s="122">
        <v>0.21</v>
      </c>
    </row>
    <row r="40" spans="1:7" ht="15" customHeight="1" x14ac:dyDescent="0.2">
      <c r="A40" s="119" t="s">
        <v>576</v>
      </c>
      <c r="B40" s="137">
        <v>21600</v>
      </c>
      <c r="C40" s="119" t="s">
        <v>577</v>
      </c>
      <c r="D40" s="119">
        <v>21600</v>
      </c>
      <c r="E40" s="119" t="s">
        <v>218</v>
      </c>
    </row>
    <row r="41" spans="1:7" ht="15" customHeight="1" x14ac:dyDescent="0.2">
      <c r="A41" s="115" t="s">
        <v>578</v>
      </c>
    </row>
    <row r="42" spans="1:7" ht="15" customHeight="1" x14ac:dyDescent="0.2">
      <c r="A42" s="116" t="s">
        <v>579</v>
      </c>
      <c r="B42" s="141">
        <v>10000</v>
      </c>
      <c r="C42" s="111" t="s">
        <v>580</v>
      </c>
    </row>
    <row r="43" spans="1:7" ht="15" customHeight="1" x14ac:dyDescent="0.2">
      <c r="A43" s="116" t="s">
        <v>581</v>
      </c>
      <c r="B43" s="141">
        <v>10000</v>
      </c>
      <c r="C43" s="111" t="s">
        <v>580</v>
      </c>
    </row>
    <row r="44" spans="1:7" ht="15" customHeight="1" x14ac:dyDescent="0.2">
      <c r="A44" s="116" t="s">
        <v>582</v>
      </c>
      <c r="B44" s="141">
        <v>12100</v>
      </c>
      <c r="C44" s="111" t="s">
        <v>583</v>
      </c>
    </row>
    <row r="45" spans="1:7" ht="15" customHeight="1" x14ac:dyDescent="0.2">
      <c r="A45" s="116" t="s">
        <v>584</v>
      </c>
      <c r="B45" s="141">
        <v>12000</v>
      </c>
      <c r="C45" s="111" t="s">
        <v>580</v>
      </c>
    </row>
    <row r="46" spans="1:7" ht="15" customHeight="1" x14ac:dyDescent="0.2">
      <c r="A46" s="116" t="s">
        <v>585</v>
      </c>
      <c r="B46" s="141">
        <v>12000</v>
      </c>
      <c r="C46" s="111" t="s">
        <v>580</v>
      </c>
      <c r="D46" s="119" t="s">
        <v>586</v>
      </c>
      <c r="E46" s="142">
        <f>B46/3000000</f>
        <v>4.0000000000000001E-3</v>
      </c>
    </row>
    <row r="47" spans="1:7" ht="15" customHeight="1" x14ac:dyDescent="0.2">
      <c r="A47" s="116" t="s">
        <v>587</v>
      </c>
      <c r="B47" s="141">
        <v>6000</v>
      </c>
      <c r="C47" s="111" t="s">
        <v>580</v>
      </c>
    </row>
    <row r="48" spans="1:7" ht="15" customHeight="1" x14ac:dyDescent="0.2">
      <c r="A48" s="116" t="s">
        <v>588</v>
      </c>
      <c r="B48" s="141">
        <v>6000</v>
      </c>
      <c r="C48" s="111" t="s">
        <v>580</v>
      </c>
    </row>
    <row r="49" spans="1:7" ht="15.75" customHeight="1" x14ac:dyDescent="0.2"/>
    <row r="50" spans="1:7" ht="15" customHeight="1" x14ac:dyDescent="0.2">
      <c r="A50" s="115" t="s">
        <v>589</v>
      </c>
    </row>
    <row r="51" spans="1:7" ht="15" customHeight="1" x14ac:dyDescent="0.2">
      <c r="A51" s="116" t="s">
        <v>168</v>
      </c>
      <c r="B51" s="120">
        <v>1</v>
      </c>
      <c r="C51" s="119" t="s">
        <v>590</v>
      </c>
      <c r="D51" s="120">
        <v>1</v>
      </c>
      <c r="E51" s="118" t="s">
        <v>591</v>
      </c>
      <c r="F51" s="119" t="s">
        <v>592</v>
      </c>
      <c r="G51" s="119" t="s">
        <v>593</v>
      </c>
    </row>
    <row r="52" spans="1:7" ht="15" customHeight="1" x14ac:dyDescent="0.2">
      <c r="A52" s="116" t="s">
        <v>170</v>
      </c>
      <c r="B52" s="138">
        <v>0.5</v>
      </c>
      <c r="C52" s="119" t="s">
        <v>594</v>
      </c>
    </row>
    <row r="53" spans="1:7" ht="15" customHeight="1" x14ac:dyDescent="0.2">
      <c r="A53" s="116" t="s">
        <v>172</v>
      </c>
      <c r="B53" s="140">
        <v>3</v>
      </c>
      <c r="C53" s="119" t="s">
        <v>595</v>
      </c>
    </row>
    <row r="54" spans="1:7" ht="15" customHeight="1" x14ac:dyDescent="0.2">
      <c r="A54" s="116" t="s">
        <v>596</v>
      </c>
      <c r="B54" s="143">
        <v>0.08</v>
      </c>
      <c r="C54" s="119" t="s">
        <v>597</v>
      </c>
    </row>
    <row r="55" spans="1:7" ht="15.75" customHeight="1" x14ac:dyDescent="0.2"/>
    <row r="56" spans="1:7" ht="15" customHeight="1" x14ac:dyDescent="0.2">
      <c r="A56" s="144" t="s">
        <v>598</v>
      </c>
    </row>
    <row r="57" spans="1:7" ht="15" customHeight="1" x14ac:dyDescent="0.2">
      <c r="A57" s="116" t="s">
        <v>599</v>
      </c>
      <c r="B57" s="145">
        <v>50000</v>
      </c>
      <c r="C57" s="119" t="s">
        <v>600</v>
      </c>
      <c r="D57" s="120">
        <v>3</v>
      </c>
      <c r="E57" s="118" t="s">
        <v>601</v>
      </c>
      <c r="F57" s="119" t="s">
        <v>602</v>
      </c>
      <c r="G57" s="119" t="s">
        <v>603</v>
      </c>
    </row>
    <row r="58" spans="1:7" ht="15" customHeight="1" x14ac:dyDescent="0.2">
      <c r="A58" s="116" t="s">
        <v>604</v>
      </c>
      <c r="B58" s="136">
        <v>0.2</v>
      </c>
      <c r="C58" s="119" t="s">
        <v>605</v>
      </c>
      <c r="D58" s="122">
        <v>0.2</v>
      </c>
      <c r="E58" s="118" t="s">
        <v>606</v>
      </c>
      <c r="F58" s="119" t="s">
        <v>602</v>
      </c>
      <c r="G58" s="119" t="s">
        <v>607</v>
      </c>
    </row>
    <row r="59" spans="1:7" ht="15" customHeight="1" x14ac:dyDescent="0.2">
      <c r="A59" s="116" t="s">
        <v>608</v>
      </c>
      <c r="B59" s="146">
        <v>0</v>
      </c>
      <c r="C59" s="119" t="s">
        <v>609</v>
      </c>
      <c r="D59" s="122">
        <v>0.05</v>
      </c>
      <c r="E59" s="139" t="s">
        <v>610</v>
      </c>
      <c r="F59" s="119" t="s">
        <v>602</v>
      </c>
      <c r="G59" s="119" t="s">
        <v>611</v>
      </c>
    </row>
    <row r="60" spans="1:7" ht="15" customHeight="1" x14ac:dyDescent="0.2">
      <c r="A60" s="116" t="s">
        <v>612</v>
      </c>
      <c r="B60" s="136">
        <v>0</v>
      </c>
      <c r="C60" s="119" t="s">
        <v>613</v>
      </c>
    </row>
    <row r="61" spans="1:7" ht="15.75" customHeight="1" x14ac:dyDescent="0.2">
      <c r="A61" s="119" t="s">
        <v>614</v>
      </c>
      <c r="B61" s="119">
        <v>1.2E-2</v>
      </c>
      <c r="C61" s="119" t="s">
        <v>615</v>
      </c>
    </row>
    <row r="62" spans="1:7" ht="15" customHeight="1" x14ac:dyDescent="0.2">
      <c r="A62" s="115" t="s">
        <v>616</v>
      </c>
    </row>
    <row r="63" spans="1:7" ht="15" customHeight="1" x14ac:dyDescent="0.2">
      <c r="A63" s="116" t="s">
        <v>617</v>
      </c>
      <c r="B63" s="122">
        <v>0.15</v>
      </c>
      <c r="C63" s="119" t="s">
        <v>618</v>
      </c>
      <c r="F63" s="119" t="s">
        <v>619</v>
      </c>
      <c r="G63" s="119" t="s">
        <v>620</v>
      </c>
    </row>
    <row r="64" spans="1:7" ht="15" customHeight="1" x14ac:dyDescent="0.2">
      <c r="A64" s="116" t="s">
        <v>621</v>
      </c>
      <c r="B64" s="122">
        <v>0.15</v>
      </c>
      <c r="C64" s="119" t="s">
        <v>622</v>
      </c>
    </row>
    <row r="65" spans="1:7" ht="15" customHeight="1" x14ac:dyDescent="0.2">
      <c r="A65" s="116" t="s">
        <v>623</v>
      </c>
      <c r="C65" s="111" t="s">
        <v>624</v>
      </c>
    </row>
    <row r="66" spans="1:7" ht="15" customHeight="1" x14ac:dyDescent="0.2">
      <c r="A66" s="116" t="s">
        <v>625</v>
      </c>
      <c r="C66" s="111" t="s">
        <v>626</v>
      </c>
    </row>
    <row r="67" spans="1:7" ht="15.75" customHeight="1" x14ac:dyDescent="0.2"/>
    <row r="68" spans="1:7" ht="15" customHeight="1" x14ac:dyDescent="0.2">
      <c r="A68" s="115" t="s">
        <v>627</v>
      </c>
    </row>
    <row r="69" spans="1:7" ht="15" customHeight="1" x14ac:dyDescent="0.2">
      <c r="A69" s="116" t="s">
        <v>628</v>
      </c>
      <c r="B69" s="126">
        <v>0.09</v>
      </c>
      <c r="F69" s="119" t="s">
        <v>629</v>
      </c>
      <c r="G69" s="119" t="s">
        <v>630</v>
      </c>
    </row>
    <row r="70" spans="1:7" ht="15" customHeight="1" x14ac:dyDescent="0.2">
      <c r="A70" s="116" t="s">
        <v>631</v>
      </c>
      <c r="B70" s="120">
        <v>11</v>
      </c>
      <c r="C70" s="119" t="s">
        <v>632</v>
      </c>
    </row>
    <row r="71" spans="1:7" ht="15.75" customHeight="1" x14ac:dyDescent="0.2"/>
    <row r="72" spans="1:7" ht="15" customHeight="1" x14ac:dyDescent="0.2">
      <c r="A72" s="113" t="s">
        <v>633</v>
      </c>
    </row>
    <row r="73" spans="1:7" ht="15" customHeight="1" x14ac:dyDescent="0.2">
      <c r="A73" s="147" t="s">
        <v>634</v>
      </c>
      <c r="B73" s="126">
        <v>0.05</v>
      </c>
      <c r="C73" s="119" t="s">
        <v>635</v>
      </c>
    </row>
    <row r="74" spans="1:7" ht="15" customHeight="1" x14ac:dyDescent="0.2">
      <c r="A74" s="148" t="s">
        <v>636</v>
      </c>
      <c r="B74" s="126">
        <f>B38</f>
        <v>0.05</v>
      </c>
      <c r="C74" s="119" t="s">
        <v>637</v>
      </c>
    </row>
    <row r="75" spans="1:7" ht="15" customHeight="1" x14ac:dyDescent="0.2">
      <c r="A75" s="148" t="s">
        <v>638</v>
      </c>
      <c r="B75" s="126">
        <f>B73-B74</f>
        <v>0</v>
      </c>
      <c r="C75" s="119" t="s">
        <v>639</v>
      </c>
    </row>
    <row r="76" spans="1:7" ht="15" customHeight="1" x14ac:dyDescent="0.2">
      <c r="A76" s="148" t="s">
        <v>640</v>
      </c>
      <c r="B76" s="126">
        <v>0.21</v>
      </c>
      <c r="C76" s="119" t="s">
        <v>641</v>
      </c>
    </row>
    <row r="77" spans="1:7" ht="15" customHeight="1" x14ac:dyDescent="0.2">
      <c r="A77" s="148" t="s">
        <v>461</v>
      </c>
      <c r="B77" s="148" t="s">
        <v>642</v>
      </c>
    </row>
    <row r="78" spans="1:7" ht="15" customHeight="1" x14ac:dyDescent="0.2">
      <c r="A78" s="148" t="s">
        <v>643</v>
      </c>
      <c r="B78" s="148" t="s">
        <v>644</v>
      </c>
    </row>
    <row r="79" spans="1:7" ht="15" customHeight="1" x14ac:dyDescent="0.2">
      <c r="A79" s="148" t="s">
        <v>645</v>
      </c>
      <c r="B79" s="148" t="s">
        <v>646</v>
      </c>
    </row>
    <row r="80" spans="1:7" ht="15" customHeight="1" x14ac:dyDescent="0.2">
      <c r="A80" s="148" t="s">
        <v>647</v>
      </c>
      <c r="B80" s="148" t="s">
        <v>648</v>
      </c>
    </row>
    <row r="81" spans="1:2" ht="15" customHeight="1" x14ac:dyDescent="0.2">
      <c r="A81" s="148" t="s">
        <v>649</v>
      </c>
      <c r="B81" s="148" t="s">
        <v>650</v>
      </c>
    </row>
    <row r="82" spans="1:2" ht="15" customHeight="1" x14ac:dyDescent="0.2">
      <c r="A82" s="148" t="s">
        <v>651</v>
      </c>
      <c r="B82" s="148" t="s">
        <v>652</v>
      </c>
    </row>
    <row r="83" spans="1:2" ht="15" customHeight="1" x14ac:dyDescent="0.2">
      <c r="A83" s="148" t="s">
        <v>653</v>
      </c>
      <c r="B83" s="148" t="s">
        <v>654</v>
      </c>
    </row>
    <row r="84" spans="1:2" ht="15" customHeight="1" x14ac:dyDescent="0.2">
      <c r="A84" s="148" t="s">
        <v>655</v>
      </c>
      <c r="B84" s="148" t="s">
        <v>656</v>
      </c>
    </row>
    <row r="85" spans="1:2" ht="15" customHeight="1" x14ac:dyDescent="0.2">
      <c r="A85" s="148" t="s">
        <v>657</v>
      </c>
      <c r="B85" s="148" t="s">
        <v>658</v>
      </c>
    </row>
    <row r="86" spans="1:2" ht="15" customHeight="1" x14ac:dyDescent="0.2">
      <c r="A86" s="148" t="s">
        <v>50</v>
      </c>
      <c r="B86" s="148" t="s">
        <v>659</v>
      </c>
    </row>
    <row r="87" spans="1:2" ht="15" customHeight="1" x14ac:dyDescent="0.2">
      <c r="A87" s="148" t="s">
        <v>660</v>
      </c>
      <c r="B87" s="148" t="s">
        <v>661</v>
      </c>
    </row>
    <row r="88" spans="1:2" ht="15" customHeight="1" x14ac:dyDescent="0.2">
      <c r="A88" s="148" t="s">
        <v>662</v>
      </c>
      <c r="B88" s="148" t="s">
        <v>663</v>
      </c>
    </row>
    <row r="89" spans="1:2" ht="15" customHeight="1" x14ac:dyDescent="0.2">
      <c r="A89" s="148" t="s">
        <v>664</v>
      </c>
      <c r="B89" s="148" t="s">
        <v>665</v>
      </c>
    </row>
    <row r="90" spans="1:2" ht="15" customHeight="1" x14ac:dyDescent="0.2">
      <c r="A90" s="148" t="s">
        <v>666</v>
      </c>
      <c r="B90" s="148" t="s">
        <v>667</v>
      </c>
    </row>
    <row r="91" spans="1:2" ht="15" customHeight="1" x14ac:dyDescent="0.2">
      <c r="A91" s="148" t="s">
        <v>668</v>
      </c>
      <c r="B91" s="148" t="s">
        <v>669</v>
      </c>
    </row>
    <row r="92" spans="1:2" ht="15" customHeight="1" x14ac:dyDescent="0.2">
      <c r="A92" s="148" t="s">
        <v>575</v>
      </c>
      <c r="B92" s="148" t="s">
        <v>670</v>
      </c>
    </row>
    <row r="93" spans="1:2" ht="15" customHeight="1" x14ac:dyDescent="0.2">
      <c r="A93" s="148" t="s">
        <v>671</v>
      </c>
      <c r="B93" s="148" t="s">
        <v>672</v>
      </c>
    </row>
    <row r="94" spans="1:2" ht="15" customHeight="1" x14ac:dyDescent="0.2">
      <c r="A94" s="148" t="s">
        <v>673</v>
      </c>
      <c r="B94" s="148" t="s">
        <v>674</v>
      </c>
    </row>
    <row r="95" spans="1:2" ht="15" customHeight="1" x14ac:dyDescent="0.2">
      <c r="A95" s="148" t="s">
        <v>675</v>
      </c>
      <c r="B95" s="148" t="s">
        <v>676</v>
      </c>
    </row>
    <row r="96" spans="1:2" ht="15" customHeight="1" x14ac:dyDescent="0.2">
      <c r="A96" s="148" t="s">
        <v>677</v>
      </c>
      <c r="B96" s="148" t="s">
        <v>678</v>
      </c>
    </row>
    <row r="97" spans="1:2" ht="15" customHeight="1" x14ac:dyDescent="0.2">
      <c r="A97" s="148" t="s">
        <v>679</v>
      </c>
      <c r="B97" s="148" t="s">
        <v>680</v>
      </c>
    </row>
    <row r="98" spans="1:2" ht="15" customHeight="1" x14ac:dyDescent="0.2">
      <c r="A98" s="148" t="s">
        <v>681</v>
      </c>
      <c r="B98" s="148" t="s">
        <v>682</v>
      </c>
    </row>
    <row r="99" spans="1:2" ht="15" customHeight="1" x14ac:dyDescent="0.2">
      <c r="A99" s="148" t="s">
        <v>683</v>
      </c>
      <c r="B99" s="148" t="s">
        <v>684</v>
      </c>
    </row>
    <row r="100" spans="1:2" ht="15" customHeight="1" x14ac:dyDescent="0.2">
      <c r="A100" s="148" t="s">
        <v>685</v>
      </c>
      <c r="B100" s="148" t="s">
        <v>686</v>
      </c>
    </row>
    <row r="101" spans="1:2" ht="15" customHeight="1" x14ac:dyDescent="0.2">
      <c r="A101" s="148" t="s">
        <v>687</v>
      </c>
      <c r="B101" s="148" t="s">
        <v>688</v>
      </c>
    </row>
    <row r="102" spans="1:2" ht="15" customHeight="1" x14ac:dyDescent="0.2">
      <c r="A102" s="148" t="s">
        <v>689</v>
      </c>
      <c r="B102" s="148" t="s">
        <v>690</v>
      </c>
    </row>
    <row r="103" spans="1:2" ht="15" customHeight="1" x14ac:dyDescent="0.2">
      <c r="A103" s="148" t="s">
        <v>691</v>
      </c>
      <c r="B103" s="148" t="s">
        <v>692</v>
      </c>
    </row>
    <row r="104" spans="1:2" ht="15.75" customHeight="1" x14ac:dyDescent="0.2"/>
    <row r="105" spans="1:2" ht="15.75" customHeight="1" x14ac:dyDescent="0.2">
      <c r="A105" s="144" t="s">
        <v>693</v>
      </c>
    </row>
    <row r="106" spans="1:2" ht="15.75" customHeight="1" x14ac:dyDescent="0.2">
      <c r="A106" s="119" t="s">
        <v>694</v>
      </c>
      <c r="B106" s="119" t="s">
        <v>695</v>
      </c>
    </row>
    <row r="107" spans="1:2" ht="15.75" customHeight="1" x14ac:dyDescent="0.2">
      <c r="A107" s="119" t="s">
        <v>696</v>
      </c>
      <c r="B107" s="119" t="s">
        <v>697</v>
      </c>
    </row>
    <row r="108" spans="1:2" ht="15.75" customHeight="1" x14ac:dyDescent="0.2">
      <c r="A108" s="119" t="s">
        <v>698</v>
      </c>
      <c r="B108" s="119" t="s">
        <v>699</v>
      </c>
    </row>
    <row r="109" spans="1:2" ht="15.75" customHeight="1" x14ac:dyDescent="0.2">
      <c r="A109" s="119" t="s">
        <v>700</v>
      </c>
      <c r="B109" s="119" t="s">
        <v>701</v>
      </c>
    </row>
    <row r="110" spans="1:2" ht="15.75" customHeight="1" x14ac:dyDescent="0.2">
      <c r="A110" s="119" t="s">
        <v>702</v>
      </c>
      <c r="B110" s="119" t="s">
        <v>703</v>
      </c>
    </row>
    <row r="111" spans="1:2" ht="15.75" customHeight="1" x14ac:dyDescent="0.2">
      <c r="A111" s="119" t="s">
        <v>704</v>
      </c>
      <c r="B111" s="119" t="s">
        <v>705</v>
      </c>
    </row>
    <row r="112" spans="1:2" ht="15.75" customHeight="1" x14ac:dyDescent="0.2">
      <c r="A112" s="119" t="s">
        <v>706</v>
      </c>
      <c r="B112" s="119" t="s">
        <v>707</v>
      </c>
    </row>
    <row r="113" spans="1:3" ht="15.75" customHeight="1" x14ac:dyDescent="0.2">
      <c r="A113" s="119" t="s">
        <v>708</v>
      </c>
      <c r="B113" s="119" t="s">
        <v>709</v>
      </c>
    </row>
    <row r="114" spans="1:3" ht="15.75" customHeight="1" x14ac:dyDescent="0.2">
      <c r="A114" s="119" t="s">
        <v>710</v>
      </c>
      <c r="B114" s="119" t="s">
        <v>711</v>
      </c>
    </row>
    <row r="115" spans="1:3" ht="15.75" customHeight="1" x14ac:dyDescent="0.2">
      <c r="A115" s="119" t="s">
        <v>712</v>
      </c>
      <c r="B115" s="119" t="s">
        <v>713</v>
      </c>
    </row>
    <row r="116" spans="1:3" ht="15.75" customHeight="1" x14ac:dyDescent="0.2">
      <c r="A116" s="119" t="s">
        <v>714</v>
      </c>
      <c r="B116" s="119" t="s">
        <v>715</v>
      </c>
    </row>
    <row r="117" spans="1:3" ht="15.75" customHeight="1" x14ac:dyDescent="0.2">
      <c r="A117" s="119" t="s">
        <v>716</v>
      </c>
      <c r="B117" s="119">
        <v>6250</v>
      </c>
      <c r="C117" s="119" t="s">
        <v>717</v>
      </c>
    </row>
    <row r="118" spans="1:3" ht="15.75" customHeight="1" x14ac:dyDescent="0.2"/>
    <row r="119" spans="1:3" ht="15.75" customHeight="1" x14ac:dyDescent="0.2"/>
    <row r="120" spans="1:3" ht="15.75" customHeight="1" x14ac:dyDescent="0.2"/>
    <row r="121" spans="1:3" ht="15.75" customHeight="1" x14ac:dyDescent="0.2"/>
    <row r="122" spans="1:3" ht="15.75" customHeight="1" x14ac:dyDescent="0.2"/>
    <row r="123" spans="1:3" ht="15.75" customHeight="1" x14ac:dyDescent="0.2"/>
    <row r="124" spans="1:3" ht="15.75" customHeight="1" x14ac:dyDescent="0.2"/>
    <row r="125" spans="1:3" ht="15.75" customHeight="1" x14ac:dyDescent="0.2"/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3"/>
  <sheetViews>
    <sheetView showGridLines="0" zoomScaleNormal="100" workbookViewId="0">
      <pane ySplit="3" topLeftCell="A8" activePane="bottomLeft" state="frozen"/>
      <selection pane="bottomLeft"/>
    </sheetView>
  </sheetViews>
  <sheetFormatPr baseColWidth="10" defaultColWidth="14.5" defaultRowHeight="15" customHeight="1" x14ac:dyDescent="0.2"/>
  <cols>
    <col min="1" max="1" width="50" customWidth="1"/>
    <col min="2" max="8" width="15" customWidth="1"/>
    <col min="9" max="9" width="29.6640625" customWidth="1"/>
    <col min="10" max="26" width="8.6640625" customWidth="1"/>
  </cols>
  <sheetData>
    <row r="1" spans="1:7" ht="15.75" customHeight="1" x14ac:dyDescent="0.2">
      <c r="A1" s="149" t="s">
        <v>718</v>
      </c>
      <c r="B1" s="150"/>
      <c r="C1" s="150"/>
      <c r="D1" s="150"/>
      <c r="E1" s="150"/>
      <c r="F1" s="150"/>
      <c r="G1" s="150"/>
    </row>
    <row r="2" spans="1:7" ht="15" customHeight="1" x14ac:dyDescent="0.2">
      <c r="B2" s="150"/>
      <c r="C2" s="150"/>
      <c r="D2" s="150"/>
      <c r="E2" s="150"/>
      <c r="F2" s="150"/>
      <c r="G2" s="150"/>
    </row>
    <row r="3" spans="1:7" ht="15" customHeight="1" x14ac:dyDescent="0.2">
      <c r="A3" s="113" t="s">
        <v>719</v>
      </c>
      <c r="B3" s="151">
        <v>2026</v>
      </c>
      <c r="C3" s="151">
        <v>2027</v>
      </c>
      <c r="D3" s="151">
        <v>2028</v>
      </c>
      <c r="E3" s="151">
        <v>2029</v>
      </c>
      <c r="F3" s="151">
        <v>2030</v>
      </c>
      <c r="G3" s="151" t="s">
        <v>99</v>
      </c>
    </row>
    <row r="4" spans="1:7" ht="15" customHeight="1" x14ac:dyDescent="0.2">
      <c r="A4" s="115" t="s">
        <v>720</v>
      </c>
      <c r="B4" s="152">
        <v>0.9</v>
      </c>
      <c r="C4" s="152">
        <v>1</v>
      </c>
      <c r="D4" s="152">
        <v>1</v>
      </c>
      <c r="E4" s="152">
        <v>1</v>
      </c>
      <c r="F4" s="152">
        <v>1</v>
      </c>
      <c r="G4" s="150"/>
    </row>
    <row r="5" spans="1:7" ht="15" customHeight="1" x14ac:dyDescent="0.2">
      <c r="A5" s="119" t="s">
        <v>721</v>
      </c>
      <c r="B5" s="153">
        <f>B47*(1-SUPUESTOS!$B$36-SUPUESTOS!$B$37)+B14</f>
        <v>2947500</v>
      </c>
      <c r="C5" s="154">
        <f>B9+B42+C14-B14</f>
        <v>3187809.8731527096</v>
      </c>
      <c r="D5" s="154">
        <f>C9+C42+D14-C14</f>
        <v>4985016.4856611677</v>
      </c>
      <c r="E5" s="154">
        <f>D9+D42+E14-D14</f>
        <v>5237747.0035789264</v>
      </c>
      <c r="F5" s="154">
        <f>E9+E42+F14-E14</f>
        <v>5467012.8260392705</v>
      </c>
      <c r="G5" s="155"/>
    </row>
    <row r="6" spans="1:7" ht="15" customHeight="1" x14ac:dyDescent="0.2">
      <c r="A6" s="119" t="s">
        <v>722</v>
      </c>
      <c r="B6" s="153">
        <f>B5*SUPUESTOS!$B$22</f>
        <v>1016379.3103448275</v>
      </c>
      <c r="C6" s="153">
        <f>C5*SUPUESTOS!$B$22</f>
        <v>1099244.7838457618</v>
      </c>
      <c r="D6" s="153">
        <f>D5*SUPUESTOS!$B$22</f>
        <v>1718971.2019521266</v>
      </c>
      <c r="E6" s="153">
        <f>E5*SUPUESTOS!$B$22</f>
        <v>1806119.6564065262</v>
      </c>
      <c r="F6" s="153">
        <f>F5*SUPUESTOS!$B$22</f>
        <v>1885176.8365652654</v>
      </c>
      <c r="G6" s="155"/>
    </row>
    <row r="7" spans="1:7" ht="15" customHeight="1" x14ac:dyDescent="0.2">
      <c r="A7" s="119" t="s">
        <v>723</v>
      </c>
      <c r="B7" s="156">
        <v>1</v>
      </c>
      <c r="C7" s="156">
        <v>1</v>
      </c>
      <c r="D7" s="156">
        <v>1</v>
      </c>
      <c r="E7" s="156">
        <v>1</v>
      </c>
      <c r="F7" s="156">
        <v>0</v>
      </c>
      <c r="G7" s="150"/>
    </row>
    <row r="8" spans="1:7" ht="15" customHeight="1" x14ac:dyDescent="0.2">
      <c r="A8" s="119" t="s">
        <v>724</v>
      </c>
      <c r="B8" s="154">
        <f>IF(B7=1,B6*SUPUESTOS!$B$23,0)</f>
        <v>1016379.3103448275</v>
      </c>
      <c r="C8" s="154">
        <f>IF(C7=1,C6*SUPUESTOS!$B$23,0)</f>
        <v>1099244.7838457618</v>
      </c>
      <c r="D8" s="154">
        <f>IF(D7=1,D6*SUPUESTOS!$B$23,0)</f>
        <v>1718971.2019521266</v>
      </c>
      <c r="E8" s="154">
        <f>IF(E7=1,E6*SUPUESTOS!$B$23,0)</f>
        <v>1806119.6564065262</v>
      </c>
      <c r="F8" s="154">
        <f>IF(F7=1,F6*SUPUESTOS!$B$23,0)</f>
        <v>0</v>
      </c>
      <c r="G8" s="155"/>
    </row>
    <row r="9" spans="1:7" ht="15" customHeight="1" x14ac:dyDescent="0.2">
      <c r="A9" s="119" t="s">
        <v>725</v>
      </c>
      <c r="B9" s="154">
        <f>B5-B6+B8</f>
        <v>2947500</v>
      </c>
      <c r="C9" s="154">
        <f>C5-C6+C8</f>
        <v>3187809.8731527096</v>
      </c>
      <c r="D9" s="154">
        <f>D5-D6+D8</f>
        <v>4985016.4856611677</v>
      </c>
      <c r="E9" s="154">
        <f>E5-E6+E8</f>
        <v>5237747.0035789264</v>
      </c>
      <c r="F9" s="154">
        <f>F5-F6+F8</f>
        <v>3581835.9894740051</v>
      </c>
      <c r="G9" s="155"/>
    </row>
    <row r="10" spans="1:7" ht="15" customHeight="1" x14ac:dyDescent="0.2">
      <c r="A10" s="119" t="s">
        <v>726</v>
      </c>
      <c r="B10" s="155">
        <f>B5+B8</f>
        <v>3963879.3103448274</v>
      </c>
      <c r="C10" s="155">
        <f>C8+MAX(0,C5-B9)</f>
        <v>1339554.6569984714</v>
      </c>
      <c r="D10" s="155">
        <f>D8+MAX(0,D5-C9)</f>
        <v>3516177.8144605849</v>
      </c>
      <c r="E10" s="155">
        <f>E8+MAX(0,E5-D9)</f>
        <v>2058850.174324285</v>
      </c>
      <c r="F10" s="155">
        <f>F8+MAX(0,F5-E9)</f>
        <v>229265.82246034406</v>
      </c>
      <c r="G10" s="155">
        <f>SUM(B10:F10)</f>
        <v>11107727.778588513</v>
      </c>
    </row>
    <row r="11" spans="1:7" ht="15" customHeight="1" x14ac:dyDescent="0.2">
      <c r="B11" s="157"/>
      <c r="C11" s="157"/>
      <c r="D11" s="157"/>
      <c r="E11" s="157"/>
      <c r="F11" s="157"/>
      <c r="G11" s="150"/>
    </row>
    <row r="12" spans="1:7" ht="15" customHeight="1" x14ac:dyDescent="0.2">
      <c r="A12" s="158" t="s">
        <v>727</v>
      </c>
      <c r="B12" s="150"/>
      <c r="C12" s="150"/>
      <c r="D12" s="150"/>
      <c r="E12" s="150"/>
      <c r="F12" s="150"/>
      <c r="G12" s="150"/>
    </row>
    <row r="13" spans="1:7" ht="15" customHeight="1" x14ac:dyDescent="0.2">
      <c r="A13" s="119" t="s">
        <v>728</v>
      </c>
      <c r="B13" s="159">
        <v>0</v>
      </c>
      <c r="C13" s="159">
        <v>0</v>
      </c>
      <c r="D13" s="159">
        <v>1</v>
      </c>
      <c r="E13" s="159">
        <v>0</v>
      </c>
      <c r="F13" s="159">
        <v>0</v>
      </c>
      <c r="G13" s="150">
        <v>0</v>
      </c>
    </row>
    <row r="14" spans="1:7" ht="15" customHeight="1" x14ac:dyDescent="0.2">
      <c r="A14" s="119" t="s">
        <v>729</v>
      </c>
      <c r="B14" s="154">
        <f>IF(B13=1, B47*SUPUESTOS!$B$52, 0)</f>
        <v>0</v>
      </c>
      <c r="C14" s="154">
        <f>IF(C13=1, C47*SUPUESTOS!$B$52, B14)</f>
        <v>0</v>
      </c>
      <c r="D14" s="154">
        <f>IF(D13=1, D47*SUPUESTOS!$B$52, C14)</f>
        <v>1679172.161887056</v>
      </c>
      <c r="E14" s="154">
        <f>IF(E13=1, E47*SUPUESTOS!$B$52, D14)</f>
        <v>1679172.161887056</v>
      </c>
      <c r="F14" s="154">
        <f>IF(F13=1, F47*SUPUESTOS!$B$52, E14)</f>
        <v>1679172.161887056</v>
      </c>
      <c r="G14" s="155"/>
    </row>
    <row r="15" spans="1:7" ht="15" customHeight="1" x14ac:dyDescent="0.2">
      <c r="A15" s="119" t="s">
        <v>730</v>
      </c>
      <c r="B15" s="160">
        <f>B5</f>
        <v>2947500</v>
      </c>
      <c r="C15" s="160">
        <f>C5</f>
        <v>3187809.8731527096</v>
      </c>
      <c r="D15" s="160">
        <f>D5</f>
        <v>4985016.4856611677</v>
      </c>
      <c r="E15" s="160">
        <f>E5</f>
        <v>5237747.0035789264</v>
      </c>
      <c r="F15" s="160">
        <f>F5</f>
        <v>5467012.8260392705</v>
      </c>
      <c r="G15" s="155"/>
    </row>
    <row r="16" spans="1:7" ht="15" customHeight="1" x14ac:dyDescent="0.2">
      <c r="A16" s="119" t="s">
        <v>731</v>
      </c>
      <c r="B16" s="161">
        <f>IF(B5&gt;0,B14/B5,0)</f>
        <v>0</v>
      </c>
      <c r="C16" s="161">
        <f>IF(C5&gt;0,C14/C5,0)</f>
        <v>0</v>
      </c>
      <c r="D16" s="161">
        <f>IF(D5&gt;0,D14/D5,0)</f>
        <v>0.3368438533186407</v>
      </c>
      <c r="E16" s="161">
        <f>IF(E5&gt;0,E14/E5,0)</f>
        <v>0.3205905441289329</v>
      </c>
      <c r="F16" s="161">
        <f>IF(F5&gt;0,F14/F5,0)</f>
        <v>0.30714619030875384</v>
      </c>
      <c r="G16" s="150"/>
    </row>
    <row r="17" spans="1:7" ht="15" customHeight="1" x14ac:dyDescent="0.2">
      <c r="B17" s="162"/>
      <c r="C17" s="162"/>
      <c r="D17" s="150"/>
      <c r="E17" s="150"/>
      <c r="F17" s="150"/>
      <c r="G17" s="150"/>
    </row>
    <row r="18" spans="1:7" ht="15" customHeight="1" x14ac:dyDescent="0.2">
      <c r="A18" s="115" t="s">
        <v>732</v>
      </c>
      <c r="B18" s="162"/>
      <c r="C18" s="162"/>
      <c r="D18" s="150"/>
      <c r="E18" s="150"/>
      <c r="F18" s="150"/>
      <c r="G18" s="150"/>
    </row>
    <row r="19" spans="1:7" ht="15" customHeight="1" x14ac:dyDescent="0.2">
      <c r="A19" s="119" t="s">
        <v>733</v>
      </c>
      <c r="B19" s="153">
        <f>((B5+B9)/2)*SUPUESTOS!$B$24*B4</f>
        <v>328941</v>
      </c>
      <c r="C19" s="153">
        <f>((C5+C9)/2)*SUPUESTOS!$B$24*C4</f>
        <v>395288.424270936</v>
      </c>
      <c r="D19" s="153">
        <f>((D5+D9)/2)*SUPUESTOS!$B$24*D4</f>
        <v>618142.0442219848</v>
      </c>
      <c r="E19" s="153">
        <f>((E5+E9)/2)*SUPUESTOS!$B$24*E4</f>
        <v>649480.62844378687</v>
      </c>
      <c r="F19" s="153">
        <f>((F5+F9)/2)*SUPUESTOS!$B$24*F4</f>
        <v>561028.62656182307</v>
      </c>
      <c r="G19" s="155">
        <f>SUM(B19:F19)</f>
        <v>2552880.7234985307</v>
      </c>
    </row>
    <row r="20" spans="1:7" ht="15" customHeight="1" x14ac:dyDescent="0.2">
      <c r="A20" s="119" t="s">
        <v>734</v>
      </c>
      <c r="B20" s="153">
        <f>(B10/(1+SUPUESTOS!$B$38))*SUPUESTOS!$B$38</f>
        <v>188756.15763546797</v>
      </c>
      <c r="C20" s="153">
        <f>(C10/(1+SUPUESTOS!$B$38))*SUPUESTOS!$B$38</f>
        <v>63788.316999927214</v>
      </c>
      <c r="D20" s="153">
        <f>(D10/(1+SUPUESTOS!$B$38))*SUPUESTOS!$B$38</f>
        <v>167437.03878383737</v>
      </c>
      <c r="E20" s="153">
        <f>(E10/(1+SUPUESTOS!$B$38))*SUPUESTOS!$B$38</f>
        <v>98040.484491632611</v>
      </c>
      <c r="F20" s="153">
        <f>(F10/(1+SUPUESTOS!$B$38))*SUPUESTOS!$B$38</f>
        <v>10917.420117159241</v>
      </c>
      <c r="G20" s="155">
        <f>SUM(B20:F20)</f>
        <v>528939.41802802437</v>
      </c>
    </row>
    <row r="21" spans="1:7" ht="15" customHeight="1" x14ac:dyDescent="0.2">
      <c r="A21" s="113" t="s">
        <v>735</v>
      </c>
      <c r="B21" s="155">
        <f>B19+B20</f>
        <v>517697.15763546794</v>
      </c>
      <c r="C21" s="155">
        <f>C19+C20</f>
        <v>459076.74127086322</v>
      </c>
      <c r="D21" s="155">
        <f>D19+D20</f>
        <v>785579.08300582215</v>
      </c>
      <c r="E21" s="155">
        <f>E19+E20</f>
        <v>747521.11293541943</v>
      </c>
      <c r="F21" s="155">
        <f>F19+F20</f>
        <v>571946.04667898233</v>
      </c>
      <c r="G21" s="155">
        <f>SUM(B21:F21)</f>
        <v>3081820.1415265552</v>
      </c>
    </row>
    <row r="22" spans="1:7" ht="15.75" customHeight="1" x14ac:dyDescent="0.2">
      <c r="B22" s="150"/>
      <c r="C22" s="150"/>
      <c r="D22" s="150"/>
      <c r="E22" s="150"/>
      <c r="F22" s="150"/>
      <c r="G22" s="150"/>
    </row>
    <row r="23" spans="1:7" ht="15" customHeight="1" x14ac:dyDescent="0.2">
      <c r="A23" s="115" t="s">
        <v>736</v>
      </c>
      <c r="B23" s="150"/>
      <c r="C23" s="150"/>
      <c r="D23" s="150"/>
      <c r="E23" s="150"/>
      <c r="F23" s="150"/>
      <c r="G23" s="150"/>
    </row>
    <row r="24" spans="1:7" ht="15" customHeight="1" x14ac:dyDescent="0.2">
      <c r="A24" s="119" t="s">
        <v>737</v>
      </c>
      <c r="B24" s="155">
        <f>B47*SUPUESTOS!$B$28</f>
        <v>36000</v>
      </c>
      <c r="C24" s="155">
        <f>C47*SUPUESTOS!$B$28</f>
        <v>38883.718477832517</v>
      </c>
      <c r="D24" s="155">
        <f>D47*SUPUESTOS!$B$28</f>
        <v>40300.131885289346</v>
      </c>
      <c r="E24" s="155">
        <f>E47*SUPUESTOS!$B$28</f>
        <v>43332.898100302453</v>
      </c>
      <c r="F24" s="155">
        <f>F47*SUPUESTOS!$B$28</f>
        <v>46084.087969826571</v>
      </c>
      <c r="G24" s="155">
        <f t="shared" ref="G24:G32" si="0">SUM(B24:F24)</f>
        <v>204600.83643325089</v>
      </c>
    </row>
    <row r="25" spans="1:7" ht="15" customHeight="1" x14ac:dyDescent="0.2">
      <c r="A25" s="119" t="s">
        <v>738</v>
      </c>
      <c r="B25" s="155">
        <f>MAX(B47*SUPUESTOS!$B$29,SUPUESTOS!$B$40)+10000</f>
        <v>31600</v>
      </c>
      <c r="C25" s="155">
        <f>MAX(C47*SUPUESTOS!$B$29,SUPUESTOS!$B$40)</f>
        <v>21600</v>
      </c>
      <c r="D25" s="155">
        <f>MAX(D47*SUPUESTOS!$B$29,SUPUESTOS!$B$40)</f>
        <v>21600</v>
      </c>
      <c r="E25" s="155">
        <f>MAX(E47*SUPUESTOS!$B$29,SUPUESTOS!$B$40)</f>
        <v>21600</v>
      </c>
      <c r="F25" s="155">
        <f>MAX(F47*SUPUESTOS!$B$29,SUPUESTOS!$B$40)</f>
        <v>21600</v>
      </c>
      <c r="G25" s="155">
        <f t="shared" si="0"/>
        <v>118000</v>
      </c>
    </row>
    <row r="26" spans="1:7" ht="15" customHeight="1" x14ac:dyDescent="0.2">
      <c r="A26" s="137" t="s">
        <v>739</v>
      </c>
      <c r="B26" s="163">
        <f>B47*SUPUESTOS!$B$30</f>
        <v>0</v>
      </c>
      <c r="C26" s="163">
        <f>C47*SUPUESTOS!$B$30</f>
        <v>0</v>
      </c>
      <c r="D26" s="163">
        <f>D47*SUPUESTOS!$B$30</f>
        <v>0</v>
      </c>
      <c r="E26" s="163">
        <f>E47*SUPUESTOS!$B$30</f>
        <v>0</v>
      </c>
      <c r="F26" s="163">
        <f>F47*SUPUESTOS!$B$30</f>
        <v>0</v>
      </c>
      <c r="G26" s="163">
        <f t="shared" si="0"/>
        <v>0</v>
      </c>
    </row>
    <row r="27" spans="1:7" ht="15" customHeight="1" x14ac:dyDescent="0.2">
      <c r="A27" s="137" t="s">
        <v>740</v>
      </c>
      <c r="B27" s="163">
        <f>B10*(SUPUESTOS!$B$31)</f>
        <v>49548.491379310348</v>
      </c>
      <c r="C27" s="163">
        <f>C10*(SUPUESTOS!$B$31)</f>
        <v>16744.433212480893</v>
      </c>
      <c r="D27" s="163">
        <f>D10*(SUPUESTOS!$B$31)</f>
        <v>43952.222680757317</v>
      </c>
      <c r="E27" s="163">
        <f>E10*(SUPUESTOS!$B$31)</f>
        <v>25735.627179053565</v>
      </c>
      <c r="F27" s="163">
        <f>F10*(SUPUESTOS!$B$31)</f>
        <v>2865.8227807543008</v>
      </c>
      <c r="G27" s="163">
        <f t="shared" si="0"/>
        <v>138846.59723235641</v>
      </c>
    </row>
    <row r="28" spans="1:7" ht="15" customHeight="1" x14ac:dyDescent="0.2">
      <c r="A28" s="119" t="s">
        <v>741</v>
      </c>
      <c r="B28" s="155">
        <f>SUPUESTOS!$B$42+SUPUESTOS!$B$43+SUPUESTOS!$B$44+SUPUESTOS!$B$45+SUPUESTOS!$B$46+SUPUESTOS!$B$47+SUPUESTOS!$B$48</f>
        <v>68100</v>
      </c>
      <c r="C28" s="155">
        <f>SUPUESTOS!$B$42+SUPUESTOS!$B$43+SUPUESTOS!$B$45+SUPUESTOS!$B$46+SUPUESTOS!$B$47+SUPUESTOS!$B$48</f>
        <v>56000</v>
      </c>
      <c r="D28" s="155">
        <f>SUPUESTOS!$B$42+SUPUESTOS!$B$43+SUPUESTOS!$B$45+SUPUESTOS!$B$46+SUPUESTOS!$B$47+SUPUESTOS!$B$48</f>
        <v>56000</v>
      </c>
      <c r="E28" s="155">
        <f>SUPUESTOS!$B$42+SUPUESTOS!$B$43+SUPUESTOS!$B$45+SUPUESTOS!$B$46+SUPUESTOS!$B$47+SUPUESTOS!$B$48</f>
        <v>56000</v>
      </c>
      <c r="F28" s="155">
        <f>SUPUESTOS!$B$42+SUPUESTOS!$B$43+SUPUESTOS!$B$45+SUPUESTOS!$B$46+SUPUESTOS!$B$47+SUPUESTOS!$B$48</f>
        <v>56000</v>
      </c>
      <c r="G28" s="155">
        <f t="shared" si="0"/>
        <v>292100</v>
      </c>
    </row>
    <row r="29" spans="1:7" ht="15" customHeight="1" x14ac:dyDescent="0.2">
      <c r="A29" s="119" t="s">
        <v>742</v>
      </c>
      <c r="B29" s="155">
        <f>(SUPUESTOS!$B$6+B45)*(SUPUESTOS!$B$36+SUPUESTOS!$B$37)</f>
        <v>52499.999999999993</v>
      </c>
      <c r="C29" s="155">
        <f>C45*(SUPUESTOS!$B$36+SUPUESTOS!$B$37)</f>
        <v>0</v>
      </c>
      <c r="D29" s="155">
        <f>D45*(SUPUESTOS!$B$36+SUPUESTOS!$B$37)</f>
        <v>0</v>
      </c>
      <c r="E29" s="155">
        <f>E45*(SUPUESTOS!$B$36+SUPUESTOS!$B$37)</f>
        <v>0</v>
      </c>
      <c r="F29" s="155">
        <f>F45*(SUPUESTOS!$B$36+SUPUESTOS!$B$37)</f>
        <v>0</v>
      </c>
      <c r="G29" s="155">
        <f t="shared" si="0"/>
        <v>52499.999999999993</v>
      </c>
    </row>
    <row r="30" spans="1:7" ht="15" customHeight="1" x14ac:dyDescent="0.2">
      <c r="A30" s="137" t="s">
        <v>743</v>
      </c>
      <c r="B30" s="155">
        <f>B20*SUPUESTOS!$B$39</f>
        <v>39638.793103448275</v>
      </c>
      <c r="C30" s="155">
        <f>C20*SUPUESTOS!$B$39</f>
        <v>13395.546569984714</v>
      </c>
      <c r="D30" s="155">
        <f>D20*SUPUESTOS!$B$39</f>
        <v>35161.778144605843</v>
      </c>
      <c r="E30" s="155">
        <f>E20*SUPUESTOS!$B$39</f>
        <v>20588.501743242847</v>
      </c>
      <c r="F30" s="155">
        <f>F20*SUPUESTOS!$B$39</f>
        <v>2292.6582246034404</v>
      </c>
      <c r="G30" s="155">
        <f t="shared" si="0"/>
        <v>111077.2777858851</v>
      </c>
    </row>
    <row r="31" spans="1:7" ht="15" customHeight="1" x14ac:dyDescent="0.2">
      <c r="A31" s="164" t="s">
        <v>744</v>
      </c>
      <c r="B31" s="155">
        <f>B14*SUPUESTOS!$B$54</f>
        <v>0</v>
      </c>
      <c r="C31" s="155">
        <f>C14*SUPUESTOS!$B$54</f>
        <v>0</v>
      </c>
      <c r="D31" s="155">
        <f>D14*SUPUESTOS!$B$54</f>
        <v>134333.77295096449</v>
      </c>
      <c r="E31" s="155">
        <f>E14*SUPUESTOS!$B$54</f>
        <v>134333.77295096449</v>
      </c>
      <c r="F31" s="155">
        <f>F14*SUPUESTOS!$B$54</f>
        <v>134333.77295096449</v>
      </c>
      <c r="G31" s="155">
        <f t="shared" si="0"/>
        <v>403001.31885289343</v>
      </c>
    </row>
    <row r="32" spans="1:7" ht="15" customHeight="1" x14ac:dyDescent="0.2">
      <c r="A32" s="113" t="s">
        <v>745</v>
      </c>
      <c r="B32" s="155">
        <f>B24+B25+B26+B27+B28+B29+B30+B31+B34</f>
        <v>277387.28448275861</v>
      </c>
      <c r="C32" s="155">
        <f>C24+C25+C26+C27+C28+C29+C30+C31+C34</f>
        <v>146623.69826029814</v>
      </c>
      <c r="D32" s="155">
        <f>D24+D25+D26+D27+D28+D29+D30+D31+D34</f>
        <v>331347.905661617</v>
      </c>
      <c r="E32" s="155">
        <f>E24+E25+E26+E27+E28+E29+E30+E31+E34</f>
        <v>301590.79997356335</v>
      </c>
      <c r="F32" s="155">
        <f>F24+F25+F26+F27+F28+F29+F30+F31+F34</f>
        <v>337045.3348317403</v>
      </c>
      <c r="G32" s="155">
        <f t="shared" si="0"/>
        <v>1393995.0232099772</v>
      </c>
    </row>
    <row r="33" spans="1:26" ht="15" customHeight="1" x14ac:dyDescent="0.2">
      <c r="A33" s="165" t="s">
        <v>746</v>
      </c>
      <c r="B33" s="166">
        <f>'RESULTADOS ASESOR TCMC (5Y)'!B14</f>
        <v>6030.9873152709279</v>
      </c>
      <c r="C33" s="166">
        <f>'RESULTADOS ASESOR TCMC (5Y)'!C14</f>
        <v>11803.445062140254</v>
      </c>
      <c r="D33" s="166">
        <f>'RESULTADOS ASESOR TCMC (5Y)'!D14</f>
        <v>25273.051791775852</v>
      </c>
      <c r="E33" s="166">
        <f>'RESULTADOS ASESOR TCMC (5Y)'!E14</f>
        <v>22926.582246034381</v>
      </c>
      <c r="F33" s="166">
        <f>'RESULTADOS ASESOR TCMC (5Y)'!F14</f>
        <v>7834.9264903700741</v>
      </c>
      <c r="G33" s="166">
        <f>'RESULTADOS ASESOR TCMC (5Y)'!G14</f>
        <v>73868.992905591484</v>
      </c>
    </row>
    <row r="34" spans="1:26" ht="15" customHeight="1" x14ac:dyDescent="0.2">
      <c r="A34" s="167" t="s">
        <v>747</v>
      </c>
      <c r="B34" s="168">
        <f>'RESULTADOS ASESOR TCMC (5Y)'!B18</f>
        <v>0</v>
      </c>
      <c r="C34" s="168">
        <f>'RESULTADOS ASESOR TCMC (5Y)'!C18</f>
        <v>0</v>
      </c>
      <c r="D34" s="168">
        <f>'RESULTADOS ASESOR TCMC (5Y)'!D18</f>
        <v>0</v>
      </c>
      <c r="E34" s="168">
        <f>'RESULTADOS ASESOR TCMC (5Y)'!E18</f>
        <v>0</v>
      </c>
      <c r="F34" s="168">
        <f>'RESULTADOS ASESOR TCMC (5Y)'!F18</f>
        <v>73868.992905591484</v>
      </c>
      <c r="G34" s="168">
        <f>'RESULTADOS ASESOR TCMC (5Y)'!G18</f>
        <v>73868.992905591484</v>
      </c>
    </row>
    <row r="35" spans="1:26" ht="15" customHeight="1" x14ac:dyDescent="0.2">
      <c r="A35" s="115"/>
      <c r="B35" s="169">
        <f>(B32-B31)/B48</f>
        <v>8.5605172141413235E-2</v>
      </c>
      <c r="C35" s="170">
        <f>(C32-C31)/C48</f>
        <v>4.1270330084012777E-2</v>
      </c>
      <c r="D35" s="170">
        <f>(D32-D31)/D48</f>
        <v>5.1674814742124757E-2</v>
      </c>
      <c r="E35" s="170">
        <f>(E32-E31)/E48</f>
        <v>4.1226722827980872E-2</v>
      </c>
      <c r="F35" s="170">
        <f>(F32-F31)/F48</f>
        <v>4.9742222160045833E-2</v>
      </c>
      <c r="G35" s="170"/>
      <c r="Z35" s="170"/>
    </row>
    <row r="36" spans="1:26" ht="15" customHeight="1" x14ac:dyDescent="0.2">
      <c r="A36" s="171" t="str">
        <f>CONCATENATE("SPONSOR SI &gt; ",SUPUESTOS!B35*100,"%")</f>
        <v>SPONSOR SI &gt; 5.4%</v>
      </c>
      <c r="B36" s="155">
        <f>IF(B35&gt;SUPUESTOS!$B$35,(B48*SUPUESTOS!$B$35)-B32,0)</f>
        <v>-102410.55133251229</v>
      </c>
      <c r="C36" s="155">
        <f>IF(C35&gt;SUPUESTOS!$B$35,(C48*SUPUESTOS!$B$35)-C32,0)</f>
        <v>0</v>
      </c>
      <c r="D36" s="155">
        <f>IF(D35&gt;SUPUESTOS!$B$35,(D48*SUPUESTOS!$B$35)-D32,0)</f>
        <v>0</v>
      </c>
      <c r="E36" s="155">
        <f>IF(E35&gt;SUPUESTOS!$B$35,(E48*SUPUESTOS!$B$35)-E32,0)</f>
        <v>0</v>
      </c>
      <c r="F36" s="155">
        <f>IF(F35&gt;SUPUESTOS!$B$35,(F48*SUPUESTOS!$B$35)-F32,0)</f>
        <v>0</v>
      </c>
      <c r="G36" s="150"/>
    </row>
    <row r="37" spans="1:26" ht="15" customHeight="1" x14ac:dyDescent="0.2">
      <c r="A37" s="115"/>
      <c r="B37" s="150"/>
      <c r="C37" s="150"/>
      <c r="D37" s="150"/>
      <c r="E37" s="150"/>
      <c r="F37" s="150"/>
      <c r="G37" s="150"/>
    </row>
    <row r="38" spans="1:26" ht="15" customHeight="1" x14ac:dyDescent="0.2">
      <c r="A38" s="115" t="s">
        <v>748</v>
      </c>
      <c r="B38" s="150"/>
      <c r="C38" s="150"/>
      <c r="D38" s="150"/>
      <c r="E38" s="150"/>
      <c r="F38" s="150"/>
      <c r="G38" s="150"/>
    </row>
    <row r="39" spans="1:26" ht="15" customHeight="1" x14ac:dyDescent="0.2">
      <c r="A39" s="113" t="s">
        <v>749</v>
      </c>
      <c r="B39" s="155">
        <f>B21-B32</f>
        <v>240309.87315270933</v>
      </c>
      <c r="C39" s="155">
        <f>C21-C32</f>
        <v>312453.0430105651</v>
      </c>
      <c r="D39" s="155">
        <f>D21-D32</f>
        <v>454231.17734420515</v>
      </c>
      <c r="E39" s="155">
        <f>E21-E32</f>
        <v>445930.31296185608</v>
      </c>
      <c r="F39" s="155">
        <f>F21-F32</f>
        <v>234900.71184724203</v>
      </c>
      <c r="G39" s="155">
        <f>SUM(B39:F39)</f>
        <v>1687825.1183165777</v>
      </c>
    </row>
    <row r="40" spans="1:26" ht="15" customHeight="1" x14ac:dyDescent="0.2">
      <c r="A40" s="119" t="s">
        <v>750</v>
      </c>
      <c r="B40" s="172">
        <f>IF(B47&gt;0,B39/B47,0)</f>
        <v>8.0103291050903108E-2</v>
      </c>
      <c r="C40" s="172">
        <f>IF(C47&gt;0,C39/C47,0)</f>
        <v>9.6426902130369113E-2</v>
      </c>
      <c r="D40" s="172">
        <f>IF(D47&gt;0,D39/D47,0)</f>
        <v>0.13525449851245139</v>
      </c>
      <c r="E40" s="172">
        <f>IF(E47&gt;0,E39/E47,0)</f>
        <v>0.12348963466869814</v>
      </c>
      <c r="F40" s="172">
        <f>IF(F47&gt;0,F39/F47,0)</f>
        <v>6.1166634002011958E-2</v>
      </c>
      <c r="G40" s="150"/>
    </row>
    <row r="41" spans="1:26" ht="15" customHeight="1" x14ac:dyDescent="0.2">
      <c r="A41" s="119" t="s">
        <v>751</v>
      </c>
      <c r="B41" s="155">
        <f>B79</f>
        <v>0</v>
      </c>
      <c r="C41" s="155">
        <f>C79</f>
        <v>194418.59238916257</v>
      </c>
      <c r="D41" s="155">
        <f>D79</f>
        <v>201500.65942644671</v>
      </c>
      <c r="E41" s="155">
        <f>E79</f>
        <v>216664.49050151222</v>
      </c>
      <c r="F41" s="155">
        <f>F79</f>
        <v>0</v>
      </c>
      <c r="G41" s="155">
        <f>SUM(B41:F41)</f>
        <v>612583.74231712148</v>
      </c>
    </row>
    <row r="42" spans="1:26" ht="15" customHeight="1" x14ac:dyDescent="0.2">
      <c r="A42" s="119" t="s">
        <v>752</v>
      </c>
      <c r="B42" s="155">
        <f>B39-B41</f>
        <v>240309.87315270933</v>
      </c>
      <c r="C42" s="155">
        <f>C39-C41</f>
        <v>118034.45062140253</v>
      </c>
      <c r="D42" s="155">
        <f>D39-D41</f>
        <v>252730.51791775844</v>
      </c>
      <c r="E42" s="155">
        <f>E39-E41</f>
        <v>229265.82246034386</v>
      </c>
      <c r="F42" s="155">
        <f>F39-F41</f>
        <v>234900.71184724203</v>
      </c>
      <c r="G42" s="155">
        <f>SUM(B42:F42)</f>
        <v>1075241.375999456</v>
      </c>
    </row>
    <row r="43" spans="1:26" ht="15.75" customHeight="1" x14ac:dyDescent="0.2">
      <c r="B43" s="150"/>
      <c r="C43" s="150"/>
      <c r="D43" s="150"/>
      <c r="E43" s="150"/>
      <c r="F43" s="150"/>
      <c r="G43" s="150"/>
    </row>
    <row r="44" spans="1:26" ht="15" customHeight="1" x14ac:dyDescent="0.2">
      <c r="A44" s="115" t="s">
        <v>753</v>
      </c>
      <c r="B44" s="150"/>
      <c r="C44" s="150"/>
      <c r="D44" s="150"/>
      <c r="E44" s="150"/>
      <c r="F44" s="150"/>
      <c r="G44" s="150"/>
    </row>
    <row r="45" spans="1:26" ht="15" customHeight="1" x14ac:dyDescent="0.2">
      <c r="A45" s="113" t="s">
        <v>754</v>
      </c>
      <c r="B45" s="173">
        <v>0</v>
      </c>
      <c r="C45" s="173">
        <v>0</v>
      </c>
      <c r="D45" s="173">
        <v>0</v>
      </c>
      <c r="E45" s="173">
        <v>0</v>
      </c>
      <c r="F45" s="173">
        <v>0</v>
      </c>
      <c r="G45" s="162">
        <f>SUM(B45:F45)</f>
        <v>0</v>
      </c>
    </row>
    <row r="46" spans="1:26" ht="15" customHeight="1" x14ac:dyDescent="0.2">
      <c r="A46" s="119" t="s">
        <v>755</v>
      </c>
      <c r="B46" s="150"/>
      <c r="C46" s="150"/>
      <c r="D46" s="150"/>
      <c r="E46" s="150"/>
      <c r="F46" s="150"/>
      <c r="G46" s="150"/>
    </row>
    <row r="47" spans="1:26" ht="15" customHeight="1" x14ac:dyDescent="0.2">
      <c r="A47" s="119" t="s">
        <v>756</v>
      </c>
      <c r="B47" s="153">
        <f>SUPUESTOS!$B$6+B45</f>
        <v>3000000</v>
      </c>
      <c r="C47" s="155">
        <f>B48-B41+C45</f>
        <v>3240309.8731527096</v>
      </c>
      <c r="D47" s="155">
        <f>C48-C41+D45</f>
        <v>3358344.3237741119</v>
      </c>
      <c r="E47" s="155">
        <f>D48-D41+E45</f>
        <v>3611074.8416918707</v>
      </c>
      <c r="F47" s="155">
        <f>E48-E41+F45</f>
        <v>3840340.6641522143</v>
      </c>
      <c r="G47" s="155"/>
    </row>
    <row r="48" spans="1:26" ht="15" customHeight="1" x14ac:dyDescent="0.2">
      <c r="A48" s="119" t="s">
        <v>757</v>
      </c>
      <c r="B48" s="155">
        <f>B47+B39</f>
        <v>3240309.8731527096</v>
      </c>
      <c r="C48" s="155">
        <f>C47+C39</f>
        <v>3552762.9161632746</v>
      </c>
      <c r="D48" s="155">
        <f>D47+D39</f>
        <v>3812575.5011183172</v>
      </c>
      <c r="E48" s="155">
        <f>E47+E39</f>
        <v>4057005.1546537266</v>
      </c>
      <c r="F48" s="155">
        <f>F47+F39</f>
        <v>4075241.3759994563</v>
      </c>
      <c r="G48" s="155"/>
    </row>
    <row r="49" spans="1:9" ht="15" customHeight="1" x14ac:dyDescent="0.2">
      <c r="B49" s="150"/>
      <c r="C49" s="155"/>
      <c r="D49" s="155"/>
      <c r="E49" s="155"/>
      <c r="F49" s="150"/>
      <c r="G49" s="150"/>
    </row>
    <row r="50" spans="1:9" ht="15" customHeight="1" x14ac:dyDescent="0.2">
      <c r="A50" s="144" t="s">
        <v>758</v>
      </c>
      <c r="B50" s="150"/>
      <c r="C50" s="150"/>
      <c r="D50" s="150"/>
      <c r="E50" s="150"/>
      <c r="F50" s="150"/>
      <c r="G50" s="150"/>
    </row>
    <row r="51" spans="1:9" ht="15" customHeight="1" x14ac:dyDescent="0.2">
      <c r="A51" s="119" t="s">
        <v>759</v>
      </c>
      <c r="B51" s="155"/>
      <c r="C51" s="155"/>
      <c r="D51" s="155"/>
      <c r="E51" s="155"/>
      <c r="F51" s="155">
        <f>IF(F7=0,F6,0)</f>
        <v>1885176.8365652654</v>
      </c>
      <c r="G51" s="155"/>
    </row>
    <row r="52" spans="1:9" ht="15" customHeight="1" x14ac:dyDescent="0.2">
      <c r="A52" s="119" t="s">
        <v>760</v>
      </c>
      <c r="B52" s="155"/>
      <c r="C52" s="155"/>
      <c r="D52" s="155"/>
      <c r="E52" s="155"/>
      <c r="F52" s="155">
        <f>F9</f>
        <v>3581835.9894740051</v>
      </c>
      <c r="G52" s="155"/>
    </row>
    <row r="53" spans="1:9" ht="15" customHeight="1" x14ac:dyDescent="0.2">
      <c r="A53" s="119" t="s">
        <v>761</v>
      </c>
      <c r="B53" s="155"/>
      <c r="C53" s="155"/>
      <c r="D53" s="155"/>
      <c r="E53" s="155"/>
      <c r="F53" s="155">
        <f>F52/(1+SUPUESTOS!$B$69)</f>
        <v>3286088.0637376192</v>
      </c>
      <c r="G53" s="155"/>
    </row>
    <row r="54" spans="1:9" ht="15" customHeight="1" x14ac:dyDescent="0.2">
      <c r="A54" s="119" t="s">
        <v>762</v>
      </c>
      <c r="B54" s="155"/>
      <c r="C54" s="155"/>
      <c r="D54" s="155"/>
      <c r="E54" s="155"/>
      <c r="F54" s="155">
        <f>F14</f>
        <v>1679172.161887056</v>
      </c>
      <c r="G54" s="155"/>
    </row>
    <row r="55" spans="1:9" ht="15" customHeight="1" x14ac:dyDescent="0.2">
      <c r="A55" s="113" t="s">
        <v>763</v>
      </c>
      <c r="B55" s="155"/>
      <c r="C55" s="155"/>
      <c r="D55" s="155"/>
      <c r="E55" s="155"/>
      <c r="F55" s="155">
        <f>F51+F53-F54</f>
        <v>3492092.7384158289</v>
      </c>
      <c r="G55" s="155"/>
    </row>
    <row r="56" spans="1:9" ht="15.75" customHeight="1" x14ac:dyDescent="0.2">
      <c r="B56" s="150"/>
      <c r="C56" s="150"/>
      <c r="D56" s="150"/>
      <c r="E56" s="150"/>
      <c r="F56" s="150"/>
      <c r="G56" s="150"/>
    </row>
    <row r="57" spans="1:9" ht="15" customHeight="1" x14ac:dyDescent="0.2">
      <c r="A57" s="115" t="s">
        <v>764</v>
      </c>
      <c r="B57" s="150"/>
      <c r="C57" s="150"/>
      <c r="D57" s="150"/>
      <c r="E57" s="150"/>
      <c r="F57" s="150"/>
      <c r="G57" s="150"/>
    </row>
    <row r="58" spans="1:9" ht="15" customHeight="1" x14ac:dyDescent="0.2">
      <c r="A58" s="119" t="s">
        <v>765</v>
      </c>
      <c r="B58" s="155">
        <f>B82</f>
        <v>0</v>
      </c>
      <c r="C58" s="155">
        <f>C82</f>
        <v>194418.59238916257</v>
      </c>
      <c r="D58" s="155">
        <f>D82</f>
        <v>201500.65942644671</v>
      </c>
      <c r="E58" s="155">
        <f>E82</f>
        <v>216664.49050151222</v>
      </c>
      <c r="F58" s="155">
        <f>F82</f>
        <v>0</v>
      </c>
      <c r="G58" s="155">
        <f>SUM(B58:F58)</f>
        <v>612583.74231712148</v>
      </c>
    </row>
    <row r="59" spans="1:9" ht="15" customHeight="1" x14ac:dyDescent="0.2">
      <c r="A59" s="119" t="s">
        <v>766</v>
      </c>
      <c r="B59" s="155">
        <v>0</v>
      </c>
      <c r="C59" s="155">
        <v>0</v>
      </c>
      <c r="D59" s="155">
        <v>0</v>
      </c>
      <c r="E59" s="155">
        <v>0</v>
      </c>
      <c r="F59" s="155">
        <f>F55</f>
        <v>3492092.7384158289</v>
      </c>
      <c r="G59" s="155">
        <f>SUM(B59:F59)</f>
        <v>3492092.7384158289</v>
      </c>
    </row>
    <row r="60" spans="1:9" ht="15" customHeight="1" x14ac:dyDescent="0.2">
      <c r="A60" s="113" t="s">
        <v>767</v>
      </c>
      <c r="B60" s="155">
        <f t="shared" ref="B60:G60" si="1">B58+B59</f>
        <v>0</v>
      </c>
      <c r="C60" s="155">
        <f t="shared" si="1"/>
        <v>194418.59238916257</v>
      </c>
      <c r="D60" s="155">
        <f t="shared" si="1"/>
        <v>201500.65942644671</v>
      </c>
      <c r="E60" s="155">
        <f t="shared" si="1"/>
        <v>216664.49050151222</v>
      </c>
      <c r="F60" s="155">
        <f t="shared" si="1"/>
        <v>3492092.7384158289</v>
      </c>
      <c r="G60" s="155">
        <f t="shared" si="1"/>
        <v>4104676.4807329504</v>
      </c>
    </row>
    <row r="61" spans="1:9" ht="15" customHeight="1" x14ac:dyDescent="0.2">
      <c r="A61" s="119" t="s">
        <v>768</v>
      </c>
      <c r="B61" s="155">
        <f>B60</f>
        <v>0</v>
      </c>
      <c r="C61" s="155">
        <f>B61+C60</f>
        <v>194418.59238916257</v>
      </c>
      <c r="D61" s="155">
        <f>C61+D60</f>
        <v>395919.25181560928</v>
      </c>
      <c r="E61" s="155">
        <f>D61+E60</f>
        <v>612583.74231712148</v>
      </c>
      <c r="F61" s="155">
        <f>E61+F60</f>
        <v>4104676.4807329504</v>
      </c>
      <c r="G61" s="155"/>
    </row>
    <row r="62" spans="1:9" ht="15.75" customHeight="1" x14ac:dyDescent="0.2">
      <c r="B62" s="150"/>
      <c r="C62" s="150"/>
      <c r="D62" s="150"/>
      <c r="E62" s="150"/>
      <c r="F62" s="150"/>
      <c r="G62" s="150"/>
    </row>
    <row r="63" spans="1:9" ht="15" customHeight="1" x14ac:dyDescent="0.2">
      <c r="A63" s="115" t="s">
        <v>769</v>
      </c>
      <c r="B63" s="150"/>
      <c r="C63" s="150"/>
      <c r="D63" s="150"/>
      <c r="E63" s="150"/>
      <c r="F63" s="150"/>
      <c r="G63" s="150"/>
    </row>
    <row r="64" spans="1:9" ht="15" customHeight="1" x14ac:dyDescent="0.2">
      <c r="A64" s="119" t="s">
        <v>770</v>
      </c>
      <c r="B64" s="174">
        <f>-SUPUESTOS!$B$6-B45+B60</f>
        <v>-3000000</v>
      </c>
      <c r="C64" s="174">
        <f>C60-C45</f>
        <v>194418.59238916257</v>
      </c>
      <c r="D64" s="174">
        <f>D60-D45</f>
        <v>201500.65942644671</v>
      </c>
      <c r="E64" s="174">
        <f>E60-E45</f>
        <v>216664.49050151222</v>
      </c>
      <c r="F64" s="175">
        <f>-F45+F60</f>
        <v>3492092.7384158289</v>
      </c>
      <c r="G64" s="174"/>
      <c r="H64" s="176"/>
      <c r="I64" s="177" t="s">
        <v>771</v>
      </c>
    </row>
    <row r="65" spans="1:7" ht="15" customHeight="1" x14ac:dyDescent="0.2">
      <c r="A65" s="178" t="s">
        <v>772</v>
      </c>
      <c r="B65" s="179">
        <f>IFERROR(IRR(B64:G64),"-")</f>
        <v>8.8919693347931039E-2</v>
      </c>
      <c r="C65" s="150"/>
      <c r="D65" s="150"/>
      <c r="E65" s="150"/>
      <c r="F65" s="150"/>
      <c r="G65" s="150"/>
    </row>
    <row r="66" spans="1:7" ht="15" customHeight="1" x14ac:dyDescent="0.2">
      <c r="A66" s="119" t="s">
        <v>773</v>
      </c>
      <c r="B66" s="180">
        <f>IF((SUPUESTOS!$B$6+G45)&gt;0,G60/(SUPUESTOS!$B$6+G45),0)</f>
        <v>1.3682254935776501</v>
      </c>
      <c r="C66" s="150"/>
      <c r="D66" s="150"/>
      <c r="E66" s="150"/>
      <c r="F66" s="150"/>
      <c r="G66" s="150"/>
    </row>
    <row r="67" spans="1:7" ht="15" customHeight="1" x14ac:dyDescent="0.2">
      <c r="B67" s="155"/>
      <c r="C67" s="181"/>
      <c r="D67" s="181"/>
      <c r="E67" s="181"/>
      <c r="F67" s="181"/>
      <c r="G67" s="181"/>
    </row>
    <row r="68" spans="1:7" ht="15" customHeight="1" x14ac:dyDescent="0.2">
      <c r="A68" s="182" t="s">
        <v>774</v>
      </c>
      <c r="B68" s="150"/>
      <c r="C68" s="150"/>
      <c r="D68" s="150"/>
      <c r="E68" s="150"/>
      <c r="F68" s="150"/>
      <c r="G68" s="150"/>
    </row>
    <row r="69" spans="1:7" ht="15" customHeight="1" x14ac:dyDescent="0.2">
      <c r="A69" s="111" t="s">
        <v>775</v>
      </c>
      <c r="B69" s="150"/>
      <c r="C69" s="150"/>
      <c r="D69" s="150"/>
      <c r="E69" s="150"/>
      <c r="F69" s="150"/>
      <c r="G69" s="150"/>
    </row>
    <row r="70" spans="1:7" ht="15.75" customHeight="1" x14ac:dyDescent="0.2">
      <c r="B70" s="150"/>
      <c r="C70" s="150"/>
      <c r="D70" s="150"/>
      <c r="E70" s="150"/>
      <c r="F70" s="150"/>
      <c r="G70" s="150"/>
    </row>
    <row r="71" spans="1:7" ht="15.75" customHeight="1" x14ac:dyDescent="0.2">
      <c r="B71" s="150"/>
      <c r="C71" s="150"/>
      <c r="D71" s="150"/>
      <c r="E71" s="150"/>
      <c r="F71" s="150"/>
      <c r="G71" s="150"/>
    </row>
    <row r="72" spans="1:7" ht="15" customHeight="1" x14ac:dyDescent="0.2">
      <c r="A72" s="149" t="s">
        <v>776</v>
      </c>
      <c r="B72" s="150"/>
      <c r="C72" s="150"/>
      <c r="D72" s="150"/>
      <c r="E72" s="150"/>
      <c r="F72" s="150"/>
      <c r="G72" s="150"/>
    </row>
    <row r="73" spans="1:7" ht="15" customHeight="1" x14ac:dyDescent="0.2">
      <c r="A73" s="144" t="s">
        <v>147</v>
      </c>
      <c r="B73" s="151">
        <v>2026</v>
      </c>
      <c r="C73" s="151">
        <v>2027</v>
      </c>
      <c r="D73" s="151">
        <v>2028</v>
      </c>
      <c r="E73" s="151">
        <v>2029</v>
      </c>
      <c r="F73" s="151">
        <v>2030</v>
      </c>
      <c r="G73" s="151" t="s">
        <v>99</v>
      </c>
    </row>
    <row r="74" spans="1:7" ht="15" customHeight="1" x14ac:dyDescent="0.2">
      <c r="A74" s="144" t="s">
        <v>777</v>
      </c>
      <c r="B74" s="155">
        <f>MIN(B75, B47)</f>
        <v>0</v>
      </c>
      <c r="C74" s="155">
        <f>MIN(C75, C47)</f>
        <v>0</v>
      </c>
      <c r="D74" s="155">
        <f>MIN(D75, D47)</f>
        <v>0</v>
      </c>
      <c r="E74" s="155">
        <f>MIN(E75, E47)</f>
        <v>0</v>
      </c>
      <c r="F74" s="155">
        <f>MIN(F75, F47)</f>
        <v>0</v>
      </c>
      <c r="G74" s="155">
        <f>SUM(B74:F74)</f>
        <v>0</v>
      </c>
    </row>
    <row r="75" spans="1:7" ht="15" customHeight="1" x14ac:dyDescent="0.2">
      <c r="A75" s="183" t="s">
        <v>778</v>
      </c>
      <c r="B75" s="184">
        <v>0</v>
      </c>
      <c r="C75" s="184">
        <v>0</v>
      </c>
      <c r="D75" s="184">
        <v>0</v>
      </c>
      <c r="E75" s="184">
        <v>0</v>
      </c>
      <c r="F75" s="184">
        <v>0</v>
      </c>
      <c r="G75" s="150"/>
    </row>
    <row r="76" spans="1:7" ht="15" customHeight="1" x14ac:dyDescent="0.2">
      <c r="A76" s="183" t="s">
        <v>779</v>
      </c>
      <c r="B76" s="185">
        <v>0</v>
      </c>
      <c r="C76" s="185">
        <v>0.06</v>
      </c>
      <c r="D76" s="185">
        <v>0.06</v>
      </c>
      <c r="E76" s="185">
        <v>0.06</v>
      </c>
      <c r="F76" s="150"/>
      <c r="G76" s="150"/>
    </row>
    <row r="77" spans="1:7" ht="15" customHeight="1" x14ac:dyDescent="0.2">
      <c r="A77" s="119" t="s">
        <v>780</v>
      </c>
      <c r="B77" s="155">
        <f>IF(1&gt;=SUPUESTOS!$B$58, B47*B76, 0)</f>
        <v>0</v>
      </c>
      <c r="C77" s="155">
        <f>IF(2&gt;=SUPUESTOS!$B$58, C47*C76, 0)</f>
        <v>194418.59238916257</v>
      </c>
      <c r="D77" s="155">
        <f>IF(3&gt;=SUPUESTOS!$B$58, D47*D76, 0)</f>
        <v>201500.65942644671</v>
      </c>
      <c r="E77" s="155">
        <f>IF(4&gt;=SUPUESTOS!$B$58, E47*E76, 0)</f>
        <v>216664.49050151222</v>
      </c>
      <c r="F77" s="155">
        <f>IF(5&gt;=SUPUESTOS!$B$58, F47*F76, 0)</f>
        <v>0</v>
      </c>
      <c r="G77" s="155">
        <f>SUM(B77:F77)</f>
        <v>612583.74231712148</v>
      </c>
    </row>
    <row r="78" spans="1:7" ht="15.75" customHeight="1" x14ac:dyDescent="0.2">
      <c r="B78" s="150"/>
      <c r="C78" s="150"/>
      <c r="D78" s="150"/>
      <c r="E78" s="150"/>
      <c r="F78" s="150"/>
      <c r="G78" s="150"/>
    </row>
    <row r="79" spans="1:7" ht="15" customHeight="1" x14ac:dyDescent="0.2">
      <c r="A79" s="144" t="s">
        <v>781</v>
      </c>
      <c r="B79" s="186">
        <f>B74+B77</f>
        <v>0</v>
      </c>
      <c r="C79" s="186">
        <f>C74+C77</f>
        <v>194418.59238916257</v>
      </c>
      <c r="D79" s="186">
        <f>D74+D77</f>
        <v>201500.65942644671</v>
      </c>
      <c r="E79" s="186">
        <f>E74+E77</f>
        <v>216664.49050151222</v>
      </c>
      <c r="F79" s="186">
        <f>F74+F77</f>
        <v>0</v>
      </c>
      <c r="G79" s="186">
        <f>SUM(B79:F79)</f>
        <v>612583.74231712148</v>
      </c>
    </row>
    <row r="80" spans="1:7" ht="15" customHeight="1" x14ac:dyDescent="0.2">
      <c r="A80" s="119" t="s">
        <v>782</v>
      </c>
      <c r="B80" s="187">
        <f>SUPUESTOS!$B$59</f>
        <v>0</v>
      </c>
      <c r="C80" s="187">
        <f>SUPUESTOS!$B$59</f>
        <v>0</v>
      </c>
      <c r="D80" s="187">
        <f>SUPUESTOS!$B$59</f>
        <v>0</v>
      </c>
      <c r="E80" s="187">
        <f>SUPUESTOS!$B$59</f>
        <v>0</v>
      </c>
      <c r="F80" s="187">
        <f>SUPUESTOS!$B$59</f>
        <v>0</v>
      </c>
      <c r="G80" s="150"/>
    </row>
    <row r="81" spans="1:7" ht="15" customHeight="1" x14ac:dyDescent="0.2">
      <c r="A81" s="119" t="s">
        <v>783</v>
      </c>
      <c r="B81" s="155">
        <f>B79*B80</f>
        <v>0</v>
      </c>
      <c r="C81" s="155">
        <f>C79*C80</f>
        <v>0</v>
      </c>
      <c r="D81" s="155">
        <f>D79*D80</f>
        <v>0</v>
      </c>
      <c r="E81" s="155">
        <f>E79*E80</f>
        <v>0</v>
      </c>
      <c r="F81" s="155">
        <f>F79*F80</f>
        <v>0</v>
      </c>
      <c r="G81" s="155">
        <f>SUM(B81:F81)</f>
        <v>0</v>
      </c>
    </row>
    <row r="82" spans="1:7" ht="15" customHeight="1" x14ac:dyDescent="0.2">
      <c r="A82" s="144" t="s">
        <v>784</v>
      </c>
      <c r="B82" s="186">
        <f>B79-B81</f>
        <v>0</v>
      </c>
      <c r="C82" s="186">
        <f>C79-C81</f>
        <v>194418.59238916257</v>
      </c>
      <c r="D82" s="186">
        <f>D79-D81</f>
        <v>201500.65942644671</v>
      </c>
      <c r="E82" s="186">
        <f>E79-E81</f>
        <v>216664.49050151222</v>
      </c>
      <c r="F82" s="186">
        <f>F79-F81</f>
        <v>0</v>
      </c>
      <c r="G82" s="186">
        <f>SUM(B82:F82)</f>
        <v>612583.74231712148</v>
      </c>
    </row>
    <row r="83" spans="1:7" ht="15" customHeight="1" x14ac:dyDescent="0.2">
      <c r="A83" s="119" t="s">
        <v>785</v>
      </c>
      <c r="B83" s="155">
        <f>B79</f>
        <v>0</v>
      </c>
      <c r="C83" s="155">
        <f>C79</f>
        <v>194418.59238916257</v>
      </c>
      <c r="D83" s="155">
        <f>D79</f>
        <v>201500.65942644671</v>
      </c>
      <c r="E83" s="155">
        <f>E79</f>
        <v>216664.49050151222</v>
      </c>
      <c r="F83" s="155">
        <f>F79</f>
        <v>0</v>
      </c>
      <c r="G83" s="150"/>
    </row>
    <row r="84" spans="1:7" ht="15" customHeight="1" x14ac:dyDescent="0.2">
      <c r="A84" s="119" t="s">
        <v>786</v>
      </c>
      <c r="B84" s="150"/>
      <c r="C84" s="150"/>
      <c r="D84" s="150"/>
      <c r="E84" s="150"/>
      <c r="F84" s="150"/>
      <c r="G84" s="150"/>
    </row>
    <row r="85" spans="1:7" ht="15.75" customHeight="1" x14ac:dyDescent="0.2">
      <c r="B85" s="150"/>
      <c r="C85" s="150"/>
      <c r="D85" s="150"/>
      <c r="E85" s="150"/>
      <c r="F85" s="150"/>
      <c r="G85" s="150"/>
    </row>
    <row r="86" spans="1:7" ht="15.75" customHeight="1" x14ac:dyDescent="0.2">
      <c r="B86" s="150"/>
      <c r="C86" s="150"/>
      <c r="D86" s="150"/>
      <c r="E86" s="150"/>
      <c r="F86" s="150"/>
      <c r="G86" s="150"/>
    </row>
    <row r="87" spans="1:7" ht="15.75" customHeight="1" x14ac:dyDescent="0.2">
      <c r="B87" s="150"/>
      <c r="C87" s="150"/>
      <c r="D87" s="150"/>
      <c r="E87" s="150"/>
      <c r="F87" s="150"/>
      <c r="G87" s="150"/>
    </row>
    <row r="88" spans="1:7" ht="15.75" customHeight="1" x14ac:dyDescent="0.2">
      <c r="B88" s="150"/>
      <c r="C88" s="150"/>
      <c r="D88" s="150"/>
      <c r="E88" s="150"/>
      <c r="F88" s="150"/>
      <c r="G88" s="150"/>
    </row>
    <row r="89" spans="1:7" ht="15.75" customHeight="1" x14ac:dyDescent="0.2">
      <c r="B89" s="150"/>
      <c r="C89" s="150"/>
      <c r="D89" s="150"/>
      <c r="E89" s="150"/>
      <c r="F89" s="150"/>
      <c r="G89" s="150"/>
    </row>
    <row r="90" spans="1:7" ht="15.75" customHeight="1" x14ac:dyDescent="0.2">
      <c r="B90" s="150"/>
      <c r="C90" s="150"/>
      <c r="D90" s="150"/>
      <c r="E90" s="150"/>
      <c r="F90" s="150"/>
      <c r="G90" s="150"/>
    </row>
    <row r="91" spans="1:7" ht="15.75" customHeight="1" x14ac:dyDescent="0.2">
      <c r="B91" s="150"/>
      <c r="C91" s="150"/>
      <c r="D91" s="150"/>
      <c r="E91" s="150"/>
      <c r="F91" s="150"/>
      <c r="G91" s="150"/>
    </row>
    <row r="92" spans="1:7" ht="15.75" customHeight="1" x14ac:dyDescent="0.2">
      <c r="B92" s="150"/>
      <c r="C92" s="150"/>
      <c r="D92" s="150"/>
      <c r="E92" s="150"/>
      <c r="F92" s="150"/>
      <c r="G92" s="150"/>
    </row>
    <row r="93" spans="1:7" ht="15.75" customHeight="1" x14ac:dyDescent="0.2">
      <c r="B93" s="150"/>
      <c r="C93" s="150"/>
      <c r="D93" s="150"/>
      <c r="E93" s="150"/>
      <c r="F93" s="150"/>
      <c r="G93" s="150"/>
    </row>
    <row r="94" spans="1:7" ht="15.75" customHeight="1" x14ac:dyDescent="0.2">
      <c r="B94" s="150"/>
      <c r="C94" s="150"/>
      <c r="D94" s="150"/>
      <c r="E94" s="150"/>
      <c r="F94" s="150"/>
      <c r="G94" s="150"/>
    </row>
    <row r="95" spans="1:7" ht="15.75" customHeight="1" x14ac:dyDescent="0.2">
      <c r="B95" s="150"/>
      <c r="C95" s="150"/>
      <c r="D95" s="150"/>
      <c r="E95" s="150"/>
      <c r="F95" s="150"/>
      <c r="G95" s="150"/>
    </row>
    <row r="96" spans="1:7" ht="15.75" customHeight="1" x14ac:dyDescent="0.2">
      <c r="B96" s="150"/>
      <c r="C96" s="150"/>
      <c r="D96" s="150"/>
      <c r="E96" s="150"/>
      <c r="F96" s="150"/>
      <c r="G96" s="150"/>
    </row>
    <row r="97" spans="2:7" ht="15.75" customHeight="1" x14ac:dyDescent="0.2">
      <c r="B97" s="150"/>
      <c r="C97" s="150"/>
      <c r="D97" s="150"/>
      <c r="E97" s="150"/>
      <c r="F97" s="150"/>
      <c r="G97" s="150"/>
    </row>
    <row r="98" spans="2:7" ht="15.75" customHeight="1" x14ac:dyDescent="0.2">
      <c r="B98" s="150"/>
      <c r="C98" s="150"/>
      <c r="D98" s="150"/>
      <c r="E98" s="150"/>
      <c r="F98" s="150"/>
      <c r="G98" s="150"/>
    </row>
    <row r="99" spans="2:7" ht="15.75" customHeight="1" x14ac:dyDescent="0.2">
      <c r="B99" s="150"/>
      <c r="C99" s="150"/>
      <c r="D99" s="150"/>
      <c r="E99" s="150"/>
      <c r="F99" s="150"/>
      <c r="G99" s="150"/>
    </row>
    <row r="100" spans="2:7" ht="15.75" customHeight="1" x14ac:dyDescent="0.2">
      <c r="B100" s="150"/>
      <c r="C100" s="150"/>
      <c r="D100" s="150"/>
      <c r="E100" s="150"/>
      <c r="F100" s="150"/>
      <c r="G100" s="150"/>
    </row>
    <row r="101" spans="2:7" ht="15.75" customHeight="1" x14ac:dyDescent="0.2">
      <c r="B101" s="150"/>
      <c r="C101" s="150"/>
      <c r="D101" s="150"/>
      <c r="E101" s="150"/>
      <c r="F101" s="150"/>
      <c r="G101" s="150"/>
    </row>
    <row r="102" spans="2:7" ht="15.75" customHeight="1" x14ac:dyDescent="0.2">
      <c r="B102" s="150"/>
      <c r="C102" s="150"/>
      <c r="D102" s="150"/>
      <c r="E102" s="150"/>
      <c r="F102" s="150"/>
      <c r="G102" s="150"/>
    </row>
    <row r="103" spans="2:7" ht="15.75" customHeight="1" x14ac:dyDescent="0.2">
      <c r="B103" s="150"/>
      <c r="C103" s="150"/>
      <c r="D103" s="150"/>
      <c r="E103" s="150"/>
      <c r="F103" s="150"/>
      <c r="G103" s="150"/>
    </row>
    <row r="104" spans="2:7" ht="15.75" customHeight="1" x14ac:dyDescent="0.2">
      <c r="B104" s="150"/>
      <c r="C104" s="150"/>
      <c r="D104" s="150"/>
      <c r="E104" s="150"/>
      <c r="F104" s="150"/>
      <c r="G104" s="150"/>
    </row>
    <row r="105" spans="2:7" ht="15.75" customHeight="1" x14ac:dyDescent="0.2">
      <c r="B105" s="150"/>
      <c r="C105" s="150"/>
      <c r="D105" s="150"/>
      <c r="E105" s="150"/>
      <c r="F105" s="150"/>
      <c r="G105" s="150"/>
    </row>
    <row r="106" spans="2:7" ht="15.75" customHeight="1" x14ac:dyDescent="0.2">
      <c r="B106" s="150"/>
      <c r="C106" s="150"/>
      <c r="D106" s="150"/>
      <c r="E106" s="150"/>
      <c r="F106" s="150"/>
      <c r="G106" s="150"/>
    </row>
    <row r="107" spans="2:7" ht="15.75" customHeight="1" x14ac:dyDescent="0.2">
      <c r="B107" s="150"/>
      <c r="C107" s="150"/>
      <c r="D107" s="150"/>
      <c r="E107" s="150"/>
      <c r="F107" s="150"/>
      <c r="G107" s="150"/>
    </row>
    <row r="108" spans="2:7" ht="15.75" customHeight="1" x14ac:dyDescent="0.2">
      <c r="B108" s="150"/>
      <c r="C108" s="150"/>
      <c r="D108" s="150"/>
      <c r="E108" s="150"/>
      <c r="F108" s="150"/>
      <c r="G108" s="150"/>
    </row>
    <row r="109" spans="2:7" ht="15.75" customHeight="1" x14ac:dyDescent="0.2">
      <c r="B109" s="150"/>
      <c r="C109" s="150"/>
      <c r="D109" s="150"/>
      <c r="E109" s="150"/>
      <c r="F109" s="150"/>
      <c r="G109" s="150"/>
    </row>
    <row r="110" spans="2:7" ht="15.75" customHeight="1" x14ac:dyDescent="0.2">
      <c r="B110" s="150"/>
      <c r="C110" s="150"/>
      <c r="D110" s="150"/>
      <c r="E110" s="150"/>
      <c r="F110" s="150"/>
      <c r="G110" s="150"/>
    </row>
    <row r="111" spans="2:7" ht="15.75" customHeight="1" x14ac:dyDescent="0.2">
      <c r="B111" s="150"/>
      <c r="C111" s="150"/>
      <c r="D111" s="150"/>
      <c r="E111" s="150"/>
      <c r="F111" s="150"/>
      <c r="G111" s="150"/>
    </row>
    <row r="112" spans="2:7" ht="15.75" customHeight="1" x14ac:dyDescent="0.2">
      <c r="B112" s="150"/>
      <c r="C112" s="150"/>
      <c r="D112" s="150"/>
      <c r="E112" s="150"/>
      <c r="F112" s="150"/>
      <c r="G112" s="150"/>
    </row>
    <row r="113" spans="2:7" ht="15.75" customHeight="1" x14ac:dyDescent="0.2">
      <c r="B113" s="150"/>
      <c r="C113" s="150"/>
      <c r="D113" s="150"/>
      <c r="E113" s="150"/>
      <c r="F113" s="150"/>
      <c r="G113" s="150"/>
    </row>
    <row r="114" spans="2:7" ht="15.75" customHeight="1" x14ac:dyDescent="0.2">
      <c r="B114" s="150"/>
      <c r="C114" s="150"/>
      <c r="D114" s="150"/>
      <c r="E114" s="150"/>
      <c r="F114" s="150"/>
      <c r="G114" s="150"/>
    </row>
    <row r="115" spans="2:7" ht="15.75" customHeight="1" x14ac:dyDescent="0.2">
      <c r="B115" s="150"/>
      <c r="C115" s="150"/>
      <c r="D115" s="150"/>
      <c r="E115" s="150"/>
      <c r="F115" s="150"/>
      <c r="G115" s="150"/>
    </row>
    <row r="116" spans="2:7" ht="15.75" customHeight="1" x14ac:dyDescent="0.2">
      <c r="B116" s="150"/>
      <c r="C116" s="150"/>
      <c r="D116" s="150"/>
      <c r="E116" s="150"/>
      <c r="F116" s="150"/>
      <c r="G116" s="150"/>
    </row>
    <row r="117" spans="2:7" ht="15.75" customHeight="1" x14ac:dyDescent="0.2">
      <c r="B117" s="150"/>
      <c r="C117" s="150"/>
      <c r="D117" s="150"/>
      <c r="E117" s="150"/>
      <c r="F117" s="150"/>
      <c r="G117" s="150"/>
    </row>
    <row r="118" spans="2:7" ht="15.75" customHeight="1" x14ac:dyDescent="0.2">
      <c r="B118" s="150"/>
      <c r="C118" s="150"/>
      <c r="D118" s="150"/>
      <c r="E118" s="150"/>
      <c r="F118" s="150"/>
      <c r="G118" s="150"/>
    </row>
    <row r="119" spans="2:7" ht="15.75" customHeight="1" x14ac:dyDescent="0.2">
      <c r="B119" s="150"/>
      <c r="C119" s="150"/>
      <c r="D119" s="150"/>
      <c r="E119" s="150"/>
      <c r="F119" s="150"/>
      <c r="G119" s="150"/>
    </row>
    <row r="120" spans="2:7" ht="15.75" customHeight="1" x14ac:dyDescent="0.2">
      <c r="B120" s="150"/>
      <c r="C120" s="150"/>
      <c r="D120" s="150"/>
      <c r="E120" s="150"/>
      <c r="F120" s="150"/>
      <c r="G120" s="150"/>
    </row>
    <row r="121" spans="2:7" ht="15.75" customHeight="1" x14ac:dyDescent="0.2">
      <c r="B121" s="150"/>
      <c r="C121" s="150"/>
      <c r="D121" s="150"/>
      <c r="E121" s="150"/>
      <c r="F121" s="150"/>
      <c r="G121" s="150"/>
    </row>
    <row r="122" spans="2:7" ht="15.75" customHeight="1" x14ac:dyDescent="0.2">
      <c r="B122" s="150"/>
      <c r="C122" s="150"/>
      <c r="D122" s="150"/>
      <c r="E122" s="150"/>
      <c r="F122" s="150"/>
      <c r="G122" s="150"/>
    </row>
    <row r="123" spans="2:7" ht="15.75" customHeight="1" x14ac:dyDescent="0.2">
      <c r="B123" s="150"/>
      <c r="C123" s="150"/>
      <c r="D123" s="150"/>
      <c r="E123" s="150"/>
      <c r="F123" s="150"/>
      <c r="G123" s="150"/>
    </row>
    <row r="124" spans="2:7" ht="15.75" customHeight="1" x14ac:dyDescent="0.2">
      <c r="B124" s="150"/>
      <c r="C124" s="150"/>
      <c r="D124" s="150"/>
      <c r="E124" s="150"/>
      <c r="F124" s="150"/>
      <c r="G124" s="150"/>
    </row>
    <row r="125" spans="2:7" ht="15.75" customHeight="1" x14ac:dyDescent="0.2">
      <c r="B125" s="150"/>
      <c r="C125" s="150"/>
      <c r="D125" s="150"/>
      <c r="E125" s="150"/>
      <c r="F125" s="150"/>
      <c r="G125" s="150"/>
    </row>
    <row r="126" spans="2:7" ht="15.75" customHeight="1" x14ac:dyDescent="0.2">
      <c r="B126" s="150"/>
      <c r="C126" s="150"/>
      <c r="D126" s="150"/>
      <c r="E126" s="150"/>
      <c r="F126" s="150"/>
      <c r="G126" s="150"/>
    </row>
    <row r="127" spans="2:7" ht="15.75" customHeight="1" x14ac:dyDescent="0.2">
      <c r="B127" s="150"/>
      <c r="C127" s="150"/>
      <c r="D127" s="150"/>
      <c r="E127" s="150"/>
      <c r="F127" s="150"/>
      <c r="G127" s="150"/>
    </row>
    <row r="128" spans="2:7" ht="15.75" customHeight="1" x14ac:dyDescent="0.2">
      <c r="B128" s="150"/>
      <c r="C128" s="150"/>
      <c r="D128" s="150"/>
      <c r="E128" s="150"/>
      <c r="F128" s="150"/>
      <c r="G128" s="150"/>
    </row>
    <row r="129" spans="2:7" ht="15.75" customHeight="1" x14ac:dyDescent="0.2">
      <c r="B129" s="150"/>
      <c r="C129" s="150"/>
      <c r="D129" s="150"/>
      <c r="E129" s="150"/>
      <c r="F129" s="150"/>
      <c r="G129" s="150"/>
    </row>
    <row r="130" spans="2:7" ht="15.75" customHeight="1" x14ac:dyDescent="0.2">
      <c r="B130" s="150"/>
      <c r="C130" s="150"/>
      <c r="D130" s="150"/>
      <c r="E130" s="150"/>
      <c r="F130" s="150"/>
      <c r="G130" s="150"/>
    </row>
    <row r="131" spans="2:7" ht="15.75" customHeight="1" x14ac:dyDescent="0.2">
      <c r="B131" s="150"/>
      <c r="C131" s="150"/>
      <c r="D131" s="150"/>
      <c r="E131" s="150"/>
      <c r="F131" s="150"/>
      <c r="G131" s="150"/>
    </row>
    <row r="132" spans="2:7" ht="15.75" customHeight="1" x14ac:dyDescent="0.2">
      <c r="B132" s="150"/>
      <c r="C132" s="150"/>
      <c r="D132" s="150"/>
      <c r="E132" s="150"/>
      <c r="F132" s="150"/>
      <c r="G132" s="150"/>
    </row>
    <row r="133" spans="2:7" ht="15.75" customHeight="1" x14ac:dyDescent="0.2">
      <c r="B133" s="150"/>
      <c r="C133" s="150"/>
      <c r="D133" s="150"/>
      <c r="E133" s="150"/>
      <c r="F133" s="150"/>
      <c r="G133" s="150"/>
    </row>
    <row r="134" spans="2:7" ht="15.75" customHeight="1" x14ac:dyDescent="0.2">
      <c r="B134" s="150"/>
      <c r="C134" s="150"/>
      <c r="D134" s="150"/>
      <c r="E134" s="150"/>
      <c r="F134" s="150"/>
      <c r="G134" s="150"/>
    </row>
    <row r="135" spans="2:7" ht="15.75" customHeight="1" x14ac:dyDescent="0.2">
      <c r="B135" s="150"/>
      <c r="C135" s="150"/>
      <c r="D135" s="150"/>
      <c r="E135" s="150"/>
      <c r="F135" s="150"/>
      <c r="G135" s="150"/>
    </row>
    <row r="136" spans="2:7" ht="15.75" customHeight="1" x14ac:dyDescent="0.2">
      <c r="B136" s="150"/>
      <c r="C136" s="150"/>
      <c r="D136" s="150"/>
      <c r="E136" s="150"/>
      <c r="F136" s="150"/>
      <c r="G136" s="150"/>
    </row>
    <row r="137" spans="2:7" ht="15.75" customHeight="1" x14ac:dyDescent="0.2">
      <c r="B137" s="150"/>
      <c r="C137" s="150"/>
      <c r="D137" s="150"/>
      <c r="E137" s="150"/>
      <c r="F137" s="150"/>
      <c r="G137" s="150"/>
    </row>
    <row r="138" spans="2:7" ht="15.75" customHeight="1" x14ac:dyDescent="0.2">
      <c r="B138" s="150"/>
      <c r="C138" s="150"/>
      <c r="D138" s="150"/>
      <c r="E138" s="150"/>
      <c r="F138" s="150"/>
      <c r="G138" s="150"/>
    </row>
    <row r="139" spans="2:7" ht="15.75" customHeight="1" x14ac:dyDescent="0.2">
      <c r="B139" s="150"/>
      <c r="C139" s="150"/>
      <c r="D139" s="150"/>
      <c r="E139" s="150"/>
      <c r="F139" s="150"/>
      <c r="G139" s="150"/>
    </row>
    <row r="140" spans="2:7" ht="15.75" customHeight="1" x14ac:dyDescent="0.2">
      <c r="B140" s="150"/>
      <c r="C140" s="150"/>
      <c r="D140" s="150"/>
      <c r="E140" s="150"/>
      <c r="F140" s="150"/>
      <c r="G140" s="150"/>
    </row>
    <row r="141" spans="2:7" ht="15.75" customHeight="1" x14ac:dyDescent="0.2">
      <c r="B141" s="150"/>
      <c r="C141" s="150"/>
      <c r="D141" s="150"/>
      <c r="E141" s="150"/>
      <c r="F141" s="150"/>
      <c r="G141" s="150"/>
    </row>
    <row r="142" spans="2:7" ht="15.75" customHeight="1" x14ac:dyDescent="0.2">
      <c r="B142" s="150"/>
      <c r="C142" s="150"/>
      <c r="D142" s="150"/>
      <c r="E142" s="150"/>
      <c r="F142" s="150"/>
      <c r="G142" s="150"/>
    </row>
    <row r="143" spans="2:7" ht="15.75" customHeight="1" x14ac:dyDescent="0.2">
      <c r="B143" s="150"/>
      <c r="C143" s="150"/>
      <c r="D143" s="150"/>
      <c r="E143" s="150"/>
      <c r="F143" s="150"/>
      <c r="G143" s="150"/>
    </row>
    <row r="144" spans="2:7" ht="15.75" customHeight="1" x14ac:dyDescent="0.2">
      <c r="B144" s="150"/>
      <c r="C144" s="150"/>
      <c r="D144" s="150"/>
      <c r="E144" s="150"/>
      <c r="F144" s="150"/>
      <c r="G144" s="150"/>
    </row>
    <row r="145" spans="2:7" ht="15.75" customHeight="1" x14ac:dyDescent="0.2">
      <c r="B145" s="150"/>
      <c r="C145" s="150"/>
      <c r="D145" s="150"/>
      <c r="E145" s="150"/>
      <c r="F145" s="150"/>
      <c r="G145" s="150"/>
    </row>
    <row r="146" spans="2:7" ht="15.75" customHeight="1" x14ac:dyDescent="0.2">
      <c r="B146" s="150"/>
      <c r="C146" s="150"/>
      <c r="D146" s="150"/>
      <c r="E146" s="150"/>
      <c r="F146" s="150"/>
      <c r="G146" s="150"/>
    </row>
    <row r="147" spans="2:7" ht="15.75" customHeight="1" x14ac:dyDescent="0.2">
      <c r="B147" s="150"/>
      <c r="C147" s="150"/>
      <c r="D147" s="150"/>
      <c r="E147" s="150"/>
      <c r="F147" s="150"/>
      <c r="G147" s="150"/>
    </row>
    <row r="148" spans="2:7" ht="15.75" customHeight="1" x14ac:dyDescent="0.2">
      <c r="B148" s="150"/>
      <c r="C148" s="150"/>
      <c r="D148" s="150"/>
      <c r="E148" s="150"/>
      <c r="F148" s="150"/>
      <c r="G148" s="150"/>
    </row>
    <row r="149" spans="2:7" ht="15.75" customHeight="1" x14ac:dyDescent="0.2">
      <c r="B149" s="150"/>
      <c r="C149" s="150"/>
      <c r="D149" s="150"/>
      <c r="E149" s="150"/>
      <c r="F149" s="150"/>
      <c r="G149" s="150"/>
    </row>
    <row r="150" spans="2:7" ht="15.75" customHeight="1" x14ac:dyDescent="0.2">
      <c r="B150" s="150"/>
      <c r="C150" s="150"/>
      <c r="D150" s="150"/>
      <c r="E150" s="150"/>
      <c r="F150" s="150"/>
      <c r="G150" s="150"/>
    </row>
    <row r="151" spans="2:7" ht="15.75" customHeight="1" x14ac:dyDescent="0.2">
      <c r="B151" s="150"/>
      <c r="C151" s="150"/>
      <c r="D151" s="150"/>
      <c r="E151" s="150"/>
      <c r="F151" s="150"/>
      <c r="G151" s="150"/>
    </row>
    <row r="152" spans="2:7" ht="15.75" customHeight="1" x14ac:dyDescent="0.2">
      <c r="B152" s="150"/>
      <c r="C152" s="150"/>
      <c r="D152" s="150"/>
      <c r="E152" s="150"/>
      <c r="F152" s="150"/>
      <c r="G152" s="150"/>
    </row>
    <row r="153" spans="2:7" ht="15.75" customHeight="1" x14ac:dyDescent="0.2">
      <c r="B153" s="150"/>
      <c r="C153" s="150"/>
      <c r="D153" s="150"/>
      <c r="E153" s="150"/>
      <c r="F153" s="150"/>
      <c r="G153" s="150"/>
    </row>
    <row r="154" spans="2:7" ht="15.75" customHeight="1" x14ac:dyDescent="0.2">
      <c r="B154" s="150"/>
      <c r="C154" s="150"/>
      <c r="D154" s="150"/>
      <c r="E154" s="150"/>
      <c r="F154" s="150"/>
      <c r="G154" s="150"/>
    </row>
    <row r="155" spans="2:7" ht="15.75" customHeight="1" x14ac:dyDescent="0.2">
      <c r="B155" s="150"/>
      <c r="C155" s="150"/>
      <c r="D155" s="150"/>
      <c r="E155" s="150"/>
      <c r="F155" s="150"/>
      <c r="G155" s="150"/>
    </row>
    <row r="156" spans="2:7" ht="15.75" customHeight="1" x14ac:dyDescent="0.2">
      <c r="B156" s="150"/>
      <c r="C156" s="150"/>
      <c r="D156" s="150"/>
      <c r="E156" s="150"/>
      <c r="F156" s="150"/>
      <c r="G156" s="150"/>
    </row>
    <row r="157" spans="2:7" ht="15.75" customHeight="1" x14ac:dyDescent="0.2">
      <c r="B157" s="150"/>
      <c r="C157" s="150"/>
      <c r="D157" s="150"/>
      <c r="E157" s="150"/>
      <c r="F157" s="150"/>
      <c r="G157" s="150"/>
    </row>
    <row r="158" spans="2:7" ht="15.75" customHeight="1" x14ac:dyDescent="0.2">
      <c r="B158" s="150"/>
      <c r="C158" s="150"/>
      <c r="D158" s="150"/>
      <c r="E158" s="150"/>
      <c r="F158" s="150"/>
      <c r="G158" s="150"/>
    </row>
    <row r="159" spans="2:7" ht="15.75" customHeight="1" x14ac:dyDescent="0.2">
      <c r="B159" s="150"/>
      <c r="C159" s="150"/>
      <c r="D159" s="150"/>
      <c r="E159" s="150"/>
      <c r="F159" s="150"/>
      <c r="G159" s="150"/>
    </row>
    <row r="160" spans="2:7" ht="15.75" customHeight="1" x14ac:dyDescent="0.2">
      <c r="B160" s="150"/>
      <c r="C160" s="150"/>
      <c r="D160" s="150"/>
      <c r="E160" s="150"/>
      <c r="F160" s="150"/>
      <c r="G160" s="150"/>
    </row>
    <row r="161" spans="2:7" ht="15.75" customHeight="1" x14ac:dyDescent="0.2">
      <c r="B161" s="150"/>
      <c r="C161" s="150"/>
      <c r="D161" s="150"/>
      <c r="E161" s="150"/>
      <c r="F161" s="150"/>
      <c r="G161" s="150"/>
    </row>
    <row r="162" spans="2:7" ht="15.75" customHeight="1" x14ac:dyDescent="0.2">
      <c r="B162" s="150"/>
      <c r="C162" s="150"/>
      <c r="D162" s="150"/>
      <c r="E162" s="150"/>
      <c r="F162" s="150"/>
      <c r="G162" s="150"/>
    </row>
    <row r="163" spans="2:7" ht="15.75" customHeight="1" x14ac:dyDescent="0.2">
      <c r="B163" s="150"/>
      <c r="C163" s="150"/>
      <c r="D163" s="150"/>
      <c r="E163" s="150"/>
      <c r="F163" s="150"/>
      <c r="G163" s="150"/>
    </row>
    <row r="164" spans="2:7" ht="15.75" customHeight="1" x14ac:dyDescent="0.2">
      <c r="B164" s="150"/>
      <c r="C164" s="150"/>
      <c r="D164" s="150"/>
      <c r="E164" s="150"/>
      <c r="F164" s="150"/>
      <c r="G164" s="150"/>
    </row>
    <row r="165" spans="2:7" ht="15.75" customHeight="1" x14ac:dyDescent="0.2">
      <c r="B165" s="150"/>
      <c r="C165" s="150"/>
      <c r="D165" s="150"/>
      <c r="E165" s="150"/>
      <c r="F165" s="150"/>
      <c r="G165" s="150"/>
    </row>
    <row r="166" spans="2:7" ht="15.75" customHeight="1" x14ac:dyDescent="0.2">
      <c r="B166" s="150"/>
      <c r="C166" s="150"/>
      <c r="D166" s="150"/>
      <c r="E166" s="150"/>
      <c r="F166" s="150"/>
      <c r="G166" s="150"/>
    </row>
    <row r="167" spans="2:7" ht="15.75" customHeight="1" x14ac:dyDescent="0.2">
      <c r="B167" s="150"/>
      <c r="C167" s="150"/>
      <c r="D167" s="150"/>
      <c r="E167" s="150"/>
      <c r="F167" s="150"/>
      <c r="G167" s="150"/>
    </row>
    <row r="168" spans="2:7" ht="15.75" customHeight="1" x14ac:dyDescent="0.2">
      <c r="B168" s="150"/>
      <c r="C168" s="150"/>
      <c r="D168" s="150"/>
      <c r="E168" s="150"/>
      <c r="F168" s="150"/>
      <c r="G168" s="150"/>
    </row>
    <row r="169" spans="2:7" ht="15.75" customHeight="1" x14ac:dyDescent="0.2">
      <c r="B169" s="150"/>
      <c r="C169" s="150"/>
      <c r="D169" s="150"/>
      <c r="E169" s="150"/>
      <c r="F169" s="150"/>
      <c r="G169" s="150"/>
    </row>
    <row r="170" spans="2:7" ht="15.75" customHeight="1" x14ac:dyDescent="0.2">
      <c r="B170" s="150"/>
      <c r="C170" s="150"/>
      <c r="D170" s="150"/>
      <c r="E170" s="150"/>
      <c r="F170" s="150"/>
      <c r="G170" s="150"/>
    </row>
    <row r="171" spans="2:7" ht="15.75" customHeight="1" x14ac:dyDescent="0.2">
      <c r="B171" s="150"/>
      <c r="C171" s="150"/>
      <c r="D171" s="150"/>
      <c r="E171" s="150"/>
      <c r="F171" s="150"/>
      <c r="G171" s="150"/>
    </row>
    <row r="172" spans="2:7" ht="15.75" customHeight="1" x14ac:dyDescent="0.2">
      <c r="B172" s="150"/>
      <c r="C172" s="150"/>
      <c r="D172" s="150"/>
      <c r="E172" s="150"/>
      <c r="F172" s="150"/>
      <c r="G172" s="150"/>
    </row>
    <row r="173" spans="2:7" ht="15.75" customHeight="1" x14ac:dyDescent="0.2">
      <c r="B173" s="150"/>
      <c r="C173" s="150"/>
      <c r="D173" s="150"/>
      <c r="E173" s="150"/>
      <c r="F173" s="150"/>
      <c r="G173" s="150"/>
    </row>
    <row r="174" spans="2:7" ht="15.75" customHeight="1" x14ac:dyDescent="0.2">
      <c r="B174" s="150"/>
      <c r="C174" s="150"/>
      <c r="D174" s="150"/>
      <c r="E174" s="150"/>
      <c r="F174" s="150"/>
      <c r="G174" s="150"/>
    </row>
    <row r="175" spans="2:7" ht="15.75" customHeight="1" x14ac:dyDescent="0.2">
      <c r="B175" s="150"/>
      <c r="C175" s="150"/>
      <c r="D175" s="150"/>
      <c r="E175" s="150"/>
      <c r="F175" s="150"/>
      <c r="G175" s="150"/>
    </row>
    <row r="176" spans="2:7" ht="15.75" customHeight="1" x14ac:dyDescent="0.2">
      <c r="B176" s="150"/>
      <c r="C176" s="150"/>
      <c r="D176" s="150"/>
      <c r="E176" s="150"/>
      <c r="F176" s="150"/>
      <c r="G176" s="150"/>
    </row>
    <row r="177" spans="2:7" ht="15.75" customHeight="1" x14ac:dyDescent="0.2">
      <c r="B177" s="150"/>
      <c r="C177" s="150"/>
      <c r="D177" s="150"/>
      <c r="E177" s="150"/>
      <c r="F177" s="150"/>
      <c r="G177" s="150"/>
    </row>
    <row r="178" spans="2:7" ht="15.75" customHeight="1" x14ac:dyDescent="0.2">
      <c r="B178" s="150"/>
      <c r="C178" s="150"/>
      <c r="D178" s="150"/>
      <c r="E178" s="150"/>
      <c r="F178" s="150"/>
      <c r="G178" s="150"/>
    </row>
    <row r="179" spans="2:7" ht="15.75" customHeight="1" x14ac:dyDescent="0.2">
      <c r="B179" s="150"/>
      <c r="C179" s="150"/>
      <c r="D179" s="150"/>
      <c r="E179" s="150"/>
      <c r="F179" s="150"/>
      <c r="G179" s="150"/>
    </row>
    <row r="180" spans="2:7" ht="15.75" customHeight="1" x14ac:dyDescent="0.2">
      <c r="B180" s="150"/>
      <c r="C180" s="150"/>
      <c r="D180" s="150"/>
      <c r="E180" s="150"/>
      <c r="F180" s="150"/>
      <c r="G180" s="150"/>
    </row>
    <row r="181" spans="2:7" ht="15.75" customHeight="1" x14ac:dyDescent="0.2">
      <c r="B181" s="150"/>
      <c r="C181" s="150"/>
      <c r="D181" s="150"/>
      <c r="E181" s="150"/>
      <c r="F181" s="150"/>
      <c r="G181" s="150"/>
    </row>
    <row r="182" spans="2:7" ht="15.75" customHeight="1" x14ac:dyDescent="0.2">
      <c r="B182" s="150"/>
      <c r="C182" s="150"/>
      <c r="D182" s="150"/>
      <c r="E182" s="150"/>
      <c r="F182" s="150"/>
      <c r="G182" s="150"/>
    </row>
    <row r="183" spans="2:7" ht="15.75" customHeight="1" x14ac:dyDescent="0.2">
      <c r="B183" s="150"/>
      <c r="C183" s="150"/>
      <c r="D183" s="150"/>
      <c r="E183" s="150"/>
      <c r="F183" s="150"/>
      <c r="G183" s="150"/>
    </row>
    <row r="184" spans="2:7" ht="15.75" customHeight="1" x14ac:dyDescent="0.2">
      <c r="B184" s="150"/>
      <c r="C184" s="150"/>
      <c r="D184" s="150"/>
      <c r="E184" s="150"/>
      <c r="F184" s="150"/>
      <c r="G184" s="150"/>
    </row>
    <row r="185" spans="2:7" ht="15.75" customHeight="1" x14ac:dyDescent="0.2">
      <c r="B185" s="150"/>
      <c r="C185" s="150"/>
      <c r="D185" s="150"/>
      <c r="E185" s="150"/>
      <c r="F185" s="150"/>
      <c r="G185" s="150"/>
    </row>
    <row r="186" spans="2:7" ht="15.75" customHeight="1" x14ac:dyDescent="0.2">
      <c r="B186" s="150"/>
      <c r="C186" s="150"/>
      <c r="D186" s="150"/>
      <c r="E186" s="150"/>
      <c r="F186" s="150"/>
      <c r="G186" s="150"/>
    </row>
    <row r="187" spans="2:7" ht="15.75" customHeight="1" x14ac:dyDescent="0.2">
      <c r="B187" s="150"/>
      <c r="C187" s="150"/>
      <c r="D187" s="150"/>
      <c r="E187" s="150"/>
      <c r="F187" s="150"/>
      <c r="G187" s="150"/>
    </row>
    <row r="188" spans="2:7" ht="15.75" customHeight="1" x14ac:dyDescent="0.2">
      <c r="B188" s="150"/>
      <c r="C188" s="150"/>
      <c r="D188" s="150"/>
      <c r="E188" s="150"/>
      <c r="F188" s="150"/>
      <c r="G188" s="150"/>
    </row>
    <row r="189" spans="2:7" ht="15.75" customHeight="1" x14ac:dyDescent="0.2">
      <c r="B189" s="150"/>
      <c r="C189" s="150"/>
      <c r="D189" s="150"/>
      <c r="E189" s="150"/>
      <c r="F189" s="150"/>
      <c r="G189" s="150"/>
    </row>
    <row r="190" spans="2:7" ht="15.75" customHeight="1" x14ac:dyDescent="0.2">
      <c r="B190" s="150"/>
      <c r="C190" s="150"/>
      <c r="D190" s="150"/>
      <c r="E190" s="150"/>
      <c r="F190" s="150"/>
      <c r="G190" s="150"/>
    </row>
    <row r="191" spans="2:7" ht="15.75" customHeight="1" x14ac:dyDescent="0.2">
      <c r="B191" s="150"/>
      <c r="C191" s="150"/>
      <c r="D191" s="150"/>
      <c r="E191" s="150"/>
      <c r="F191" s="150"/>
      <c r="G191" s="150"/>
    </row>
    <row r="192" spans="2:7" ht="15.75" customHeight="1" x14ac:dyDescent="0.2">
      <c r="B192" s="150"/>
      <c r="C192" s="150"/>
      <c r="D192" s="150"/>
      <c r="E192" s="150"/>
      <c r="F192" s="150"/>
      <c r="G192" s="150"/>
    </row>
    <row r="193" spans="2:7" ht="15.75" customHeight="1" x14ac:dyDescent="0.2">
      <c r="B193" s="150"/>
      <c r="C193" s="150"/>
      <c r="D193" s="150"/>
      <c r="E193" s="150"/>
      <c r="F193" s="150"/>
      <c r="G193" s="150"/>
    </row>
    <row r="194" spans="2:7" ht="15.75" customHeight="1" x14ac:dyDescent="0.2">
      <c r="B194" s="150"/>
      <c r="C194" s="150"/>
      <c r="D194" s="150"/>
      <c r="E194" s="150"/>
      <c r="F194" s="150"/>
      <c r="G194" s="150"/>
    </row>
    <row r="195" spans="2:7" ht="15.75" customHeight="1" x14ac:dyDescent="0.2">
      <c r="B195" s="150"/>
      <c r="C195" s="150"/>
      <c r="D195" s="150"/>
      <c r="E195" s="150"/>
      <c r="F195" s="150"/>
      <c r="G195" s="150"/>
    </row>
    <row r="196" spans="2:7" ht="15.75" customHeight="1" x14ac:dyDescent="0.2">
      <c r="B196" s="150"/>
      <c r="C196" s="150"/>
      <c r="D196" s="150"/>
      <c r="E196" s="150"/>
      <c r="F196" s="150"/>
      <c r="G196" s="150"/>
    </row>
    <row r="197" spans="2:7" ht="15.75" customHeight="1" x14ac:dyDescent="0.2">
      <c r="B197" s="150"/>
      <c r="C197" s="150"/>
      <c r="D197" s="150"/>
      <c r="E197" s="150"/>
      <c r="F197" s="150"/>
      <c r="G197" s="150"/>
    </row>
    <row r="198" spans="2:7" ht="15.75" customHeight="1" x14ac:dyDescent="0.2">
      <c r="B198" s="150"/>
      <c r="C198" s="150"/>
      <c r="D198" s="150"/>
      <c r="E198" s="150"/>
      <c r="F198" s="150"/>
      <c r="G198" s="150"/>
    </row>
    <row r="199" spans="2:7" ht="15.75" customHeight="1" x14ac:dyDescent="0.2">
      <c r="B199" s="150"/>
      <c r="C199" s="150"/>
      <c r="D199" s="150"/>
      <c r="E199" s="150"/>
      <c r="F199" s="150"/>
      <c r="G199" s="150"/>
    </row>
    <row r="200" spans="2:7" ht="15.75" customHeight="1" x14ac:dyDescent="0.2">
      <c r="B200" s="150"/>
      <c r="C200" s="150"/>
      <c r="D200" s="150"/>
      <c r="E200" s="150"/>
      <c r="F200" s="150"/>
      <c r="G200" s="150"/>
    </row>
    <row r="201" spans="2:7" ht="15.75" customHeight="1" x14ac:dyDescent="0.2">
      <c r="B201" s="150"/>
      <c r="C201" s="150"/>
      <c r="D201" s="150"/>
      <c r="E201" s="150"/>
      <c r="F201" s="150"/>
      <c r="G201" s="150"/>
    </row>
    <row r="202" spans="2:7" ht="15.75" customHeight="1" x14ac:dyDescent="0.2">
      <c r="B202" s="150"/>
      <c r="C202" s="150"/>
      <c r="D202" s="150"/>
      <c r="E202" s="150"/>
      <c r="F202" s="150"/>
      <c r="G202" s="150"/>
    </row>
    <row r="203" spans="2:7" ht="15.75" customHeight="1" x14ac:dyDescent="0.2">
      <c r="B203" s="150"/>
      <c r="C203" s="150"/>
      <c r="D203" s="150"/>
      <c r="E203" s="150"/>
      <c r="F203" s="150"/>
      <c r="G203" s="150"/>
    </row>
    <row r="204" spans="2:7" ht="15.75" customHeight="1" x14ac:dyDescent="0.2">
      <c r="B204" s="150"/>
      <c r="C204" s="150"/>
      <c r="D204" s="150"/>
      <c r="E204" s="150"/>
      <c r="F204" s="150"/>
      <c r="G204" s="150"/>
    </row>
    <row r="205" spans="2:7" ht="15.75" customHeight="1" x14ac:dyDescent="0.2">
      <c r="B205" s="150"/>
      <c r="C205" s="150"/>
      <c r="D205" s="150"/>
      <c r="E205" s="150"/>
      <c r="F205" s="150"/>
      <c r="G205" s="150"/>
    </row>
    <row r="206" spans="2:7" ht="15.75" customHeight="1" x14ac:dyDescent="0.2">
      <c r="B206" s="150"/>
      <c r="C206" s="150"/>
      <c r="D206" s="150"/>
      <c r="E206" s="150"/>
      <c r="F206" s="150"/>
      <c r="G206" s="150"/>
    </row>
    <row r="207" spans="2:7" ht="15.75" customHeight="1" x14ac:dyDescent="0.2">
      <c r="B207" s="150"/>
      <c r="C207" s="150"/>
      <c r="D207" s="150"/>
      <c r="E207" s="150"/>
      <c r="F207" s="150"/>
      <c r="G207" s="150"/>
    </row>
    <row r="208" spans="2:7" ht="15.75" customHeight="1" x14ac:dyDescent="0.2">
      <c r="B208" s="150"/>
      <c r="C208" s="150"/>
      <c r="D208" s="150"/>
      <c r="E208" s="150"/>
      <c r="F208" s="150"/>
      <c r="G208" s="150"/>
    </row>
    <row r="209" spans="2:7" ht="15.75" customHeight="1" x14ac:dyDescent="0.2">
      <c r="B209" s="150"/>
      <c r="C209" s="150"/>
      <c r="D209" s="150"/>
      <c r="E209" s="150"/>
      <c r="F209" s="150"/>
      <c r="G209" s="150"/>
    </row>
    <row r="210" spans="2:7" ht="15.75" customHeight="1" x14ac:dyDescent="0.2">
      <c r="B210" s="150"/>
      <c r="C210" s="150"/>
      <c r="D210" s="150"/>
      <c r="E210" s="150"/>
      <c r="F210" s="150"/>
      <c r="G210" s="150"/>
    </row>
    <row r="211" spans="2:7" ht="15.75" customHeight="1" x14ac:dyDescent="0.2">
      <c r="B211" s="150"/>
      <c r="C211" s="150"/>
      <c r="D211" s="150"/>
      <c r="E211" s="150"/>
      <c r="F211" s="150"/>
      <c r="G211" s="150"/>
    </row>
    <row r="212" spans="2:7" ht="15.75" customHeight="1" x14ac:dyDescent="0.2">
      <c r="B212" s="150"/>
      <c r="C212" s="150"/>
      <c r="D212" s="150"/>
      <c r="E212" s="150"/>
      <c r="F212" s="150"/>
      <c r="G212" s="150"/>
    </row>
    <row r="213" spans="2:7" ht="15.75" customHeight="1" x14ac:dyDescent="0.2">
      <c r="B213" s="150"/>
      <c r="C213" s="150"/>
      <c r="D213" s="150"/>
      <c r="E213" s="150"/>
      <c r="F213" s="150"/>
      <c r="G213" s="150"/>
    </row>
    <row r="214" spans="2:7" ht="15.75" customHeight="1" x14ac:dyDescent="0.2">
      <c r="B214" s="150"/>
      <c r="C214" s="150"/>
      <c r="D214" s="150"/>
      <c r="E214" s="150"/>
      <c r="F214" s="150"/>
      <c r="G214" s="150"/>
    </row>
    <row r="215" spans="2:7" ht="15.75" customHeight="1" x14ac:dyDescent="0.2">
      <c r="B215" s="150"/>
      <c r="C215" s="150"/>
      <c r="D215" s="150"/>
      <c r="E215" s="150"/>
      <c r="F215" s="150"/>
      <c r="G215" s="150"/>
    </row>
    <row r="216" spans="2:7" ht="15.75" customHeight="1" x14ac:dyDescent="0.2">
      <c r="B216" s="150"/>
      <c r="C216" s="150"/>
      <c r="D216" s="150"/>
      <c r="E216" s="150"/>
      <c r="F216" s="150"/>
      <c r="G216" s="150"/>
    </row>
    <row r="217" spans="2:7" ht="15.75" customHeight="1" x14ac:dyDescent="0.2">
      <c r="B217" s="150"/>
      <c r="C217" s="150"/>
      <c r="D217" s="150"/>
      <c r="E217" s="150"/>
      <c r="F217" s="150"/>
      <c r="G217" s="150"/>
    </row>
    <row r="218" spans="2:7" ht="15.75" customHeight="1" x14ac:dyDescent="0.2">
      <c r="B218" s="150"/>
      <c r="C218" s="150"/>
      <c r="D218" s="150"/>
      <c r="E218" s="150"/>
      <c r="F218" s="150"/>
      <c r="G218" s="150"/>
    </row>
    <row r="219" spans="2:7" ht="15.75" customHeight="1" x14ac:dyDescent="0.2">
      <c r="B219" s="150"/>
      <c r="C219" s="150"/>
      <c r="D219" s="150"/>
      <c r="E219" s="150"/>
      <c r="F219" s="150"/>
      <c r="G219" s="150"/>
    </row>
    <row r="220" spans="2:7" ht="15.75" customHeight="1" x14ac:dyDescent="0.2">
      <c r="B220" s="150"/>
      <c r="C220" s="150"/>
      <c r="D220" s="150"/>
      <c r="E220" s="150"/>
      <c r="F220" s="150"/>
      <c r="G220" s="150"/>
    </row>
    <row r="221" spans="2:7" ht="15.75" customHeight="1" x14ac:dyDescent="0.2">
      <c r="B221" s="150"/>
      <c r="C221" s="150"/>
      <c r="D221" s="150"/>
      <c r="E221" s="150"/>
      <c r="F221" s="150"/>
      <c r="G221" s="150"/>
    </row>
    <row r="222" spans="2:7" ht="15.75" customHeight="1" x14ac:dyDescent="0.2">
      <c r="B222" s="150"/>
      <c r="C222" s="150"/>
      <c r="D222" s="150"/>
      <c r="E222" s="150"/>
      <c r="F222" s="150"/>
      <c r="G222" s="150"/>
    </row>
    <row r="223" spans="2:7" ht="15.75" customHeight="1" x14ac:dyDescent="0.2">
      <c r="B223" s="150"/>
      <c r="C223" s="150"/>
      <c r="D223" s="150"/>
      <c r="E223" s="150"/>
      <c r="F223" s="150"/>
      <c r="G223" s="150"/>
    </row>
    <row r="224" spans="2:7" ht="15.75" customHeight="1" x14ac:dyDescent="0.2">
      <c r="B224" s="150"/>
      <c r="C224" s="150"/>
      <c r="D224" s="150"/>
      <c r="E224" s="150"/>
      <c r="F224" s="150"/>
      <c r="G224" s="150"/>
    </row>
    <row r="225" spans="2:7" ht="15.75" customHeight="1" x14ac:dyDescent="0.2">
      <c r="B225" s="150"/>
      <c r="C225" s="150"/>
      <c r="D225" s="150"/>
      <c r="E225" s="150"/>
      <c r="F225" s="150"/>
      <c r="G225" s="150"/>
    </row>
    <row r="226" spans="2:7" ht="15.75" customHeight="1" x14ac:dyDescent="0.2">
      <c r="B226" s="150"/>
      <c r="C226" s="150"/>
      <c r="D226" s="150"/>
      <c r="E226" s="150"/>
      <c r="F226" s="150"/>
      <c r="G226" s="150"/>
    </row>
    <row r="227" spans="2:7" ht="15.75" customHeight="1" x14ac:dyDescent="0.2">
      <c r="B227" s="150"/>
      <c r="C227" s="150"/>
      <c r="D227" s="150"/>
      <c r="E227" s="150"/>
      <c r="F227" s="150"/>
      <c r="G227" s="150"/>
    </row>
    <row r="228" spans="2:7" ht="15.75" customHeight="1" x14ac:dyDescent="0.2">
      <c r="B228" s="150"/>
      <c r="C228" s="150"/>
      <c r="D228" s="150"/>
      <c r="E228" s="150"/>
      <c r="F228" s="150"/>
      <c r="G228" s="150"/>
    </row>
    <row r="229" spans="2:7" ht="15.75" customHeight="1" x14ac:dyDescent="0.2">
      <c r="B229" s="150"/>
      <c r="C229" s="150"/>
      <c r="D229" s="150"/>
      <c r="E229" s="150"/>
      <c r="F229" s="150"/>
      <c r="G229" s="150"/>
    </row>
    <row r="230" spans="2:7" ht="15.75" customHeight="1" x14ac:dyDescent="0.2">
      <c r="B230" s="150"/>
      <c r="C230" s="150"/>
      <c r="D230" s="150"/>
      <c r="E230" s="150"/>
      <c r="F230" s="150"/>
      <c r="G230" s="150"/>
    </row>
    <row r="231" spans="2:7" ht="15.75" customHeight="1" x14ac:dyDescent="0.2">
      <c r="B231" s="150"/>
      <c r="C231" s="150"/>
      <c r="D231" s="150"/>
      <c r="E231" s="150"/>
      <c r="F231" s="150"/>
      <c r="G231" s="150"/>
    </row>
    <row r="232" spans="2:7" ht="15.75" customHeight="1" x14ac:dyDescent="0.2">
      <c r="B232" s="150"/>
      <c r="C232" s="150"/>
      <c r="D232" s="150"/>
      <c r="E232" s="150"/>
      <c r="F232" s="150"/>
      <c r="G232" s="150"/>
    </row>
    <row r="233" spans="2:7" ht="15.75" customHeight="1" x14ac:dyDescent="0.2">
      <c r="B233" s="150"/>
      <c r="C233" s="150"/>
      <c r="D233" s="150"/>
      <c r="E233" s="150"/>
      <c r="F233" s="150"/>
      <c r="G233" s="150"/>
    </row>
    <row r="234" spans="2:7" ht="15.75" customHeight="1" x14ac:dyDescent="0.2">
      <c r="B234" s="150"/>
      <c r="C234" s="150"/>
      <c r="D234" s="150"/>
      <c r="E234" s="150"/>
      <c r="F234" s="150"/>
      <c r="G234" s="150"/>
    </row>
    <row r="235" spans="2:7" ht="15.75" customHeight="1" x14ac:dyDescent="0.2">
      <c r="B235" s="150"/>
      <c r="C235" s="150"/>
      <c r="D235" s="150"/>
      <c r="E235" s="150"/>
      <c r="F235" s="150"/>
      <c r="G235" s="150"/>
    </row>
    <row r="236" spans="2:7" ht="15.75" customHeight="1" x14ac:dyDescent="0.2">
      <c r="B236" s="150"/>
      <c r="C236" s="150"/>
      <c r="D236" s="150"/>
      <c r="E236" s="150"/>
      <c r="F236" s="150"/>
      <c r="G236" s="150"/>
    </row>
    <row r="237" spans="2:7" ht="15.75" customHeight="1" x14ac:dyDescent="0.2">
      <c r="B237" s="150"/>
      <c r="C237" s="150"/>
      <c r="D237" s="150"/>
      <c r="E237" s="150"/>
      <c r="F237" s="150"/>
      <c r="G237" s="150"/>
    </row>
    <row r="238" spans="2:7" ht="15.75" customHeight="1" x14ac:dyDescent="0.2">
      <c r="B238" s="150"/>
      <c r="C238" s="150"/>
      <c r="D238" s="150"/>
      <c r="E238" s="150"/>
      <c r="F238" s="150"/>
      <c r="G238" s="150"/>
    </row>
    <row r="239" spans="2:7" ht="15.75" customHeight="1" x14ac:dyDescent="0.2">
      <c r="B239" s="150"/>
      <c r="C239" s="150"/>
      <c r="D239" s="150"/>
      <c r="E239" s="150"/>
      <c r="F239" s="150"/>
      <c r="G239" s="150"/>
    </row>
    <row r="240" spans="2:7" ht="15.75" customHeight="1" x14ac:dyDescent="0.2">
      <c r="B240" s="150"/>
      <c r="C240" s="150"/>
      <c r="D240" s="150"/>
      <c r="E240" s="150"/>
      <c r="F240" s="150"/>
      <c r="G240" s="150"/>
    </row>
    <row r="241" spans="2:7" ht="15.75" customHeight="1" x14ac:dyDescent="0.2">
      <c r="B241" s="150"/>
      <c r="C241" s="150"/>
      <c r="D241" s="150"/>
      <c r="E241" s="150"/>
      <c r="F241" s="150"/>
      <c r="G241" s="150"/>
    </row>
    <row r="242" spans="2:7" ht="15.75" customHeight="1" x14ac:dyDescent="0.2">
      <c r="B242" s="150"/>
      <c r="C242" s="150"/>
      <c r="D242" s="150"/>
      <c r="E242" s="150"/>
      <c r="F242" s="150"/>
      <c r="G242" s="150"/>
    </row>
    <row r="243" spans="2:7" ht="15.75" customHeight="1" x14ac:dyDescent="0.2">
      <c r="B243" s="150"/>
      <c r="C243" s="150"/>
      <c r="D243" s="150"/>
      <c r="E243" s="150"/>
      <c r="F243" s="150"/>
      <c r="G243" s="150"/>
    </row>
    <row r="244" spans="2:7" ht="15.75" customHeight="1" x14ac:dyDescent="0.2">
      <c r="B244" s="150"/>
      <c r="C244" s="150"/>
      <c r="D244" s="150"/>
      <c r="E244" s="150"/>
      <c r="F244" s="150"/>
      <c r="G244" s="150"/>
    </row>
    <row r="245" spans="2:7" ht="15.75" customHeight="1" x14ac:dyDescent="0.2">
      <c r="B245" s="150"/>
      <c r="C245" s="150"/>
      <c r="D245" s="150"/>
      <c r="E245" s="150"/>
      <c r="F245" s="150"/>
      <c r="G245" s="150"/>
    </row>
    <row r="246" spans="2:7" ht="15.75" customHeight="1" x14ac:dyDescent="0.2">
      <c r="B246" s="150"/>
      <c r="C246" s="150"/>
      <c r="D246" s="150"/>
      <c r="E246" s="150"/>
      <c r="F246" s="150"/>
      <c r="G246" s="150"/>
    </row>
    <row r="247" spans="2:7" ht="15.75" customHeight="1" x14ac:dyDescent="0.2">
      <c r="B247" s="150"/>
      <c r="C247" s="150"/>
      <c r="D247" s="150"/>
      <c r="E247" s="150"/>
      <c r="F247" s="150"/>
      <c r="G247" s="150"/>
    </row>
    <row r="248" spans="2:7" ht="15.75" customHeight="1" x14ac:dyDescent="0.2">
      <c r="B248" s="150"/>
      <c r="C248" s="150"/>
      <c r="D248" s="150"/>
      <c r="E248" s="150"/>
      <c r="F248" s="150"/>
      <c r="G248" s="150"/>
    </row>
    <row r="249" spans="2:7" ht="15.75" customHeight="1" x14ac:dyDescent="0.2">
      <c r="B249" s="150"/>
      <c r="C249" s="150"/>
      <c r="D249" s="150"/>
      <c r="E249" s="150"/>
      <c r="F249" s="150"/>
      <c r="G249" s="150"/>
    </row>
    <row r="250" spans="2:7" ht="15.75" customHeight="1" x14ac:dyDescent="0.2">
      <c r="B250" s="150"/>
      <c r="C250" s="150"/>
      <c r="D250" s="150"/>
      <c r="E250" s="150"/>
      <c r="F250" s="150"/>
      <c r="G250" s="150"/>
    </row>
    <row r="251" spans="2:7" ht="15.75" customHeight="1" x14ac:dyDescent="0.2">
      <c r="B251" s="150"/>
      <c r="C251" s="150"/>
      <c r="D251" s="150"/>
      <c r="E251" s="150"/>
      <c r="F251" s="150"/>
      <c r="G251" s="150"/>
    </row>
    <row r="252" spans="2:7" ht="15.75" customHeight="1" x14ac:dyDescent="0.2">
      <c r="B252" s="150"/>
      <c r="C252" s="150"/>
      <c r="D252" s="150"/>
      <c r="E252" s="150"/>
      <c r="F252" s="150"/>
      <c r="G252" s="150"/>
    </row>
    <row r="253" spans="2:7" ht="15.75" customHeight="1" x14ac:dyDescent="0.2">
      <c r="B253" s="150"/>
      <c r="C253" s="150"/>
      <c r="D253" s="150"/>
      <c r="E253" s="150"/>
      <c r="F253" s="150"/>
      <c r="G253" s="150"/>
    </row>
    <row r="254" spans="2:7" ht="15.75" customHeight="1" x14ac:dyDescent="0.2">
      <c r="B254" s="150"/>
      <c r="C254" s="150"/>
      <c r="D254" s="150"/>
      <c r="E254" s="150"/>
      <c r="F254" s="150"/>
      <c r="G254" s="150"/>
    </row>
    <row r="255" spans="2:7" ht="15.75" customHeight="1" x14ac:dyDescent="0.2">
      <c r="B255" s="150"/>
      <c r="C255" s="150"/>
      <c r="D255" s="150"/>
      <c r="E255" s="150"/>
      <c r="F255" s="150"/>
      <c r="G255" s="150"/>
    </row>
    <row r="256" spans="2:7" ht="15.75" customHeight="1" x14ac:dyDescent="0.2">
      <c r="B256" s="150"/>
      <c r="C256" s="150"/>
      <c r="D256" s="150"/>
      <c r="E256" s="150"/>
      <c r="F256" s="150"/>
      <c r="G256" s="150"/>
    </row>
    <row r="257" spans="2:7" ht="15.75" customHeight="1" x14ac:dyDescent="0.2">
      <c r="B257" s="150"/>
      <c r="C257" s="150"/>
      <c r="D257" s="150"/>
      <c r="E257" s="150"/>
      <c r="F257" s="150"/>
      <c r="G257" s="150"/>
    </row>
    <row r="258" spans="2:7" ht="15.75" customHeight="1" x14ac:dyDescent="0.2">
      <c r="B258" s="150"/>
      <c r="C258" s="150"/>
      <c r="D258" s="150"/>
      <c r="E258" s="150"/>
      <c r="F258" s="150"/>
      <c r="G258" s="150"/>
    </row>
    <row r="259" spans="2:7" ht="15.75" customHeight="1" x14ac:dyDescent="0.2">
      <c r="B259" s="150"/>
      <c r="C259" s="150"/>
      <c r="D259" s="150"/>
      <c r="E259" s="150"/>
      <c r="F259" s="150"/>
      <c r="G259" s="150"/>
    </row>
    <row r="260" spans="2:7" ht="15.75" customHeight="1" x14ac:dyDescent="0.2">
      <c r="B260" s="150"/>
      <c r="C260" s="150"/>
      <c r="D260" s="150"/>
      <c r="E260" s="150"/>
      <c r="F260" s="150"/>
      <c r="G260" s="150"/>
    </row>
    <row r="261" spans="2:7" ht="15.75" customHeight="1" x14ac:dyDescent="0.2">
      <c r="B261" s="150"/>
      <c r="C261" s="150"/>
      <c r="D261" s="150"/>
      <c r="E261" s="150"/>
      <c r="F261" s="150"/>
      <c r="G261" s="150"/>
    </row>
    <row r="262" spans="2:7" ht="15.75" customHeight="1" x14ac:dyDescent="0.2">
      <c r="B262" s="150"/>
      <c r="C262" s="150"/>
      <c r="D262" s="150"/>
      <c r="E262" s="150"/>
      <c r="F262" s="150"/>
      <c r="G262" s="150"/>
    </row>
    <row r="263" spans="2:7" ht="15.75" customHeight="1" x14ac:dyDescent="0.2">
      <c r="B263" s="150"/>
      <c r="C263" s="150"/>
      <c r="D263" s="150"/>
      <c r="E263" s="150"/>
      <c r="F263" s="150"/>
      <c r="G263" s="150"/>
    </row>
    <row r="264" spans="2:7" ht="15.75" customHeight="1" x14ac:dyDescent="0.2">
      <c r="B264" s="150"/>
      <c r="C264" s="150"/>
      <c r="D264" s="150"/>
      <c r="E264" s="150"/>
      <c r="F264" s="150"/>
      <c r="G264" s="150"/>
    </row>
    <row r="265" spans="2:7" ht="15.75" customHeight="1" x14ac:dyDescent="0.2">
      <c r="B265" s="150"/>
      <c r="C265" s="150"/>
      <c r="D265" s="150"/>
      <c r="E265" s="150"/>
      <c r="F265" s="150"/>
      <c r="G265" s="150"/>
    </row>
    <row r="266" spans="2:7" ht="15.75" customHeight="1" x14ac:dyDescent="0.2">
      <c r="B266" s="150"/>
      <c r="C266" s="150"/>
      <c r="D266" s="150"/>
      <c r="E266" s="150"/>
      <c r="F266" s="150"/>
      <c r="G266" s="150"/>
    </row>
    <row r="267" spans="2:7" ht="15.75" customHeight="1" x14ac:dyDescent="0.2">
      <c r="B267" s="150"/>
      <c r="C267" s="150"/>
      <c r="D267" s="150"/>
      <c r="E267" s="150"/>
      <c r="F267" s="150"/>
      <c r="G267" s="150"/>
    </row>
    <row r="268" spans="2:7" ht="15.75" customHeight="1" x14ac:dyDescent="0.2">
      <c r="B268" s="150"/>
      <c r="C268" s="150"/>
      <c r="D268" s="150"/>
      <c r="E268" s="150"/>
      <c r="F268" s="150"/>
      <c r="G268" s="150"/>
    </row>
    <row r="269" spans="2:7" ht="15.75" customHeight="1" x14ac:dyDescent="0.2">
      <c r="B269" s="150"/>
      <c r="C269" s="150"/>
      <c r="D269" s="150"/>
      <c r="E269" s="150"/>
      <c r="F269" s="150"/>
      <c r="G269" s="150"/>
    </row>
    <row r="270" spans="2:7" ht="15.75" customHeight="1" x14ac:dyDescent="0.2">
      <c r="B270" s="150"/>
      <c r="C270" s="150"/>
      <c r="D270" s="150"/>
      <c r="E270" s="150"/>
      <c r="F270" s="150"/>
      <c r="G270" s="150"/>
    </row>
    <row r="271" spans="2:7" ht="15.75" customHeight="1" x14ac:dyDescent="0.2">
      <c r="B271" s="150"/>
      <c r="C271" s="150"/>
      <c r="D271" s="150"/>
      <c r="E271" s="150"/>
      <c r="F271" s="150"/>
      <c r="G271" s="150"/>
    </row>
    <row r="272" spans="2:7" ht="15.75" customHeight="1" x14ac:dyDescent="0.2">
      <c r="B272" s="150"/>
      <c r="C272" s="150"/>
      <c r="D272" s="150"/>
      <c r="E272" s="150"/>
      <c r="F272" s="150"/>
      <c r="G272" s="150"/>
    </row>
    <row r="273" spans="2:7" ht="15.75" customHeight="1" x14ac:dyDescent="0.2">
      <c r="B273" s="150"/>
      <c r="C273" s="150"/>
      <c r="D273" s="150"/>
      <c r="E273" s="150"/>
      <c r="F273" s="150"/>
      <c r="G273" s="150"/>
    </row>
    <row r="274" spans="2:7" ht="15.75" customHeight="1" x14ac:dyDescent="0.2">
      <c r="B274" s="150"/>
      <c r="C274" s="150"/>
      <c r="D274" s="150"/>
      <c r="E274" s="150"/>
      <c r="F274" s="150"/>
      <c r="G274" s="150"/>
    </row>
    <row r="275" spans="2:7" ht="15.75" customHeight="1" x14ac:dyDescent="0.2">
      <c r="B275" s="150"/>
      <c r="C275" s="150"/>
      <c r="D275" s="150"/>
      <c r="E275" s="150"/>
      <c r="F275" s="150"/>
      <c r="G275" s="150"/>
    </row>
    <row r="276" spans="2:7" ht="15.75" customHeight="1" x14ac:dyDescent="0.2">
      <c r="B276" s="150"/>
      <c r="C276" s="150"/>
      <c r="D276" s="150"/>
      <c r="E276" s="150"/>
      <c r="F276" s="150"/>
      <c r="G276" s="150"/>
    </row>
    <row r="277" spans="2:7" ht="15.75" customHeight="1" x14ac:dyDescent="0.2">
      <c r="B277" s="150"/>
      <c r="C277" s="150"/>
      <c r="D277" s="150"/>
      <c r="E277" s="150"/>
      <c r="F277" s="150"/>
      <c r="G277" s="150"/>
    </row>
    <row r="278" spans="2:7" ht="15.75" customHeight="1" x14ac:dyDescent="0.2">
      <c r="B278" s="150"/>
      <c r="C278" s="150"/>
      <c r="D278" s="150"/>
      <c r="E278" s="150"/>
      <c r="F278" s="150"/>
      <c r="G278" s="150"/>
    </row>
    <row r="279" spans="2:7" ht="15.75" customHeight="1" x14ac:dyDescent="0.2">
      <c r="B279" s="150"/>
      <c r="C279" s="150"/>
      <c r="D279" s="150"/>
      <c r="E279" s="150"/>
      <c r="F279" s="150"/>
      <c r="G279" s="150"/>
    </row>
    <row r="280" spans="2:7" ht="15.75" customHeight="1" x14ac:dyDescent="0.2">
      <c r="B280" s="150"/>
      <c r="C280" s="150"/>
      <c r="D280" s="150"/>
      <c r="E280" s="150"/>
      <c r="F280" s="150"/>
      <c r="G280" s="150"/>
    </row>
    <row r="281" spans="2:7" ht="15.75" customHeight="1" x14ac:dyDescent="0.2">
      <c r="B281" s="150"/>
      <c r="C281" s="150"/>
      <c r="D281" s="150"/>
      <c r="E281" s="150"/>
      <c r="F281" s="150"/>
      <c r="G281" s="150"/>
    </row>
    <row r="282" spans="2:7" ht="15.75" customHeight="1" x14ac:dyDescent="0.2">
      <c r="B282" s="150"/>
      <c r="C282" s="150"/>
      <c r="D282" s="150"/>
      <c r="E282" s="150"/>
      <c r="F282" s="150"/>
      <c r="G282" s="150"/>
    </row>
    <row r="283" spans="2:7" ht="15.75" customHeight="1" x14ac:dyDescent="0.2">
      <c r="B283" s="150"/>
      <c r="C283" s="150"/>
      <c r="D283" s="150"/>
      <c r="E283" s="150"/>
      <c r="F283" s="150"/>
      <c r="G283" s="150"/>
    </row>
    <row r="284" spans="2:7" ht="15.75" customHeight="1" x14ac:dyDescent="0.2">
      <c r="B284" s="150"/>
      <c r="C284" s="150"/>
      <c r="D284" s="150"/>
      <c r="E284" s="150"/>
      <c r="F284" s="150"/>
      <c r="G284" s="150"/>
    </row>
    <row r="285" spans="2:7" ht="15.75" customHeight="1" x14ac:dyDescent="0.2">
      <c r="B285" s="150"/>
      <c r="C285" s="150"/>
      <c r="D285" s="150"/>
      <c r="E285" s="150"/>
      <c r="F285" s="150"/>
      <c r="G285" s="150"/>
    </row>
    <row r="286" spans="2:7" ht="15.75" customHeight="1" x14ac:dyDescent="0.2">
      <c r="B286" s="150"/>
      <c r="C286" s="150"/>
      <c r="D286" s="150"/>
      <c r="E286" s="150"/>
      <c r="F286" s="150"/>
      <c r="G286" s="150"/>
    </row>
    <row r="287" spans="2:7" ht="15.75" customHeight="1" x14ac:dyDescent="0.2">
      <c r="B287" s="150"/>
      <c r="C287" s="150"/>
      <c r="D287" s="150"/>
      <c r="E287" s="150"/>
      <c r="F287" s="150"/>
      <c r="G287" s="150"/>
    </row>
    <row r="288" spans="2:7" ht="15.75" customHeight="1" x14ac:dyDescent="0.2">
      <c r="B288" s="150"/>
      <c r="C288" s="150"/>
      <c r="D288" s="150"/>
      <c r="E288" s="150"/>
      <c r="F288" s="150"/>
      <c r="G288" s="150"/>
    </row>
    <row r="289" spans="2:7" ht="15.75" customHeight="1" x14ac:dyDescent="0.2">
      <c r="B289" s="150"/>
      <c r="C289" s="150"/>
      <c r="D289" s="150"/>
      <c r="E289" s="150"/>
      <c r="F289" s="150"/>
      <c r="G289" s="150"/>
    </row>
    <row r="290" spans="2:7" ht="15.75" customHeight="1" x14ac:dyDescent="0.2">
      <c r="B290" s="150"/>
      <c r="C290" s="150"/>
      <c r="D290" s="150"/>
      <c r="E290" s="150"/>
      <c r="F290" s="150"/>
      <c r="G290" s="150"/>
    </row>
    <row r="291" spans="2:7" ht="15.75" customHeight="1" x14ac:dyDescent="0.2">
      <c r="B291" s="150"/>
      <c r="C291" s="150"/>
      <c r="D291" s="150"/>
      <c r="E291" s="150"/>
      <c r="F291" s="150"/>
      <c r="G291" s="150"/>
    </row>
    <row r="292" spans="2:7" ht="15.75" customHeight="1" x14ac:dyDescent="0.2">
      <c r="B292" s="150"/>
      <c r="C292" s="150"/>
      <c r="D292" s="150"/>
      <c r="E292" s="150"/>
      <c r="F292" s="150"/>
      <c r="G292" s="150"/>
    </row>
    <row r="293" spans="2:7" ht="15.75" customHeight="1" x14ac:dyDescent="0.2">
      <c r="B293" s="150"/>
      <c r="C293" s="150"/>
      <c r="D293" s="150"/>
      <c r="E293" s="150"/>
      <c r="F293" s="150"/>
      <c r="G293" s="150"/>
    </row>
    <row r="294" spans="2:7" ht="15.75" customHeight="1" x14ac:dyDescent="0.2">
      <c r="B294" s="150"/>
      <c r="C294" s="150"/>
      <c r="D294" s="150"/>
      <c r="E294" s="150"/>
      <c r="F294" s="150"/>
      <c r="G294" s="150"/>
    </row>
    <row r="295" spans="2:7" ht="15.75" customHeight="1" x14ac:dyDescent="0.2">
      <c r="B295" s="150"/>
      <c r="C295" s="150"/>
      <c r="D295" s="150"/>
      <c r="E295" s="150"/>
      <c r="F295" s="150"/>
      <c r="G295" s="150"/>
    </row>
    <row r="296" spans="2:7" ht="15.75" customHeight="1" x14ac:dyDescent="0.2">
      <c r="B296" s="150"/>
      <c r="C296" s="150"/>
      <c r="D296" s="150"/>
      <c r="E296" s="150"/>
      <c r="F296" s="150"/>
      <c r="G296" s="150"/>
    </row>
    <row r="297" spans="2:7" ht="15.75" customHeight="1" x14ac:dyDescent="0.2">
      <c r="B297" s="150"/>
      <c r="C297" s="150"/>
      <c r="D297" s="150"/>
      <c r="E297" s="150"/>
      <c r="F297" s="150"/>
      <c r="G297" s="150"/>
    </row>
    <row r="298" spans="2:7" ht="15.75" customHeight="1" x14ac:dyDescent="0.2">
      <c r="B298" s="150"/>
      <c r="C298" s="150"/>
      <c r="D298" s="150"/>
      <c r="E298" s="150"/>
      <c r="F298" s="150"/>
      <c r="G298" s="150"/>
    </row>
    <row r="299" spans="2:7" ht="15.75" customHeight="1" x14ac:dyDescent="0.2">
      <c r="B299" s="150"/>
      <c r="C299" s="150"/>
      <c r="D299" s="150"/>
      <c r="E299" s="150"/>
      <c r="F299" s="150"/>
      <c r="G299" s="150"/>
    </row>
    <row r="300" spans="2:7" ht="15.75" customHeight="1" x14ac:dyDescent="0.2">
      <c r="B300" s="150"/>
      <c r="C300" s="150"/>
      <c r="D300" s="150"/>
      <c r="E300" s="150"/>
      <c r="F300" s="150"/>
      <c r="G300" s="150"/>
    </row>
    <row r="301" spans="2:7" ht="15.75" customHeight="1" x14ac:dyDescent="0.2">
      <c r="B301" s="150"/>
      <c r="C301" s="150"/>
      <c r="D301" s="150"/>
      <c r="E301" s="150"/>
      <c r="F301" s="150"/>
      <c r="G301" s="150"/>
    </row>
    <row r="302" spans="2:7" ht="15.75" customHeight="1" x14ac:dyDescent="0.2">
      <c r="B302" s="150"/>
      <c r="C302" s="150"/>
      <c r="D302" s="150"/>
      <c r="E302" s="150"/>
      <c r="F302" s="150"/>
      <c r="G302" s="150"/>
    </row>
    <row r="303" spans="2:7" ht="15.75" customHeight="1" x14ac:dyDescent="0.2">
      <c r="B303" s="150"/>
      <c r="C303" s="150"/>
      <c r="D303" s="150"/>
      <c r="E303" s="150"/>
      <c r="F303" s="150"/>
      <c r="G303" s="150"/>
    </row>
    <row r="304" spans="2:7" ht="15.75" customHeight="1" x14ac:dyDescent="0.2">
      <c r="B304" s="150"/>
      <c r="C304" s="150"/>
      <c r="D304" s="150"/>
      <c r="E304" s="150"/>
      <c r="F304" s="150"/>
      <c r="G304" s="150"/>
    </row>
    <row r="305" spans="2:7" ht="15.75" customHeight="1" x14ac:dyDescent="0.2">
      <c r="B305" s="150"/>
      <c r="C305" s="150"/>
      <c r="D305" s="150"/>
      <c r="E305" s="150"/>
      <c r="F305" s="150"/>
      <c r="G305" s="150"/>
    </row>
    <row r="306" spans="2:7" ht="15.75" customHeight="1" x14ac:dyDescent="0.2">
      <c r="B306" s="150"/>
      <c r="C306" s="150"/>
      <c r="D306" s="150"/>
      <c r="E306" s="150"/>
      <c r="F306" s="150"/>
      <c r="G306" s="150"/>
    </row>
    <row r="307" spans="2:7" ht="15.75" customHeight="1" x14ac:dyDescent="0.2">
      <c r="B307" s="150"/>
      <c r="C307" s="150"/>
      <c r="D307" s="150"/>
      <c r="E307" s="150"/>
      <c r="F307" s="150"/>
      <c r="G307" s="150"/>
    </row>
    <row r="308" spans="2:7" ht="15.75" customHeight="1" x14ac:dyDescent="0.2">
      <c r="B308" s="150"/>
      <c r="C308" s="150"/>
      <c r="D308" s="150"/>
      <c r="E308" s="150"/>
      <c r="F308" s="150"/>
      <c r="G308" s="150"/>
    </row>
    <row r="309" spans="2:7" ht="15.75" customHeight="1" x14ac:dyDescent="0.2">
      <c r="B309" s="150"/>
      <c r="C309" s="150"/>
      <c r="D309" s="150"/>
      <c r="E309" s="150"/>
      <c r="F309" s="150"/>
      <c r="G309" s="150"/>
    </row>
    <row r="310" spans="2:7" ht="15.75" customHeight="1" x14ac:dyDescent="0.2">
      <c r="B310" s="150"/>
      <c r="C310" s="150"/>
      <c r="D310" s="150"/>
      <c r="E310" s="150"/>
      <c r="F310" s="150"/>
      <c r="G310" s="150"/>
    </row>
    <row r="311" spans="2:7" ht="15.75" customHeight="1" x14ac:dyDescent="0.2">
      <c r="B311" s="150"/>
      <c r="C311" s="150"/>
      <c r="D311" s="150"/>
      <c r="E311" s="150"/>
      <c r="F311" s="150"/>
      <c r="G311" s="150"/>
    </row>
    <row r="312" spans="2:7" ht="15.75" customHeight="1" x14ac:dyDescent="0.2">
      <c r="B312" s="150"/>
      <c r="C312" s="150"/>
      <c r="D312" s="150"/>
      <c r="E312" s="150"/>
      <c r="F312" s="150"/>
      <c r="G312" s="150"/>
    </row>
    <row r="313" spans="2:7" ht="15.75" customHeight="1" x14ac:dyDescent="0.2">
      <c r="B313" s="150"/>
      <c r="C313" s="150"/>
      <c r="D313" s="150"/>
      <c r="E313" s="150"/>
      <c r="F313" s="150"/>
      <c r="G313" s="150"/>
    </row>
    <row r="314" spans="2:7" ht="15.75" customHeight="1" x14ac:dyDescent="0.2">
      <c r="B314" s="150"/>
      <c r="C314" s="150"/>
      <c r="D314" s="150"/>
      <c r="E314" s="150"/>
      <c r="F314" s="150"/>
      <c r="G314" s="150"/>
    </row>
    <row r="315" spans="2:7" ht="15.75" customHeight="1" x14ac:dyDescent="0.2">
      <c r="B315" s="150"/>
      <c r="C315" s="150"/>
      <c r="D315" s="150"/>
      <c r="E315" s="150"/>
      <c r="F315" s="150"/>
      <c r="G315" s="150"/>
    </row>
    <row r="316" spans="2:7" ht="15.75" customHeight="1" x14ac:dyDescent="0.2">
      <c r="B316" s="150"/>
      <c r="C316" s="150"/>
      <c r="D316" s="150"/>
      <c r="E316" s="150"/>
      <c r="F316" s="150"/>
      <c r="G316" s="150"/>
    </row>
    <row r="317" spans="2:7" ht="15.75" customHeight="1" x14ac:dyDescent="0.2">
      <c r="B317" s="150"/>
      <c r="C317" s="150"/>
      <c r="D317" s="150"/>
      <c r="E317" s="150"/>
      <c r="F317" s="150"/>
      <c r="G317" s="150"/>
    </row>
    <row r="318" spans="2:7" ht="15.75" customHeight="1" x14ac:dyDescent="0.2">
      <c r="B318" s="150"/>
      <c r="C318" s="150"/>
      <c r="D318" s="150"/>
      <c r="E318" s="150"/>
      <c r="F318" s="150"/>
      <c r="G318" s="150"/>
    </row>
    <row r="319" spans="2:7" ht="15.75" customHeight="1" x14ac:dyDescent="0.2">
      <c r="B319" s="150"/>
      <c r="C319" s="150"/>
      <c r="D319" s="150"/>
      <c r="E319" s="150"/>
      <c r="F319" s="150"/>
      <c r="G319" s="150"/>
    </row>
    <row r="320" spans="2:7" ht="15.75" customHeight="1" x14ac:dyDescent="0.2">
      <c r="B320" s="150"/>
      <c r="C320" s="150"/>
      <c r="D320" s="150"/>
      <c r="E320" s="150"/>
      <c r="F320" s="150"/>
      <c r="G320" s="150"/>
    </row>
    <row r="321" spans="2:7" ht="15.75" customHeight="1" x14ac:dyDescent="0.2">
      <c r="B321" s="150"/>
      <c r="C321" s="150"/>
      <c r="D321" s="150"/>
      <c r="E321" s="150"/>
      <c r="F321" s="150"/>
      <c r="G321" s="150"/>
    </row>
    <row r="322" spans="2:7" ht="15.75" customHeight="1" x14ac:dyDescent="0.2">
      <c r="B322" s="150"/>
      <c r="C322" s="150"/>
      <c r="D322" s="150"/>
      <c r="E322" s="150"/>
      <c r="F322" s="150"/>
      <c r="G322" s="150"/>
    </row>
    <row r="323" spans="2:7" ht="15.75" customHeight="1" x14ac:dyDescent="0.2">
      <c r="B323" s="150"/>
      <c r="C323" s="150"/>
      <c r="D323" s="150"/>
      <c r="E323" s="150"/>
      <c r="F323" s="150"/>
      <c r="G323" s="150"/>
    </row>
    <row r="324" spans="2:7" ht="15.75" customHeight="1" x14ac:dyDescent="0.2">
      <c r="B324" s="150"/>
      <c r="C324" s="150"/>
      <c r="D324" s="150"/>
      <c r="E324" s="150"/>
      <c r="F324" s="150"/>
      <c r="G324" s="150"/>
    </row>
    <row r="325" spans="2:7" ht="15.75" customHeight="1" x14ac:dyDescent="0.2">
      <c r="B325" s="150"/>
      <c r="C325" s="150"/>
      <c r="D325" s="150"/>
      <c r="E325" s="150"/>
      <c r="F325" s="150"/>
      <c r="G325" s="150"/>
    </row>
    <row r="326" spans="2:7" ht="15.75" customHeight="1" x14ac:dyDescent="0.2">
      <c r="B326" s="150"/>
      <c r="C326" s="150"/>
      <c r="D326" s="150"/>
      <c r="E326" s="150"/>
      <c r="F326" s="150"/>
      <c r="G326" s="150"/>
    </row>
    <row r="327" spans="2:7" ht="15.75" customHeight="1" x14ac:dyDescent="0.2">
      <c r="B327" s="150"/>
      <c r="C327" s="150"/>
      <c r="D327" s="150"/>
      <c r="E327" s="150"/>
      <c r="F327" s="150"/>
      <c r="G327" s="150"/>
    </row>
    <row r="328" spans="2:7" ht="15.75" customHeight="1" x14ac:dyDescent="0.2">
      <c r="B328" s="150"/>
      <c r="C328" s="150"/>
      <c r="D328" s="150"/>
      <c r="E328" s="150"/>
      <c r="F328" s="150"/>
      <c r="G328" s="150"/>
    </row>
    <row r="329" spans="2:7" ht="15.75" customHeight="1" x14ac:dyDescent="0.2">
      <c r="B329" s="150"/>
      <c r="C329" s="150"/>
      <c r="D329" s="150"/>
      <c r="E329" s="150"/>
      <c r="F329" s="150"/>
      <c r="G329" s="150"/>
    </row>
    <row r="330" spans="2:7" ht="15.75" customHeight="1" x14ac:dyDescent="0.2">
      <c r="B330" s="150"/>
      <c r="C330" s="150"/>
      <c r="D330" s="150"/>
      <c r="E330" s="150"/>
      <c r="F330" s="150"/>
      <c r="G330" s="150"/>
    </row>
    <row r="331" spans="2:7" ht="15.75" customHeight="1" x14ac:dyDescent="0.2">
      <c r="B331" s="150"/>
      <c r="C331" s="150"/>
      <c r="D331" s="150"/>
      <c r="E331" s="150"/>
      <c r="F331" s="150"/>
      <c r="G331" s="150"/>
    </row>
    <row r="332" spans="2:7" ht="15.75" customHeight="1" x14ac:dyDescent="0.2">
      <c r="B332" s="150"/>
      <c r="C332" s="150"/>
      <c r="D332" s="150"/>
      <c r="E332" s="150"/>
      <c r="F332" s="150"/>
      <c r="G332" s="150"/>
    </row>
    <row r="333" spans="2:7" ht="15.75" customHeight="1" x14ac:dyDescent="0.2">
      <c r="B333" s="150"/>
      <c r="C333" s="150"/>
      <c r="D333" s="150"/>
      <c r="E333" s="150"/>
      <c r="F333" s="150"/>
      <c r="G333" s="150"/>
    </row>
    <row r="334" spans="2:7" ht="15.75" customHeight="1" x14ac:dyDescent="0.2">
      <c r="B334" s="150"/>
      <c r="C334" s="150"/>
      <c r="D334" s="150"/>
      <c r="E334" s="150"/>
      <c r="F334" s="150"/>
      <c r="G334" s="150"/>
    </row>
    <row r="335" spans="2:7" ht="15.75" customHeight="1" x14ac:dyDescent="0.2">
      <c r="B335" s="150"/>
      <c r="C335" s="150"/>
      <c r="D335" s="150"/>
      <c r="E335" s="150"/>
      <c r="F335" s="150"/>
      <c r="G335" s="150"/>
    </row>
    <row r="336" spans="2:7" ht="15.75" customHeight="1" x14ac:dyDescent="0.2">
      <c r="B336" s="150"/>
      <c r="C336" s="150"/>
      <c r="D336" s="150"/>
      <c r="E336" s="150"/>
      <c r="F336" s="150"/>
      <c r="G336" s="150"/>
    </row>
    <row r="337" spans="2:7" ht="15.75" customHeight="1" x14ac:dyDescent="0.2">
      <c r="B337" s="150"/>
      <c r="C337" s="150"/>
      <c r="D337" s="150"/>
      <c r="E337" s="150"/>
      <c r="F337" s="150"/>
      <c r="G337" s="150"/>
    </row>
    <row r="338" spans="2:7" ht="15.75" customHeight="1" x14ac:dyDescent="0.2">
      <c r="B338" s="150"/>
      <c r="C338" s="150"/>
      <c r="D338" s="150"/>
      <c r="E338" s="150"/>
      <c r="F338" s="150"/>
      <c r="G338" s="150"/>
    </row>
    <row r="339" spans="2:7" ht="15.75" customHeight="1" x14ac:dyDescent="0.2">
      <c r="B339" s="150"/>
      <c r="C339" s="150"/>
      <c r="D339" s="150"/>
      <c r="E339" s="150"/>
      <c r="F339" s="150"/>
      <c r="G339" s="150"/>
    </row>
    <row r="340" spans="2:7" ht="15.75" customHeight="1" x14ac:dyDescent="0.2">
      <c r="B340" s="150"/>
      <c r="C340" s="150"/>
      <c r="D340" s="150"/>
      <c r="E340" s="150"/>
      <c r="F340" s="150"/>
      <c r="G340" s="150"/>
    </row>
    <row r="341" spans="2:7" ht="15.75" customHeight="1" x14ac:dyDescent="0.2">
      <c r="B341" s="150"/>
      <c r="C341" s="150"/>
      <c r="D341" s="150"/>
      <c r="E341" s="150"/>
      <c r="F341" s="150"/>
      <c r="G341" s="150"/>
    </row>
    <row r="342" spans="2:7" ht="15.75" customHeight="1" x14ac:dyDescent="0.2">
      <c r="B342" s="150"/>
      <c r="C342" s="150"/>
      <c r="D342" s="150"/>
      <c r="E342" s="150"/>
      <c r="F342" s="150"/>
      <c r="G342" s="150"/>
    </row>
    <row r="343" spans="2:7" ht="15.75" customHeight="1" x14ac:dyDescent="0.2">
      <c r="B343" s="150"/>
      <c r="C343" s="150"/>
      <c r="D343" s="150"/>
      <c r="E343" s="150"/>
      <c r="F343" s="150"/>
      <c r="G343" s="150"/>
    </row>
    <row r="344" spans="2:7" ht="15.75" customHeight="1" x14ac:dyDescent="0.2">
      <c r="B344" s="150"/>
      <c r="C344" s="150"/>
      <c r="D344" s="150"/>
      <c r="E344" s="150"/>
      <c r="F344" s="150"/>
      <c r="G344" s="150"/>
    </row>
    <row r="345" spans="2:7" ht="15.75" customHeight="1" x14ac:dyDescent="0.2">
      <c r="B345" s="150"/>
      <c r="C345" s="150"/>
      <c r="D345" s="150"/>
      <c r="E345" s="150"/>
      <c r="F345" s="150"/>
      <c r="G345" s="150"/>
    </row>
    <row r="346" spans="2:7" ht="15.75" customHeight="1" x14ac:dyDescent="0.2">
      <c r="B346" s="150"/>
      <c r="C346" s="150"/>
      <c r="D346" s="150"/>
      <c r="E346" s="150"/>
      <c r="F346" s="150"/>
      <c r="G346" s="150"/>
    </row>
    <row r="347" spans="2:7" ht="15.75" customHeight="1" x14ac:dyDescent="0.2">
      <c r="B347" s="150"/>
      <c r="C347" s="150"/>
      <c r="D347" s="150"/>
      <c r="E347" s="150"/>
      <c r="F347" s="150"/>
      <c r="G347" s="150"/>
    </row>
    <row r="348" spans="2:7" ht="15.75" customHeight="1" x14ac:dyDescent="0.2">
      <c r="B348" s="150"/>
      <c r="C348" s="150"/>
      <c r="D348" s="150"/>
      <c r="E348" s="150"/>
      <c r="F348" s="150"/>
      <c r="G348" s="150"/>
    </row>
    <row r="349" spans="2:7" ht="15.75" customHeight="1" x14ac:dyDescent="0.2">
      <c r="B349" s="150"/>
      <c r="C349" s="150"/>
      <c r="D349" s="150"/>
      <c r="E349" s="150"/>
      <c r="F349" s="150"/>
      <c r="G349" s="150"/>
    </row>
    <row r="350" spans="2:7" ht="15.75" customHeight="1" x14ac:dyDescent="0.2">
      <c r="B350" s="150"/>
      <c r="C350" s="150"/>
      <c r="D350" s="150"/>
      <c r="E350" s="150"/>
      <c r="F350" s="150"/>
      <c r="G350" s="150"/>
    </row>
    <row r="351" spans="2:7" ht="15.75" customHeight="1" x14ac:dyDescent="0.2">
      <c r="B351" s="150"/>
      <c r="C351" s="150"/>
      <c r="D351" s="150"/>
      <c r="E351" s="150"/>
      <c r="F351" s="150"/>
      <c r="G351" s="150"/>
    </row>
    <row r="352" spans="2:7" ht="15.75" customHeight="1" x14ac:dyDescent="0.2">
      <c r="B352" s="150"/>
      <c r="C352" s="150"/>
      <c r="D352" s="150"/>
      <c r="E352" s="150"/>
      <c r="F352" s="150"/>
      <c r="G352" s="150"/>
    </row>
    <row r="353" spans="2:7" ht="15.75" customHeight="1" x14ac:dyDescent="0.2">
      <c r="B353" s="150"/>
      <c r="C353" s="150"/>
      <c r="D353" s="150"/>
      <c r="E353" s="150"/>
      <c r="F353" s="150"/>
      <c r="G353" s="150"/>
    </row>
    <row r="354" spans="2:7" ht="15.75" customHeight="1" x14ac:dyDescent="0.2">
      <c r="B354" s="150"/>
      <c r="C354" s="150"/>
      <c r="D354" s="150"/>
      <c r="E354" s="150"/>
      <c r="F354" s="150"/>
      <c r="G354" s="150"/>
    </row>
    <row r="355" spans="2:7" ht="15.75" customHeight="1" x14ac:dyDescent="0.2">
      <c r="B355" s="150"/>
      <c r="C355" s="150"/>
      <c r="D355" s="150"/>
      <c r="E355" s="150"/>
      <c r="F355" s="150"/>
      <c r="G355" s="150"/>
    </row>
    <row r="356" spans="2:7" ht="15.75" customHeight="1" x14ac:dyDescent="0.2">
      <c r="B356" s="150"/>
      <c r="C356" s="150"/>
      <c r="D356" s="150"/>
      <c r="E356" s="150"/>
      <c r="F356" s="150"/>
      <c r="G356" s="150"/>
    </row>
    <row r="357" spans="2:7" ht="15.75" customHeight="1" x14ac:dyDescent="0.2">
      <c r="B357" s="150"/>
      <c r="C357" s="150"/>
      <c r="D357" s="150"/>
      <c r="E357" s="150"/>
      <c r="F357" s="150"/>
      <c r="G357" s="150"/>
    </row>
    <row r="358" spans="2:7" ht="15.75" customHeight="1" x14ac:dyDescent="0.2">
      <c r="B358" s="150"/>
      <c r="C358" s="150"/>
      <c r="D358" s="150"/>
      <c r="E358" s="150"/>
      <c r="F358" s="150"/>
      <c r="G358" s="150"/>
    </row>
    <row r="359" spans="2:7" ht="15.75" customHeight="1" x14ac:dyDescent="0.2">
      <c r="B359" s="150"/>
      <c r="C359" s="150"/>
      <c r="D359" s="150"/>
      <c r="E359" s="150"/>
      <c r="F359" s="150"/>
      <c r="G359" s="150"/>
    </row>
    <row r="360" spans="2:7" ht="15.75" customHeight="1" x14ac:dyDescent="0.2">
      <c r="B360" s="150"/>
      <c r="C360" s="150"/>
      <c r="D360" s="150"/>
      <c r="E360" s="150"/>
      <c r="F360" s="150"/>
      <c r="G360" s="150"/>
    </row>
    <row r="361" spans="2:7" ht="15.75" customHeight="1" x14ac:dyDescent="0.2">
      <c r="B361" s="150"/>
      <c r="C361" s="150"/>
      <c r="D361" s="150"/>
      <c r="E361" s="150"/>
      <c r="F361" s="150"/>
      <c r="G361" s="150"/>
    </row>
    <row r="362" spans="2:7" ht="15.75" customHeight="1" x14ac:dyDescent="0.2">
      <c r="B362" s="150"/>
      <c r="C362" s="150"/>
      <c r="D362" s="150"/>
      <c r="E362" s="150"/>
      <c r="F362" s="150"/>
      <c r="G362" s="150"/>
    </row>
    <row r="363" spans="2:7" ht="15.75" customHeight="1" x14ac:dyDescent="0.2">
      <c r="B363" s="150"/>
      <c r="C363" s="150"/>
      <c r="D363" s="150"/>
      <c r="E363" s="150"/>
      <c r="F363" s="150"/>
      <c r="G363" s="150"/>
    </row>
    <row r="364" spans="2:7" ht="15.75" customHeight="1" x14ac:dyDescent="0.2">
      <c r="B364" s="150"/>
      <c r="C364" s="150"/>
      <c r="D364" s="150"/>
      <c r="E364" s="150"/>
      <c r="F364" s="150"/>
      <c r="G364" s="150"/>
    </row>
    <row r="365" spans="2:7" ht="15.75" customHeight="1" x14ac:dyDescent="0.2">
      <c r="B365" s="150"/>
      <c r="C365" s="150"/>
      <c r="D365" s="150"/>
      <c r="E365" s="150"/>
      <c r="F365" s="150"/>
      <c r="G365" s="150"/>
    </row>
    <row r="366" spans="2:7" ht="15.75" customHeight="1" x14ac:dyDescent="0.2">
      <c r="B366" s="150"/>
      <c r="C366" s="150"/>
      <c r="D366" s="150"/>
      <c r="E366" s="150"/>
      <c r="F366" s="150"/>
      <c r="G366" s="150"/>
    </row>
    <row r="367" spans="2:7" ht="15.75" customHeight="1" x14ac:dyDescent="0.2">
      <c r="B367" s="150"/>
      <c r="C367" s="150"/>
      <c r="D367" s="150"/>
      <c r="E367" s="150"/>
      <c r="F367" s="150"/>
      <c r="G367" s="150"/>
    </row>
    <row r="368" spans="2:7" ht="15.75" customHeight="1" x14ac:dyDescent="0.2">
      <c r="B368" s="150"/>
      <c r="C368" s="150"/>
      <c r="D368" s="150"/>
      <c r="E368" s="150"/>
      <c r="F368" s="150"/>
      <c r="G368" s="150"/>
    </row>
    <row r="369" spans="2:7" ht="15.75" customHeight="1" x14ac:dyDescent="0.2">
      <c r="B369" s="150"/>
      <c r="C369" s="150"/>
      <c r="D369" s="150"/>
      <c r="E369" s="150"/>
      <c r="F369" s="150"/>
      <c r="G369" s="150"/>
    </row>
    <row r="370" spans="2:7" ht="15.75" customHeight="1" x14ac:dyDescent="0.2">
      <c r="B370" s="150"/>
      <c r="C370" s="150"/>
      <c r="D370" s="150"/>
      <c r="E370" s="150"/>
      <c r="F370" s="150"/>
      <c r="G370" s="150"/>
    </row>
    <row r="371" spans="2:7" ht="15.75" customHeight="1" x14ac:dyDescent="0.2">
      <c r="B371" s="150"/>
      <c r="C371" s="150"/>
      <c r="D371" s="150"/>
      <c r="E371" s="150"/>
      <c r="F371" s="150"/>
      <c r="G371" s="150"/>
    </row>
    <row r="372" spans="2:7" ht="15.75" customHeight="1" x14ac:dyDescent="0.2">
      <c r="B372" s="150"/>
      <c r="C372" s="150"/>
      <c r="D372" s="150"/>
      <c r="E372" s="150"/>
      <c r="F372" s="150"/>
      <c r="G372" s="150"/>
    </row>
    <row r="373" spans="2:7" ht="15.75" customHeight="1" x14ac:dyDescent="0.2">
      <c r="B373" s="150"/>
      <c r="C373" s="150"/>
      <c r="D373" s="150"/>
      <c r="E373" s="150"/>
      <c r="F373" s="150"/>
      <c r="G373" s="150"/>
    </row>
    <row r="374" spans="2:7" ht="15.75" customHeight="1" x14ac:dyDescent="0.2">
      <c r="B374" s="150"/>
      <c r="C374" s="150"/>
      <c r="D374" s="150"/>
      <c r="E374" s="150"/>
      <c r="F374" s="150"/>
      <c r="G374" s="150"/>
    </row>
    <row r="375" spans="2:7" ht="15.75" customHeight="1" x14ac:dyDescent="0.2">
      <c r="B375" s="150"/>
      <c r="C375" s="150"/>
      <c r="D375" s="150"/>
      <c r="E375" s="150"/>
      <c r="F375" s="150"/>
      <c r="G375" s="150"/>
    </row>
    <row r="376" spans="2:7" ht="15.75" customHeight="1" x14ac:dyDescent="0.2">
      <c r="B376" s="150"/>
      <c r="C376" s="150"/>
      <c r="D376" s="150"/>
      <c r="E376" s="150"/>
      <c r="F376" s="150"/>
      <c r="G376" s="150"/>
    </row>
    <row r="377" spans="2:7" ht="15.75" customHeight="1" x14ac:dyDescent="0.2">
      <c r="B377" s="150"/>
      <c r="C377" s="150"/>
      <c r="D377" s="150"/>
      <c r="E377" s="150"/>
      <c r="F377" s="150"/>
      <c r="G377" s="150"/>
    </row>
    <row r="378" spans="2:7" ht="15.75" customHeight="1" x14ac:dyDescent="0.2">
      <c r="B378" s="150"/>
      <c r="C378" s="150"/>
      <c r="D378" s="150"/>
      <c r="E378" s="150"/>
      <c r="F378" s="150"/>
      <c r="G378" s="150"/>
    </row>
    <row r="379" spans="2:7" ht="15.75" customHeight="1" x14ac:dyDescent="0.2">
      <c r="B379" s="150"/>
      <c r="C379" s="150"/>
      <c r="D379" s="150"/>
      <c r="E379" s="150"/>
      <c r="F379" s="150"/>
      <c r="G379" s="150"/>
    </row>
    <row r="380" spans="2:7" ht="15.75" customHeight="1" x14ac:dyDescent="0.2">
      <c r="B380" s="150"/>
      <c r="C380" s="150"/>
      <c r="D380" s="150"/>
      <c r="E380" s="150"/>
      <c r="F380" s="150"/>
      <c r="G380" s="150"/>
    </row>
    <row r="381" spans="2:7" ht="15.75" customHeight="1" x14ac:dyDescent="0.2">
      <c r="B381" s="150"/>
      <c r="C381" s="150"/>
      <c r="D381" s="150"/>
      <c r="E381" s="150"/>
      <c r="F381" s="150"/>
      <c r="G381" s="150"/>
    </row>
    <row r="382" spans="2:7" ht="15.75" customHeight="1" x14ac:dyDescent="0.2">
      <c r="B382" s="150"/>
      <c r="C382" s="150"/>
      <c r="D382" s="150"/>
      <c r="E382" s="150"/>
      <c r="F382" s="150"/>
      <c r="G382" s="150"/>
    </row>
    <row r="383" spans="2:7" ht="15.75" customHeight="1" x14ac:dyDescent="0.2">
      <c r="B383" s="150"/>
      <c r="C383" s="150"/>
      <c r="D383" s="150"/>
      <c r="E383" s="150"/>
      <c r="F383" s="150"/>
      <c r="G383" s="150"/>
    </row>
    <row r="384" spans="2:7" ht="15.75" customHeight="1" x14ac:dyDescent="0.2">
      <c r="B384" s="150"/>
      <c r="C384" s="150"/>
      <c r="D384" s="150"/>
      <c r="E384" s="150"/>
      <c r="F384" s="150"/>
      <c r="G384" s="150"/>
    </row>
    <row r="385" spans="2:7" ht="15.75" customHeight="1" x14ac:dyDescent="0.2">
      <c r="B385" s="150"/>
      <c r="C385" s="150"/>
      <c r="D385" s="150"/>
      <c r="E385" s="150"/>
      <c r="F385" s="150"/>
      <c r="G385" s="150"/>
    </row>
    <row r="386" spans="2:7" ht="15.75" customHeight="1" x14ac:dyDescent="0.2">
      <c r="B386" s="150"/>
      <c r="C386" s="150"/>
      <c r="D386" s="150"/>
      <c r="E386" s="150"/>
      <c r="F386" s="150"/>
      <c r="G386" s="150"/>
    </row>
    <row r="387" spans="2:7" ht="15.75" customHeight="1" x14ac:dyDescent="0.2">
      <c r="B387" s="150"/>
      <c r="C387" s="150"/>
      <c r="D387" s="150"/>
      <c r="E387" s="150"/>
      <c r="F387" s="150"/>
      <c r="G387" s="150"/>
    </row>
    <row r="388" spans="2:7" ht="15.75" customHeight="1" x14ac:dyDescent="0.2">
      <c r="B388" s="150"/>
      <c r="C388" s="150"/>
      <c r="D388" s="150"/>
      <c r="E388" s="150"/>
      <c r="F388" s="150"/>
      <c r="G388" s="150"/>
    </row>
    <row r="389" spans="2:7" ht="15.75" customHeight="1" x14ac:dyDescent="0.2">
      <c r="B389" s="150"/>
      <c r="C389" s="150"/>
      <c r="D389" s="150"/>
      <c r="E389" s="150"/>
      <c r="F389" s="150"/>
      <c r="G389" s="150"/>
    </row>
    <row r="390" spans="2:7" ht="15.75" customHeight="1" x14ac:dyDescent="0.2">
      <c r="B390" s="150"/>
      <c r="C390" s="150"/>
      <c r="D390" s="150"/>
      <c r="E390" s="150"/>
      <c r="F390" s="150"/>
      <c r="G390" s="150"/>
    </row>
    <row r="391" spans="2:7" ht="15.75" customHeight="1" x14ac:dyDescent="0.2">
      <c r="B391" s="150"/>
      <c r="C391" s="150"/>
      <c r="D391" s="150"/>
      <c r="E391" s="150"/>
      <c r="F391" s="150"/>
      <c r="G391" s="150"/>
    </row>
    <row r="392" spans="2:7" ht="15.75" customHeight="1" x14ac:dyDescent="0.2">
      <c r="B392" s="150"/>
      <c r="C392" s="150"/>
      <c r="D392" s="150"/>
      <c r="E392" s="150"/>
      <c r="F392" s="150"/>
      <c r="G392" s="150"/>
    </row>
    <row r="393" spans="2:7" ht="15.75" customHeight="1" x14ac:dyDescent="0.2">
      <c r="B393" s="150"/>
      <c r="C393" s="150"/>
      <c r="D393" s="150"/>
      <c r="E393" s="150"/>
      <c r="F393" s="150"/>
      <c r="G393" s="150"/>
    </row>
    <row r="394" spans="2:7" ht="15.75" customHeight="1" x14ac:dyDescent="0.2">
      <c r="B394" s="150"/>
      <c r="C394" s="150"/>
      <c r="D394" s="150"/>
      <c r="E394" s="150"/>
      <c r="F394" s="150"/>
      <c r="G394" s="150"/>
    </row>
    <row r="395" spans="2:7" ht="15.75" customHeight="1" x14ac:dyDescent="0.2">
      <c r="B395" s="150"/>
      <c r="C395" s="150"/>
      <c r="D395" s="150"/>
      <c r="E395" s="150"/>
      <c r="F395" s="150"/>
      <c r="G395" s="150"/>
    </row>
    <row r="396" spans="2:7" ht="15.75" customHeight="1" x14ac:dyDescent="0.2">
      <c r="B396" s="150"/>
      <c r="C396" s="150"/>
      <c r="D396" s="150"/>
      <c r="E396" s="150"/>
      <c r="F396" s="150"/>
      <c r="G396" s="150"/>
    </row>
    <row r="397" spans="2:7" ht="15.75" customHeight="1" x14ac:dyDescent="0.2">
      <c r="B397" s="150"/>
      <c r="C397" s="150"/>
      <c r="D397" s="150"/>
      <c r="E397" s="150"/>
      <c r="F397" s="150"/>
      <c r="G397" s="150"/>
    </row>
    <row r="398" spans="2:7" ht="15.75" customHeight="1" x14ac:dyDescent="0.2">
      <c r="B398" s="150"/>
      <c r="C398" s="150"/>
      <c r="D398" s="150"/>
      <c r="E398" s="150"/>
      <c r="F398" s="150"/>
      <c r="G398" s="150"/>
    </row>
    <row r="399" spans="2:7" ht="15.75" customHeight="1" x14ac:dyDescent="0.2">
      <c r="B399" s="150"/>
      <c r="C399" s="150"/>
      <c r="D399" s="150"/>
      <c r="E399" s="150"/>
      <c r="F399" s="150"/>
      <c r="G399" s="150"/>
    </row>
    <row r="400" spans="2:7" ht="15.75" customHeight="1" x14ac:dyDescent="0.2">
      <c r="B400" s="150"/>
      <c r="C400" s="150"/>
      <c r="D400" s="150"/>
      <c r="E400" s="150"/>
      <c r="F400" s="150"/>
      <c r="G400" s="150"/>
    </row>
    <row r="401" spans="2:7" ht="15.75" customHeight="1" x14ac:dyDescent="0.2">
      <c r="B401" s="150"/>
      <c r="C401" s="150"/>
      <c r="D401" s="150"/>
      <c r="E401" s="150"/>
      <c r="F401" s="150"/>
      <c r="G401" s="150"/>
    </row>
    <row r="402" spans="2:7" ht="15.75" customHeight="1" x14ac:dyDescent="0.2">
      <c r="B402" s="150"/>
      <c r="C402" s="150"/>
      <c r="D402" s="150"/>
      <c r="E402" s="150"/>
      <c r="F402" s="150"/>
      <c r="G402" s="150"/>
    </row>
    <row r="403" spans="2:7" ht="15.75" customHeight="1" x14ac:dyDescent="0.2">
      <c r="B403" s="150"/>
      <c r="C403" s="150"/>
      <c r="D403" s="150"/>
      <c r="E403" s="150"/>
      <c r="F403" s="150"/>
      <c r="G403" s="150"/>
    </row>
    <row r="404" spans="2:7" ht="15.75" customHeight="1" x14ac:dyDescent="0.2">
      <c r="B404" s="150"/>
      <c r="C404" s="150"/>
      <c r="D404" s="150"/>
      <c r="E404" s="150"/>
      <c r="F404" s="150"/>
      <c r="G404" s="150"/>
    </row>
    <row r="405" spans="2:7" ht="15.75" customHeight="1" x14ac:dyDescent="0.2">
      <c r="B405" s="150"/>
      <c r="C405" s="150"/>
      <c r="D405" s="150"/>
      <c r="E405" s="150"/>
      <c r="F405" s="150"/>
      <c r="G405" s="150"/>
    </row>
    <row r="406" spans="2:7" ht="15.75" customHeight="1" x14ac:dyDescent="0.2">
      <c r="B406" s="150"/>
      <c r="C406" s="150"/>
      <c r="D406" s="150"/>
      <c r="E406" s="150"/>
      <c r="F406" s="150"/>
      <c r="G406" s="150"/>
    </row>
    <row r="407" spans="2:7" ht="15.75" customHeight="1" x14ac:dyDescent="0.2">
      <c r="B407" s="150"/>
      <c r="C407" s="150"/>
      <c r="D407" s="150"/>
      <c r="E407" s="150"/>
      <c r="F407" s="150"/>
      <c r="G407" s="150"/>
    </row>
    <row r="408" spans="2:7" ht="15.75" customHeight="1" x14ac:dyDescent="0.2">
      <c r="B408" s="150"/>
      <c r="C408" s="150"/>
      <c r="D408" s="150"/>
      <c r="E408" s="150"/>
      <c r="F408" s="150"/>
      <c r="G408" s="150"/>
    </row>
    <row r="409" spans="2:7" ht="15.75" customHeight="1" x14ac:dyDescent="0.2">
      <c r="B409" s="150"/>
      <c r="C409" s="150"/>
      <c r="D409" s="150"/>
      <c r="E409" s="150"/>
      <c r="F409" s="150"/>
      <c r="G409" s="150"/>
    </row>
    <row r="410" spans="2:7" ht="15.75" customHeight="1" x14ac:dyDescent="0.2">
      <c r="B410" s="150"/>
      <c r="C410" s="150"/>
      <c r="D410" s="150"/>
      <c r="E410" s="150"/>
      <c r="F410" s="150"/>
      <c r="G410" s="150"/>
    </row>
    <row r="411" spans="2:7" ht="15.75" customHeight="1" x14ac:dyDescent="0.2">
      <c r="B411" s="150"/>
      <c r="C411" s="150"/>
      <c r="D411" s="150"/>
      <c r="E411" s="150"/>
      <c r="F411" s="150"/>
      <c r="G411" s="150"/>
    </row>
    <row r="412" spans="2:7" ht="15.75" customHeight="1" x14ac:dyDescent="0.2">
      <c r="B412" s="150"/>
      <c r="C412" s="150"/>
      <c r="D412" s="150"/>
      <c r="E412" s="150"/>
      <c r="F412" s="150"/>
      <c r="G412" s="150"/>
    </row>
    <row r="413" spans="2:7" ht="15.75" customHeight="1" x14ac:dyDescent="0.2">
      <c r="B413" s="150"/>
      <c r="C413" s="150"/>
      <c r="D413" s="150"/>
      <c r="E413" s="150"/>
      <c r="F413" s="150"/>
      <c r="G413" s="150"/>
    </row>
    <row r="414" spans="2:7" ht="15.75" customHeight="1" x14ac:dyDescent="0.2">
      <c r="B414" s="150"/>
      <c r="C414" s="150"/>
      <c r="D414" s="150"/>
      <c r="E414" s="150"/>
      <c r="F414" s="150"/>
      <c r="G414" s="150"/>
    </row>
    <row r="415" spans="2:7" ht="15.75" customHeight="1" x14ac:dyDescent="0.2">
      <c r="B415" s="150"/>
      <c r="C415" s="150"/>
      <c r="D415" s="150"/>
      <c r="E415" s="150"/>
      <c r="F415" s="150"/>
      <c r="G415" s="150"/>
    </row>
    <row r="416" spans="2:7" ht="15.75" customHeight="1" x14ac:dyDescent="0.2">
      <c r="B416" s="150"/>
      <c r="C416" s="150"/>
      <c r="D416" s="150"/>
      <c r="E416" s="150"/>
      <c r="F416" s="150"/>
      <c r="G416" s="150"/>
    </row>
    <row r="417" spans="2:7" ht="15.75" customHeight="1" x14ac:dyDescent="0.2">
      <c r="B417" s="150"/>
      <c r="C417" s="150"/>
      <c r="D417" s="150"/>
      <c r="E417" s="150"/>
      <c r="F417" s="150"/>
      <c r="G417" s="150"/>
    </row>
    <row r="418" spans="2:7" ht="15.75" customHeight="1" x14ac:dyDescent="0.2">
      <c r="B418" s="150"/>
      <c r="C418" s="150"/>
      <c r="D418" s="150"/>
      <c r="E418" s="150"/>
      <c r="F418" s="150"/>
      <c r="G418" s="150"/>
    </row>
    <row r="419" spans="2:7" ht="15.75" customHeight="1" x14ac:dyDescent="0.2">
      <c r="B419" s="150"/>
      <c r="C419" s="150"/>
      <c r="D419" s="150"/>
      <c r="E419" s="150"/>
      <c r="F419" s="150"/>
      <c r="G419" s="150"/>
    </row>
    <row r="420" spans="2:7" ht="15.75" customHeight="1" x14ac:dyDescent="0.2">
      <c r="B420" s="150"/>
      <c r="C420" s="150"/>
      <c r="D420" s="150"/>
      <c r="E420" s="150"/>
      <c r="F420" s="150"/>
      <c r="G420" s="150"/>
    </row>
    <row r="421" spans="2:7" ht="15.75" customHeight="1" x14ac:dyDescent="0.2">
      <c r="B421" s="150"/>
      <c r="C421" s="150"/>
      <c r="D421" s="150"/>
      <c r="E421" s="150"/>
      <c r="F421" s="150"/>
      <c r="G421" s="150"/>
    </row>
    <row r="422" spans="2:7" ht="15.75" customHeight="1" x14ac:dyDescent="0.2">
      <c r="B422" s="150"/>
      <c r="C422" s="150"/>
      <c r="D422" s="150"/>
      <c r="E422" s="150"/>
      <c r="F422" s="150"/>
      <c r="G422" s="150"/>
    </row>
    <row r="423" spans="2:7" ht="15.75" customHeight="1" x14ac:dyDescent="0.2">
      <c r="B423" s="150"/>
      <c r="C423" s="150"/>
      <c r="D423" s="150"/>
      <c r="E423" s="150"/>
      <c r="F423" s="150"/>
      <c r="G423" s="150"/>
    </row>
    <row r="424" spans="2:7" ht="15.75" customHeight="1" x14ac:dyDescent="0.2">
      <c r="B424" s="150"/>
      <c r="C424" s="150"/>
      <c r="D424" s="150"/>
      <c r="E424" s="150"/>
      <c r="F424" s="150"/>
      <c r="G424" s="150"/>
    </row>
    <row r="425" spans="2:7" ht="15.75" customHeight="1" x14ac:dyDescent="0.2">
      <c r="B425" s="150"/>
      <c r="C425" s="150"/>
      <c r="D425" s="150"/>
      <c r="E425" s="150"/>
      <c r="F425" s="150"/>
      <c r="G425" s="150"/>
    </row>
    <row r="426" spans="2:7" ht="15.75" customHeight="1" x14ac:dyDescent="0.2">
      <c r="B426" s="150"/>
      <c r="C426" s="150"/>
      <c r="D426" s="150"/>
      <c r="E426" s="150"/>
      <c r="F426" s="150"/>
      <c r="G426" s="150"/>
    </row>
    <row r="427" spans="2:7" ht="15.75" customHeight="1" x14ac:dyDescent="0.2">
      <c r="B427" s="150"/>
      <c r="C427" s="150"/>
      <c r="D427" s="150"/>
      <c r="E427" s="150"/>
      <c r="F427" s="150"/>
      <c r="G427" s="150"/>
    </row>
    <row r="428" spans="2:7" ht="15.75" customHeight="1" x14ac:dyDescent="0.2">
      <c r="B428" s="150"/>
      <c r="C428" s="150"/>
      <c r="D428" s="150"/>
      <c r="E428" s="150"/>
      <c r="F428" s="150"/>
      <c r="G428" s="150"/>
    </row>
    <row r="429" spans="2:7" ht="15.75" customHeight="1" x14ac:dyDescent="0.2">
      <c r="B429" s="150"/>
      <c r="C429" s="150"/>
      <c r="D429" s="150"/>
      <c r="E429" s="150"/>
      <c r="F429" s="150"/>
      <c r="G429" s="150"/>
    </row>
    <row r="430" spans="2:7" ht="15.75" customHeight="1" x14ac:dyDescent="0.2">
      <c r="B430" s="150"/>
      <c r="C430" s="150"/>
      <c r="D430" s="150"/>
      <c r="E430" s="150"/>
      <c r="F430" s="150"/>
      <c r="G430" s="150"/>
    </row>
    <row r="431" spans="2:7" ht="15.75" customHeight="1" x14ac:dyDescent="0.2">
      <c r="B431" s="150"/>
      <c r="C431" s="150"/>
      <c r="D431" s="150"/>
      <c r="E431" s="150"/>
      <c r="F431" s="150"/>
      <c r="G431" s="150"/>
    </row>
    <row r="432" spans="2:7" ht="15.75" customHeight="1" x14ac:dyDescent="0.2">
      <c r="B432" s="150"/>
      <c r="C432" s="150"/>
      <c r="D432" s="150"/>
      <c r="E432" s="150"/>
      <c r="F432" s="150"/>
      <c r="G432" s="150"/>
    </row>
    <row r="433" spans="2:7" ht="15.75" customHeight="1" x14ac:dyDescent="0.2">
      <c r="B433" s="150"/>
      <c r="C433" s="150"/>
      <c r="D433" s="150"/>
      <c r="E433" s="150"/>
      <c r="F433" s="150"/>
      <c r="G433" s="150"/>
    </row>
    <row r="434" spans="2:7" ht="15.75" customHeight="1" x14ac:dyDescent="0.2">
      <c r="B434" s="150"/>
      <c r="C434" s="150"/>
      <c r="D434" s="150"/>
      <c r="E434" s="150"/>
      <c r="F434" s="150"/>
      <c r="G434" s="150"/>
    </row>
    <row r="435" spans="2:7" ht="15.75" customHeight="1" x14ac:dyDescent="0.2">
      <c r="B435" s="150"/>
      <c r="C435" s="150"/>
      <c r="D435" s="150"/>
      <c r="E435" s="150"/>
      <c r="F435" s="150"/>
      <c r="G435" s="150"/>
    </row>
    <row r="436" spans="2:7" ht="15.75" customHeight="1" x14ac:dyDescent="0.2">
      <c r="B436" s="150"/>
      <c r="C436" s="150"/>
      <c r="D436" s="150"/>
      <c r="E436" s="150"/>
      <c r="F436" s="150"/>
      <c r="G436" s="150"/>
    </row>
    <row r="437" spans="2:7" ht="15.75" customHeight="1" x14ac:dyDescent="0.2">
      <c r="B437" s="150"/>
      <c r="C437" s="150"/>
      <c r="D437" s="150"/>
      <c r="E437" s="150"/>
      <c r="F437" s="150"/>
      <c r="G437" s="150"/>
    </row>
    <row r="438" spans="2:7" ht="15.75" customHeight="1" x14ac:dyDescent="0.2">
      <c r="B438" s="150"/>
      <c r="C438" s="150"/>
      <c r="D438" s="150"/>
      <c r="E438" s="150"/>
      <c r="F438" s="150"/>
      <c r="G438" s="150"/>
    </row>
    <row r="439" spans="2:7" ht="15.75" customHeight="1" x14ac:dyDescent="0.2">
      <c r="B439" s="150"/>
      <c r="C439" s="150"/>
      <c r="D439" s="150"/>
      <c r="E439" s="150"/>
      <c r="F439" s="150"/>
      <c r="G439" s="150"/>
    </row>
    <row r="440" spans="2:7" ht="15.75" customHeight="1" x14ac:dyDescent="0.2">
      <c r="B440" s="150"/>
      <c r="C440" s="150"/>
      <c r="D440" s="150"/>
      <c r="E440" s="150"/>
      <c r="F440" s="150"/>
      <c r="G440" s="150"/>
    </row>
    <row r="441" spans="2:7" ht="15.75" customHeight="1" x14ac:dyDescent="0.2">
      <c r="B441" s="150"/>
      <c r="C441" s="150"/>
      <c r="D441" s="150"/>
      <c r="E441" s="150"/>
      <c r="F441" s="150"/>
      <c r="G441" s="150"/>
    </row>
    <row r="442" spans="2:7" ht="15.75" customHeight="1" x14ac:dyDescent="0.2">
      <c r="B442" s="150"/>
      <c r="C442" s="150"/>
      <c r="D442" s="150"/>
      <c r="E442" s="150"/>
      <c r="F442" s="150"/>
      <c r="G442" s="150"/>
    </row>
    <row r="443" spans="2:7" ht="15.75" customHeight="1" x14ac:dyDescent="0.2">
      <c r="B443" s="150"/>
      <c r="C443" s="150"/>
      <c r="D443" s="150"/>
      <c r="E443" s="150"/>
      <c r="F443" s="150"/>
      <c r="G443" s="150"/>
    </row>
    <row r="444" spans="2:7" ht="15.75" customHeight="1" x14ac:dyDescent="0.2">
      <c r="B444" s="150"/>
      <c r="C444" s="150"/>
      <c r="D444" s="150"/>
      <c r="E444" s="150"/>
      <c r="F444" s="150"/>
      <c r="G444" s="150"/>
    </row>
    <row r="445" spans="2:7" ht="15.75" customHeight="1" x14ac:dyDescent="0.2">
      <c r="B445" s="150"/>
      <c r="C445" s="150"/>
      <c r="D445" s="150"/>
      <c r="E445" s="150"/>
      <c r="F445" s="150"/>
      <c r="G445" s="150"/>
    </row>
    <row r="446" spans="2:7" ht="15.75" customHeight="1" x14ac:dyDescent="0.2">
      <c r="B446" s="150"/>
      <c r="C446" s="150"/>
      <c r="D446" s="150"/>
      <c r="E446" s="150"/>
      <c r="F446" s="150"/>
      <c r="G446" s="150"/>
    </row>
    <row r="447" spans="2:7" ht="15.75" customHeight="1" x14ac:dyDescent="0.2">
      <c r="B447" s="150"/>
      <c r="C447" s="150"/>
      <c r="D447" s="150"/>
      <c r="E447" s="150"/>
      <c r="F447" s="150"/>
      <c r="G447" s="150"/>
    </row>
    <row r="448" spans="2:7" ht="15.75" customHeight="1" x14ac:dyDescent="0.2">
      <c r="B448" s="150"/>
      <c r="C448" s="150"/>
      <c r="D448" s="150"/>
      <c r="E448" s="150"/>
      <c r="F448" s="150"/>
      <c r="G448" s="150"/>
    </row>
    <row r="449" spans="2:7" ht="15.75" customHeight="1" x14ac:dyDescent="0.2">
      <c r="B449" s="150"/>
      <c r="C449" s="150"/>
      <c r="D449" s="150"/>
      <c r="E449" s="150"/>
      <c r="F449" s="150"/>
      <c r="G449" s="150"/>
    </row>
    <row r="450" spans="2:7" ht="15.75" customHeight="1" x14ac:dyDescent="0.2">
      <c r="B450" s="150"/>
      <c r="C450" s="150"/>
      <c r="D450" s="150"/>
      <c r="E450" s="150"/>
      <c r="F450" s="150"/>
      <c r="G450" s="150"/>
    </row>
    <row r="451" spans="2:7" ht="15.75" customHeight="1" x14ac:dyDescent="0.2">
      <c r="B451" s="150"/>
      <c r="C451" s="150"/>
      <c r="D451" s="150"/>
      <c r="E451" s="150"/>
      <c r="F451" s="150"/>
      <c r="G451" s="150"/>
    </row>
    <row r="452" spans="2:7" ht="15.75" customHeight="1" x14ac:dyDescent="0.2">
      <c r="B452" s="150"/>
      <c r="C452" s="150"/>
      <c r="D452" s="150"/>
      <c r="E452" s="150"/>
      <c r="F452" s="150"/>
      <c r="G452" s="150"/>
    </row>
    <row r="453" spans="2:7" ht="15.75" customHeight="1" x14ac:dyDescent="0.2">
      <c r="B453" s="150"/>
      <c r="C453" s="150"/>
      <c r="D453" s="150"/>
      <c r="E453" s="150"/>
      <c r="F453" s="150"/>
      <c r="G453" s="150"/>
    </row>
    <row r="454" spans="2:7" ht="15.75" customHeight="1" x14ac:dyDescent="0.2">
      <c r="B454" s="150"/>
      <c r="C454" s="150"/>
      <c r="D454" s="150"/>
      <c r="E454" s="150"/>
      <c r="F454" s="150"/>
      <c r="G454" s="150"/>
    </row>
    <row r="455" spans="2:7" ht="15.75" customHeight="1" x14ac:dyDescent="0.2">
      <c r="B455" s="150"/>
      <c r="C455" s="150"/>
      <c r="D455" s="150"/>
      <c r="E455" s="150"/>
      <c r="F455" s="150"/>
      <c r="G455" s="150"/>
    </row>
    <row r="456" spans="2:7" ht="15.75" customHeight="1" x14ac:dyDescent="0.2">
      <c r="B456" s="150"/>
      <c r="C456" s="150"/>
      <c r="D456" s="150"/>
      <c r="E456" s="150"/>
      <c r="F456" s="150"/>
      <c r="G456" s="150"/>
    </row>
    <row r="457" spans="2:7" ht="15.75" customHeight="1" x14ac:dyDescent="0.2">
      <c r="B457" s="150"/>
      <c r="C457" s="150"/>
      <c r="D457" s="150"/>
      <c r="E457" s="150"/>
      <c r="F457" s="150"/>
      <c r="G457" s="150"/>
    </row>
    <row r="458" spans="2:7" ht="15.75" customHeight="1" x14ac:dyDescent="0.2">
      <c r="B458" s="150"/>
      <c r="C458" s="150"/>
      <c r="D458" s="150"/>
      <c r="E458" s="150"/>
      <c r="F458" s="150"/>
      <c r="G458" s="150"/>
    </row>
    <row r="459" spans="2:7" ht="15.75" customHeight="1" x14ac:dyDescent="0.2">
      <c r="B459" s="150"/>
      <c r="C459" s="150"/>
      <c r="D459" s="150"/>
      <c r="E459" s="150"/>
      <c r="F459" s="150"/>
      <c r="G459" s="150"/>
    </row>
    <row r="460" spans="2:7" ht="15.75" customHeight="1" x14ac:dyDescent="0.2">
      <c r="B460" s="150"/>
      <c r="C460" s="150"/>
      <c r="D460" s="150"/>
      <c r="E460" s="150"/>
      <c r="F460" s="150"/>
      <c r="G460" s="150"/>
    </row>
    <row r="461" spans="2:7" ht="15.75" customHeight="1" x14ac:dyDescent="0.2">
      <c r="B461" s="150"/>
      <c r="C461" s="150"/>
      <c r="D461" s="150"/>
      <c r="E461" s="150"/>
      <c r="F461" s="150"/>
      <c r="G461" s="150"/>
    </row>
    <row r="462" spans="2:7" ht="15.75" customHeight="1" x14ac:dyDescent="0.2">
      <c r="B462" s="150"/>
      <c r="C462" s="150"/>
      <c r="D462" s="150"/>
      <c r="E462" s="150"/>
      <c r="F462" s="150"/>
      <c r="G462" s="150"/>
    </row>
    <row r="463" spans="2:7" ht="15.75" customHeight="1" x14ac:dyDescent="0.2">
      <c r="B463" s="150"/>
      <c r="C463" s="150"/>
      <c r="D463" s="150"/>
      <c r="E463" s="150"/>
      <c r="F463" s="150"/>
      <c r="G463" s="150"/>
    </row>
    <row r="464" spans="2:7" ht="15.75" customHeight="1" x14ac:dyDescent="0.2">
      <c r="B464" s="150"/>
      <c r="C464" s="150"/>
      <c r="D464" s="150"/>
      <c r="E464" s="150"/>
      <c r="F464" s="150"/>
      <c r="G464" s="150"/>
    </row>
    <row r="465" spans="2:7" ht="15.75" customHeight="1" x14ac:dyDescent="0.2">
      <c r="B465" s="150"/>
      <c r="C465" s="150"/>
      <c r="D465" s="150"/>
      <c r="E465" s="150"/>
      <c r="F465" s="150"/>
      <c r="G465" s="150"/>
    </row>
    <row r="466" spans="2:7" ht="15.75" customHeight="1" x14ac:dyDescent="0.2">
      <c r="B466" s="150"/>
      <c r="C466" s="150"/>
      <c r="D466" s="150"/>
      <c r="E466" s="150"/>
      <c r="F466" s="150"/>
      <c r="G466" s="150"/>
    </row>
    <row r="467" spans="2:7" ht="15.75" customHeight="1" x14ac:dyDescent="0.2">
      <c r="B467" s="150"/>
      <c r="C467" s="150"/>
      <c r="D467" s="150"/>
      <c r="E467" s="150"/>
      <c r="F467" s="150"/>
      <c r="G467" s="150"/>
    </row>
    <row r="468" spans="2:7" ht="15.75" customHeight="1" x14ac:dyDescent="0.2">
      <c r="B468" s="150"/>
      <c r="C468" s="150"/>
      <c r="D468" s="150"/>
      <c r="E468" s="150"/>
      <c r="F468" s="150"/>
      <c r="G468" s="150"/>
    </row>
    <row r="469" spans="2:7" ht="15.75" customHeight="1" x14ac:dyDescent="0.2">
      <c r="B469" s="150"/>
      <c r="C469" s="150"/>
      <c r="D469" s="150"/>
      <c r="E469" s="150"/>
      <c r="F469" s="150"/>
      <c r="G469" s="150"/>
    </row>
    <row r="470" spans="2:7" ht="15.75" customHeight="1" x14ac:dyDescent="0.2">
      <c r="B470" s="150"/>
      <c r="C470" s="150"/>
      <c r="D470" s="150"/>
      <c r="E470" s="150"/>
      <c r="F470" s="150"/>
      <c r="G470" s="150"/>
    </row>
    <row r="471" spans="2:7" ht="15.75" customHeight="1" x14ac:dyDescent="0.2">
      <c r="B471" s="150"/>
      <c r="C471" s="150"/>
      <c r="D471" s="150"/>
      <c r="E471" s="150"/>
      <c r="F471" s="150"/>
      <c r="G471" s="150"/>
    </row>
    <row r="472" spans="2:7" ht="15.75" customHeight="1" x14ac:dyDescent="0.2">
      <c r="B472" s="150"/>
      <c r="C472" s="150"/>
      <c r="D472" s="150"/>
      <c r="E472" s="150"/>
      <c r="F472" s="150"/>
      <c r="G472" s="150"/>
    </row>
    <row r="473" spans="2:7" ht="15.75" customHeight="1" x14ac:dyDescent="0.2">
      <c r="B473" s="150"/>
      <c r="C473" s="150"/>
      <c r="D473" s="150"/>
      <c r="E473" s="150"/>
      <c r="F473" s="150"/>
      <c r="G473" s="150"/>
    </row>
    <row r="474" spans="2:7" ht="15.75" customHeight="1" x14ac:dyDescent="0.2">
      <c r="B474" s="150"/>
      <c r="C474" s="150"/>
      <c r="D474" s="150"/>
      <c r="E474" s="150"/>
      <c r="F474" s="150"/>
      <c r="G474" s="150"/>
    </row>
    <row r="475" spans="2:7" ht="15.75" customHeight="1" x14ac:dyDescent="0.2">
      <c r="B475" s="150"/>
      <c r="C475" s="150"/>
      <c r="D475" s="150"/>
      <c r="E475" s="150"/>
      <c r="F475" s="150"/>
      <c r="G475" s="150"/>
    </row>
    <row r="476" spans="2:7" ht="15.75" customHeight="1" x14ac:dyDescent="0.2">
      <c r="B476" s="150"/>
      <c r="C476" s="150"/>
      <c r="D476" s="150"/>
      <c r="E476" s="150"/>
      <c r="F476" s="150"/>
      <c r="G476" s="150"/>
    </row>
    <row r="477" spans="2:7" ht="15.75" customHeight="1" x14ac:dyDescent="0.2">
      <c r="B477" s="150"/>
      <c r="C477" s="150"/>
      <c r="D477" s="150"/>
      <c r="E477" s="150"/>
      <c r="F477" s="150"/>
      <c r="G477" s="150"/>
    </row>
    <row r="478" spans="2:7" ht="15.75" customHeight="1" x14ac:dyDescent="0.2">
      <c r="B478" s="150"/>
      <c r="C478" s="150"/>
      <c r="D478" s="150"/>
      <c r="E478" s="150"/>
      <c r="F478" s="150"/>
      <c r="G478" s="150"/>
    </row>
    <row r="479" spans="2:7" ht="15.75" customHeight="1" x14ac:dyDescent="0.2">
      <c r="B479" s="150"/>
      <c r="C479" s="150"/>
      <c r="D479" s="150"/>
      <c r="E479" s="150"/>
      <c r="F479" s="150"/>
      <c r="G479" s="150"/>
    </row>
    <row r="480" spans="2:7" ht="15.75" customHeight="1" x14ac:dyDescent="0.2">
      <c r="B480" s="150"/>
      <c r="C480" s="150"/>
      <c r="D480" s="150"/>
      <c r="E480" s="150"/>
      <c r="F480" s="150"/>
      <c r="G480" s="150"/>
    </row>
    <row r="481" spans="2:7" ht="15.75" customHeight="1" x14ac:dyDescent="0.2">
      <c r="B481" s="150"/>
      <c r="C481" s="150"/>
      <c r="D481" s="150"/>
      <c r="E481" s="150"/>
      <c r="F481" s="150"/>
      <c r="G481" s="150"/>
    </row>
    <row r="482" spans="2:7" ht="15.75" customHeight="1" x14ac:dyDescent="0.2">
      <c r="B482" s="150"/>
      <c r="C482" s="150"/>
      <c r="D482" s="150"/>
      <c r="E482" s="150"/>
      <c r="F482" s="150"/>
      <c r="G482" s="150"/>
    </row>
    <row r="483" spans="2:7" ht="15.75" customHeight="1" x14ac:dyDescent="0.2">
      <c r="B483" s="150"/>
      <c r="C483" s="150"/>
      <c r="D483" s="150"/>
      <c r="E483" s="150"/>
      <c r="F483" s="150"/>
      <c r="G483" s="150"/>
    </row>
    <row r="484" spans="2:7" ht="15.75" customHeight="1" x14ac:dyDescent="0.2">
      <c r="B484" s="150"/>
      <c r="C484" s="150"/>
      <c r="D484" s="150"/>
      <c r="E484" s="150"/>
      <c r="F484" s="150"/>
      <c r="G484" s="150"/>
    </row>
    <row r="485" spans="2:7" ht="15.75" customHeight="1" x14ac:dyDescent="0.2">
      <c r="B485" s="150"/>
      <c r="C485" s="150"/>
      <c r="D485" s="150"/>
      <c r="E485" s="150"/>
      <c r="F485" s="150"/>
      <c r="G485" s="150"/>
    </row>
    <row r="486" spans="2:7" ht="15.75" customHeight="1" x14ac:dyDescent="0.2">
      <c r="B486" s="150"/>
      <c r="C486" s="150"/>
      <c r="D486" s="150"/>
      <c r="E486" s="150"/>
      <c r="F486" s="150"/>
      <c r="G486" s="150"/>
    </row>
    <row r="487" spans="2:7" ht="15.75" customHeight="1" x14ac:dyDescent="0.2">
      <c r="B487" s="150"/>
      <c r="C487" s="150"/>
      <c r="D487" s="150"/>
      <c r="E487" s="150"/>
      <c r="F487" s="150"/>
      <c r="G487" s="150"/>
    </row>
    <row r="488" spans="2:7" ht="15.75" customHeight="1" x14ac:dyDescent="0.2">
      <c r="B488" s="150"/>
      <c r="C488" s="150"/>
      <c r="D488" s="150"/>
      <c r="E488" s="150"/>
      <c r="F488" s="150"/>
      <c r="G488" s="150"/>
    </row>
    <row r="489" spans="2:7" ht="15.75" customHeight="1" x14ac:dyDescent="0.2">
      <c r="B489" s="150"/>
      <c r="C489" s="150"/>
      <c r="D489" s="150"/>
      <c r="E489" s="150"/>
      <c r="F489" s="150"/>
      <c r="G489" s="150"/>
    </row>
    <row r="490" spans="2:7" ht="15.75" customHeight="1" x14ac:dyDescent="0.2">
      <c r="B490" s="150"/>
      <c r="C490" s="150"/>
      <c r="D490" s="150"/>
      <c r="E490" s="150"/>
      <c r="F490" s="150"/>
      <c r="G490" s="150"/>
    </row>
    <row r="491" spans="2:7" ht="15.75" customHeight="1" x14ac:dyDescent="0.2">
      <c r="B491" s="150"/>
      <c r="C491" s="150"/>
      <c r="D491" s="150"/>
      <c r="E491" s="150"/>
      <c r="F491" s="150"/>
      <c r="G491" s="150"/>
    </row>
    <row r="492" spans="2:7" ht="15.75" customHeight="1" x14ac:dyDescent="0.2">
      <c r="B492" s="150"/>
      <c r="C492" s="150"/>
      <c r="D492" s="150"/>
      <c r="E492" s="150"/>
      <c r="F492" s="150"/>
      <c r="G492" s="150"/>
    </row>
    <row r="493" spans="2:7" ht="15.75" customHeight="1" x14ac:dyDescent="0.2">
      <c r="B493" s="150"/>
      <c r="C493" s="150"/>
      <c r="D493" s="150"/>
      <c r="E493" s="150"/>
      <c r="F493" s="150"/>
      <c r="G493" s="150"/>
    </row>
    <row r="494" spans="2:7" ht="15.75" customHeight="1" x14ac:dyDescent="0.2">
      <c r="B494" s="150"/>
      <c r="C494" s="150"/>
      <c r="D494" s="150"/>
      <c r="E494" s="150"/>
      <c r="F494" s="150"/>
      <c r="G494" s="150"/>
    </row>
    <row r="495" spans="2:7" ht="15.75" customHeight="1" x14ac:dyDescent="0.2">
      <c r="B495" s="150"/>
      <c r="C495" s="150"/>
      <c r="D495" s="150"/>
      <c r="E495" s="150"/>
      <c r="F495" s="150"/>
      <c r="G495" s="150"/>
    </row>
    <row r="496" spans="2:7" ht="15.75" customHeight="1" x14ac:dyDescent="0.2">
      <c r="B496" s="150"/>
      <c r="C496" s="150"/>
      <c r="D496" s="150"/>
      <c r="E496" s="150"/>
      <c r="F496" s="150"/>
      <c r="G496" s="150"/>
    </row>
    <row r="497" spans="2:7" ht="15.75" customHeight="1" x14ac:dyDescent="0.2">
      <c r="B497" s="150"/>
      <c r="C497" s="150"/>
      <c r="D497" s="150"/>
      <c r="E497" s="150"/>
      <c r="F497" s="150"/>
      <c r="G497" s="150"/>
    </row>
    <row r="498" spans="2:7" ht="15.75" customHeight="1" x14ac:dyDescent="0.2">
      <c r="B498" s="150"/>
      <c r="C498" s="150"/>
      <c r="D498" s="150"/>
      <c r="E498" s="150"/>
      <c r="F498" s="150"/>
      <c r="G498" s="150"/>
    </row>
    <row r="499" spans="2:7" ht="15.75" customHeight="1" x14ac:dyDescent="0.2">
      <c r="B499" s="150"/>
      <c r="C499" s="150"/>
      <c r="D499" s="150"/>
      <c r="E499" s="150"/>
      <c r="F499" s="150"/>
      <c r="G499" s="150"/>
    </row>
    <row r="500" spans="2:7" ht="15.75" customHeight="1" x14ac:dyDescent="0.2">
      <c r="B500" s="150"/>
      <c r="C500" s="150"/>
      <c r="D500" s="150"/>
      <c r="E500" s="150"/>
      <c r="F500" s="150"/>
      <c r="G500" s="150"/>
    </row>
    <row r="501" spans="2:7" ht="15.75" customHeight="1" x14ac:dyDescent="0.2">
      <c r="B501" s="150"/>
      <c r="C501" s="150"/>
      <c r="D501" s="150"/>
      <c r="E501" s="150"/>
      <c r="F501" s="150"/>
      <c r="G501" s="150"/>
    </row>
    <row r="502" spans="2:7" ht="15.75" customHeight="1" x14ac:dyDescent="0.2">
      <c r="B502" s="150"/>
      <c r="C502" s="150"/>
      <c r="D502" s="150"/>
      <c r="E502" s="150"/>
      <c r="F502" s="150"/>
      <c r="G502" s="150"/>
    </row>
    <row r="503" spans="2:7" ht="15.75" customHeight="1" x14ac:dyDescent="0.2">
      <c r="B503" s="150"/>
      <c r="C503" s="150"/>
      <c r="D503" s="150"/>
      <c r="E503" s="150"/>
      <c r="F503" s="150"/>
      <c r="G503" s="150"/>
    </row>
    <row r="504" spans="2:7" ht="15.75" customHeight="1" x14ac:dyDescent="0.2">
      <c r="B504" s="150"/>
      <c r="C504" s="150"/>
      <c r="D504" s="150"/>
      <c r="E504" s="150"/>
      <c r="F504" s="150"/>
      <c r="G504" s="150"/>
    </row>
    <row r="505" spans="2:7" ht="15.75" customHeight="1" x14ac:dyDescent="0.2">
      <c r="B505" s="150"/>
      <c r="C505" s="150"/>
      <c r="D505" s="150"/>
      <c r="E505" s="150"/>
      <c r="F505" s="150"/>
      <c r="G505" s="150"/>
    </row>
    <row r="506" spans="2:7" ht="15.75" customHeight="1" x14ac:dyDescent="0.2">
      <c r="B506" s="150"/>
      <c r="C506" s="150"/>
      <c r="D506" s="150"/>
      <c r="E506" s="150"/>
      <c r="F506" s="150"/>
      <c r="G506" s="150"/>
    </row>
    <row r="507" spans="2:7" ht="15.75" customHeight="1" x14ac:dyDescent="0.2">
      <c r="B507" s="150"/>
      <c r="C507" s="150"/>
      <c r="D507" s="150"/>
      <c r="E507" s="150"/>
      <c r="F507" s="150"/>
      <c r="G507" s="150"/>
    </row>
    <row r="508" spans="2:7" ht="15.75" customHeight="1" x14ac:dyDescent="0.2">
      <c r="B508" s="150"/>
      <c r="C508" s="150"/>
      <c r="D508" s="150"/>
      <c r="E508" s="150"/>
      <c r="F508" s="150"/>
      <c r="G508" s="150"/>
    </row>
    <row r="509" spans="2:7" ht="15.75" customHeight="1" x14ac:dyDescent="0.2">
      <c r="B509" s="150"/>
      <c r="C509" s="150"/>
      <c r="D509" s="150"/>
      <c r="E509" s="150"/>
      <c r="F509" s="150"/>
      <c r="G509" s="150"/>
    </row>
    <row r="510" spans="2:7" ht="15.75" customHeight="1" x14ac:dyDescent="0.2">
      <c r="B510" s="150"/>
      <c r="C510" s="150"/>
      <c r="D510" s="150"/>
      <c r="E510" s="150"/>
      <c r="F510" s="150"/>
      <c r="G510" s="150"/>
    </row>
    <row r="511" spans="2:7" ht="15.75" customHeight="1" x14ac:dyDescent="0.2">
      <c r="B511" s="150"/>
      <c r="C511" s="150"/>
      <c r="D511" s="150"/>
      <c r="E511" s="150"/>
      <c r="F511" s="150"/>
      <c r="G511" s="150"/>
    </row>
    <row r="512" spans="2:7" ht="15.75" customHeight="1" x14ac:dyDescent="0.2">
      <c r="B512" s="150"/>
      <c r="C512" s="150"/>
      <c r="D512" s="150"/>
      <c r="E512" s="150"/>
      <c r="F512" s="150"/>
      <c r="G512" s="150"/>
    </row>
    <row r="513" spans="2:7" ht="15.75" customHeight="1" x14ac:dyDescent="0.2">
      <c r="B513" s="150"/>
      <c r="C513" s="150"/>
      <c r="D513" s="150"/>
      <c r="E513" s="150"/>
      <c r="F513" s="150"/>
      <c r="G513" s="150"/>
    </row>
    <row r="514" spans="2:7" ht="15.75" customHeight="1" x14ac:dyDescent="0.2">
      <c r="B514" s="150"/>
      <c r="C514" s="150"/>
      <c r="D514" s="150"/>
      <c r="E514" s="150"/>
      <c r="F514" s="150"/>
      <c r="G514" s="150"/>
    </row>
    <row r="515" spans="2:7" ht="15.75" customHeight="1" x14ac:dyDescent="0.2">
      <c r="B515" s="150"/>
      <c r="C515" s="150"/>
      <c r="D515" s="150"/>
      <c r="E515" s="150"/>
      <c r="F515" s="150"/>
      <c r="G515" s="150"/>
    </row>
    <row r="516" spans="2:7" ht="15.75" customHeight="1" x14ac:dyDescent="0.2">
      <c r="B516" s="150"/>
      <c r="C516" s="150"/>
      <c r="D516" s="150"/>
      <c r="E516" s="150"/>
      <c r="F516" s="150"/>
      <c r="G516" s="150"/>
    </row>
    <row r="517" spans="2:7" ht="15.75" customHeight="1" x14ac:dyDescent="0.2">
      <c r="B517" s="150"/>
      <c r="C517" s="150"/>
      <c r="D517" s="150"/>
      <c r="E517" s="150"/>
      <c r="F517" s="150"/>
      <c r="G517" s="150"/>
    </row>
    <row r="518" spans="2:7" ht="15.75" customHeight="1" x14ac:dyDescent="0.2">
      <c r="B518" s="150"/>
      <c r="C518" s="150"/>
      <c r="D518" s="150"/>
      <c r="E518" s="150"/>
      <c r="F518" s="150"/>
      <c r="G518" s="150"/>
    </row>
    <row r="519" spans="2:7" ht="15.75" customHeight="1" x14ac:dyDescent="0.2">
      <c r="B519" s="150"/>
      <c r="C519" s="150"/>
      <c r="D519" s="150"/>
      <c r="E519" s="150"/>
      <c r="F519" s="150"/>
      <c r="G519" s="150"/>
    </row>
    <row r="520" spans="2:7" ht="15.75" customHeight="1" x14ac:dyDescent="0.2">
      <c r="B520" s="150"/>
      <c r="C520" s="150"/>
      <c r="D520" s="150"/>
      <c r="E520" s="150"/>
      <c r="F520" s="150"/>
      <c r="G520" s="150"/>
    </row>
    <row r="521" spans="2:7" ht="15.75" customHeight="1" x14ac:dyDescent="0.2">
      <c r="B521" s="150"/>
      <c r="C521" s="150"/>
      <c r="D521" s="150"/>
      <c r="E521" s="150"/>
      <c r="F521" s="150"/>
      <c r="G521" s="150"/>
    </row>
    <row r="522" spans="2:7" ht="15.75" customHeight="1" x14ac:dyDescent="0.2">
      <c r="B522" s="150"/>
      <c r="C522" s="150"/>
      <c r="D522" s="150"/>
      <c r="E522" s="150"/>
      <c r="F522" s="150"/>
      <c r="G522" s="150"/>
    </row>
    <row r="523" spans="2:7" ht="15.75" customHeight="1" x14ac:dyDescent="0.2">
      <c r="B523" s="150"/>
      <c r="C523" s="150"/>
      <c r="D523" s="150"/>
      <c r="E523" s="150"/>
      <c r="F523" s="150"/>
      <c r="G523" s="150"/>
    </row>
    <row r="524" spans="2:7" ht="15.75" customHeight="1" x14ac:dyDescent="0.2">
      <c r="B524" s="150"/>
      <c r="C524" s="150"/>
      <c r="D524" s="150"/>
      <c r="E524" s="150"/>
      <c r="F524" s="150"/>
      <c r="G524" s="150"/>
    </row>
    <row r="525" spans="2:7" ht="15.75" customHeight="1" x14ac:dyDescent="0.2">
      <c r="B525" s="150"/>
      <c r="C525" s="150"/>
      <c r="D525" s="150"/>
      <c r="E525" s="150"/>
      <c r="F525" s="150"/>
      <c r="G525" s="150"/>
    </row>
    <row r="526" spans="2:7" ht="15.75" customHeight="1" x14ac:dyDescent="0.2">
      <c r="B526" s="150"/>
      <c r="C526" s="150"/>
      <c r="D526" s="150"/>
      <c r="E526" s="150"/>
      <c r="F526" s="150"/>
      <c r="G526" s="150"/>
    </row>
    <row r="527" spans="2:7" ht="15.75" customHeight="1" x14ac:dyDescent="0.2">
      <c r="B527" s="150"/>
      <c r="C527" s="150"/>
      <c r="D527" s="150"/>
      <c r="E527" s="150"/>
      <c r="F527" s="150"/>
      <c r="G527" s="150"/>
    </row>
    <row r="528" spans="2:7" ht="15.75" customHeight="1" x14ac:dyDescent="0.2">
      <c r="B528" s="150"/>
      <c r="C528" s="150"/>
      <c r="D528" s="150"/>
      <c r="E528" s="150"/>
      <c r="F528" s="150"/>
      <c r="G528" s="150"/>
    </row>
    <row r="529" spans="2:7" ht="15.75" customHeight="1" x14ac:dyDescent="0.2">
      <c r="B529" s="150"/>
      <c r="C529" s="150"/>
      <c r="D529" s="150"/>
      <c r="E529" s="150"/>
      <c r="F529" s="150"/>
      <c r="G529" s="150"/>
    </row>
    <row r="530" spans="2:7" ht="15.75" customHeight="1" x14ac:dyDescent="0.2">
      <c r="B530" s="150"/>
      <c r="C530" s="150"/>
      <c r="D530" s="150"/>
      <c r="E530" s="150"/>
      <c r="F530" s="150"/>
      <c r="G530" s="150"/>
    </row>
    <row r="531" spans="2:7" ht="15.75" customHeight="1" x14ac:dyDescent="0.2">
      <c r="B531" s="150"/>
      <c r="C531" s="150"/>
      <c r="D531" s="150"/>
      <c r="E531" s="150"/>
      <c r="F531" s="150"/>
      <c r="G531" s="150"/>
    </row>
    <row r="532" spans="2:7" ht="15.75" customHeight="1" x14ac:dyDescent="0.2">
      <c r="B532" s="150"/>
      <c r="C532" s="150"/>
      <c r="D532" s="150"/>
      <c r="E532" s="150"/>
      <c r="F532" s="150"/>
      <c r="G532" s="150"/>
    </row>
    <row r="533" spans="2:7" ht="15.75" customHeight="1" x14ac:dyDescent="0.2">
      <c r="B533" s="150"/>
      <c r="C533" s="150"/>
      <c r="D533" s="150"/>
      <c r="E533" s="150"/>
      <c r="F533" s="150"/>
      <c r="G533" s="150"/>
    </row>
    <row r="534" spans="2:7" ht="15.75" customHeight="1" x14ac:dyDescent="0.2">
      <c r="B534" s="150"/>
      <c r="C534" s="150"/>
      <c r="D534" s="150"/>
      <c r="E534" s="150"/>
      <c r="F534" s="150"/>
      <c r="G534" s="150"/>
    </row>
    <row r="535" spans="2:7" ht="15.75" customHeight="1" x14ac:dyDescent="0.2">
      <c r="B535" s="150"/>
      <c r="C535" s="150"/>
      <c r="D535" s="150"/>
      <c r="E535" s="150"/>
      <c r="F535" s="150"/>
      <c r="G535" s="150"/>
    </row>
    <row r="536" spans="2:7" ht="15.75" customHeight="1" x14ac:dyDescent="0.2">
      <c r="B536" s="150"/>
      <c r="C536" s="150"/>
      <c r="D536" s="150"/>
      <c r="E536" s="150"/>
      <c r="F536" s="150"/>
      <c r="G536" s="150"/>
    </row>
    <row r="537" spans="2:7" ht="15.75" customHeight="1" x14ac:dyDescent="0.2">
      <c r="B537" s="150"/>
      <c r="C537" s="150"/>
      <c r="D537" s="150"/>
      <c r="E537" s="150"/>
      <c r="F537" s="150"/>
      <c r="G537" s="150"/>
    </row>
    <row r="538" spans="2:7" ht="15.75" customHeight="1" x14ac:dyDescent="0.2">
      <c r="B538" s="150"/>
      <c r="C538" s="150"/>
      <c r="D538" s="150"/>
      <c r="E538" s="150"/>
      <c r="F538" s="150"/>
      <c r="G538" s="150"/>
    </row>
    <row r="539" spans="2:7" ht="15.75" customHeight="1" x14ac:dyDescent="0.2">
      <c r="B539" s="150"/>
      <c r="C539" s="150"/>
      <c r="D539" s="150"/>
      <c r="E539" s="150"/>
      <c r="F539" s="150"/>
      <c r="G539" s="150"/>
    </row>
    <row r="540" spans="2:7" ht="15.75" customHeight="1" x14ac:dyDescent="0.2">
      <c r="B540" s="150"/>
      <c r="C540" s="150"/>
      <c r="D540" s="150"/>
      <c r="E540" s="150"/>
      <c r="F540" s="150"/>
      <c r="G540" s="150"/>
    </row>
    <row r="541" spans="2:7" ht="15.75" customHeight="1" x14ac:dyDescent="0.2">
      <c r="B541" s="150"/>
      <c r="C541" s="150"/>
      <c r="D541" s="150"/>
      <c r="E541" s="150"/>
      <c r="F541" s="150"/>
      <c r="G541" s="150"/>
    </row>
    <row r="542" spans="2:7" ht="15.75" customHeight="1" x14ac:dyDescent="0.2">
      <c r="B542" s="150"/>
      <c r="C542" s="150"/>
      <c r="D542" s="150"/>
      <c r="E542" s="150"/>
      <c r="F542" s="150"/>
      <c r="G542" s="150"/>
    </row>
    <row r="543" spans="2:7" ht="15.75" customHeight="1" x14ac:dyDescent="0.2">
      <c r="B543" s="150"/>
      <c r="C543" s="150"/>
      <c r="D543" s="150"/>
      <c r="E543" s="150"/>
      <c r="F543" s="150"/>
      <c r="G543" s="150"/>
    </row>
    <row r="544" spans="2:7" ht="15.75" customHeight="1" x14ac:dyDescent="0.2">
      <c r="B544" s="150"/>
      <c r="C544" s="150"/>
      <c r="D544" s="150"/>
      <c r="E544" s="150"/>
      <c r="F544" s="150"/>
      <c r="G544" s="150"/>
    </row>
    <row r="545" spans="2:7" ht="15.75" customHeight="1" x14ac:dyDescent="0.2">
      <c r="B545" s="150"/>
      <c r="C545" s="150"/>
      <c r="D545" s="150"/>
      <c r="E545" s="150"/>
      <c r="F545" s="150"/>
      <c r="G545" s="150"/>
    </row>
    <row r="546" spans="2:7" ht="15.75" customHeight="1" x14ac:dyDescent="0.2">
      <c r="B546" s="150"/>
      <c r="C546" s="150"/>
      <c r="D546" s="150"/>
      <c r="E546" s="150"/>
      <c r="F546" s="150"/>
      <c r="G546" s="150"/>
    </row>
    <row r="547" spans="2:7" ht="15.75" customHeight="1" x14ac:dyDescent="0.2">
      <c r="B547" s="150"/>
      <c r="C547" s="150"/>
      <c r="D547" s="150"/>
      <c r="E547" s="150"/>
      <c r="F547" s="150"/>
      <c r="G547" s="150"/>
    </row>
    <row r="548" spans="2:7" ht="15.75" customHeight="1" x14ac:dyDescent="0.2">
      <c r="B548" s="150"/>
      <c r="C548" s="150"/>
      <c r="D548" s="150"/>
      <c r="E548" s="150"/>
      <c r="F548" s="150"/>
      <c r="G548" s="150"/>
    </row>
    <row r="549" spans="2:7" ht="15.75" customHeight="1" x14ac:dyDescent="0.2">
      <c r="B549" s="150"/>
      <c r="C549" s="150"/>
      <c r="D549" s="150"/>
      <c r="E549" s="150"/>
      <c r="F549" s="150"/>
      <c r="G549" s="150"/>
    </row>
    <row r="550" spans="2:7" ht="15.75" customHeight="1" x14ac:dyDescent="0.2">
      <c r="B550" s="150"/>
      <c r="C550" s="150"/>
      <c r="D550" s="150"/>
      <c r="E550" s="150"/>
      <c r="F550" s="150"/>
      <c r="G550" s="150"/>
    </row>
    <row r="551" spans="2:7" ht="15.75" customHeight="1" x14ac:dyDescent="0.2">
      <c r="B551" s="150"/>
      <c r="C551" s="150"/>
      <c r="D551" s="150"/>
      <c r="E551" s="150"/>
      <c r="F551" s="150"/>
      <c r="G551" s="150"/>
    </row>
    <row r="552" spans="2:7" ht="15.75" customHeight="1" x14ac:dyDescent="0.2">
      <c r="B552" s="150"/>
      <c r="C552" s="150"/>
      <c r="D552" s="150"/>
      <c r="E552" s="150"/>
      <c r="F552" s="150"/>
      <c r="G552" s="150"/>
    </row>
    <row r="553" spans="2:7" ht="15.75" customHeight="1" x14ac:dyDescent="0.2">
      <c r="B553" s="150"/>
      <c r="C553" s="150"/>
      <c r="D553" s="150"/>
      <c r="E553" s="150"/>
      <c r="F553" s="150"/>
      <c r="G553" s="150"/>
    </row>
    <row r="554" spans="2:7" ht="15.75" customHeight="1" x14ac:dyDescent="0.2">
      <c r="B554" s="150"/>
      <c r="C554" s="150"/>
      <c r="D554" s="150"/>
      <c r="E554" s="150"/>
      <c r="F554" s="150"/>
      <c r="G554" s="150"/>
    </row>
    <row r="555" spans="2:7" ht="15.75" customHeight="1" x14ac:dyDescent="0.2">
      <c r="B555" s="150"/>
      <c r="C555" s="150"/>
      <c r="D555" s="150"/>
      <c r="E555" s="150"/>
      <c r="F555" s="150"/>
      <c r="G555" s="150"/>
    </row>
    <row r="556" spans="2:7" ht="15.75" customHeight="1" x14ac:dyDescent="0.2">
      <c r="B556" s="150"/>
      <c r="C556" s="150"/>
      <c r="D556" s="150"/>
      <c r="E556" s="150"/>
      <c r="F556" s="150"/>
      <c r="G556" s="150"/>
    </row>
    <row r="557" spans="2:7" ht="15.75" customHeight="1" x14ac:dyDescent="0.2">
      <c r="B557" s="150"/>
      <c r="C557" s="150"/>
      <c r="D557" s="150"/>
      <c r="E557" s="150"/>
      <c r="F557" s="150"/>
      <c r="G557" s="150"/>
    </row>
    <row r="558" spans="2:7" ht="15.75" customHeight="1" x14ac:dyDescent="0.2">
      <c r="B558" s="150"/>
      <c r="C558" s="150"/>
      <c r="D558" s="150"/>
      <c r="E558" s="150"/>
      <c r="F558" s="150"/>
      <c r="G558" s="150"/>
    </row>
    <row r="559" spans="2:7" ht="15.75" customHeight="1" x14ac:dyDescent="0.2">
      <c r="B559" s="150"/>
      <c r="C559" s="150"/>
      <c r="D559" s="150"/>
      <c r="E559" s="150"/>
      <c r="F559" s="150"/>
      <c r="G559" s="150"/>
    </row>
    <row r="560" spans="2:7" ht="15.75" customHeight="1" x14ac:dyDescent="0.2">
      <c r="B560" s="150"/>
      <c r="C560" s="150"/>
      <c r="D560" s="150"/>
      <c r="E560" s="150"/>
      <c r="F560" s="150"/>
      <c r="G560" s="150"/>
    </row>
    <row r="561" spans="2:7" ht="15.75" customHeight="1" x14ac:dyDescent="0.2">
      <c r="B561" s="150"/>
      <c r="C561" s="150"/>
      <c r="D561" s="150"/>
      <c r="E561" s="150"/>
      <c r="F561" s="150"/>
      <c r="G561" s="150"/>
    </row>
    <row r="562" spans="2:7" ht="15.75" customHeight="1" x14ac:dyDescent="0.2">
      <c r="B562" s="150"/>
      <c r="C562" s="150"/>
      <c r="D562" s="150"/>
      <c r="E562" s="150"/>
      <c r="F562" s="150"/>
      <c r="G562" s="150"/>
    </row>
    <row r="563" spans="2:7" ht="15.75" customHeight="1" x14ac:dyDescent="0.2">
      <c r="B563" s="150"/>
      <c r="C563" s="150"/>
      <c r="D563" s="150"/>
      <c r="E563" s="150"/>
      <c r="F563" s="150"/>
      <c r="G563" s="150"/>
    </row>
    <row r="564" spans="2:7" ht="15.75" customHeight="1" x14ac:dyDescent="0.2">
      <c r="B564" s="150"/>
      <c r="C564" s="150"/>
      <c r="D564" s="150"/>
      <c r="E564" s="150"/>
      <c r="F564" s="150"/>
      <c r="G564" s="150"/>
    </row>
    <row r="565" spans="2:7" ht="15.75" customHeight="1" x14ac:dyDescent="0.2">
      <c r="B565" s="150"/>
      <c r="C565" s="150"/>
      <c r="D565" s="150"/>
      <c r="E565" s="150"/>
      <c r="F565" s="150"/>
      <c r="G565" s="150"/>
    </row>
    <row r="566" spans="2:7" ht="15.75" customHeight="1" x14ac:dyDescent="0.2">
      <c r="B566" s="150"/>
      <c r="C566" s="150"/>
      <c r="D566" s="150"/>
      <c r="E566" s="150"/>
      <c r="F566" s="150"/>
      <c r="G566" s="150"/>
    </row>
    <row r="567" spans="2:7" ht="15.75" customHeight="1" x14ac:dyDescent="0.2">
      <c r="B567" s="150"/>
      <c r="C567" s="150"/>
      <c r="D567" s="150"/>
      <c r="E567" s="150"/>
      <c r="F567" s="150"/>
      <c r="G567" s="150"/>
    </row>
    <row r="568" spans="2:7" ht="15.75" customHeight="1" x14ac:dyDescent="0.2">
      <c r="B568" s="150"/>
      <c r="C568" s="150"/>
      <c r="D568" s="150"/>
      <c r="E568" s="150"/>
      <c r="F568" s="150"/>
      <c r="G568" s="150"/>
    </row>
    <row r="569" spans="2:7" ht="15.75" customHeight="1" x14ac:dyDescent="0.2">
      <c r="B569" s="150"/>
      <c r="C569" s="150"/>
      <c r="D569" s="150"/>
      <c r="E569" s="150"/>
      <c r="F569" s="150"/>
      <c r="G569" s="150"/>
    </row>
    <row r="570" spans="2:7" ht="15.75" customHeight="1" x14ac:dyDescent="0.2">
      <c r="B570" s="150"/>
      <c r="C570" s="150"/>
      <c r="D570" s="150"/>
      <c r="E570" s="150"/>
      <c r="F570" s="150"/>
      <c r="G570" s="150"/>
    </row>
    <row r="571" spans="2:7" ht="15.75" customHeight="1" x14ac:dyDescent="0.2">
      <c r="B571" s="150"/>
      <c r="C571" s="150"/>
      <c r="D571" s="150"/>
      <c r="E571" s="150"/>
      <c r="F571" s="150"/>
      <c r="G571" s="150"/>
    </row>
    <row r="572" spans="2:7" ht="15.75" customHeight="1" x14ac:dyDescent="0.2">
      <c r="B572" s="150"/>
      <c r="C572" s="150"/>
      <c r="D572" s="150"/>
      <c r="E572" s="150"/>
      <c r="F572" s="150"/>
      <c r="G572" s="150"/>
    </row>
    <row r="573" spans="2:7" ht="15.75" customHeight="1" x14ac:dyDescent="0.2">
      <c r="B573" s="150"/>
      <c r="C573" s="150"/>
      <c r="D573" s="150"/>
      <c r="E573" s="150"/>
      <c r="F573" s="150"/>
      <c r="G573" s="150"/>
    </row>
    <row r="574" spans="2:7" ht="15.75" customHeight="1" x14ac:dyDescent="0.2">
      <c r="B574" s="150"/>
      <c r="C574" s="150"/>
      <c r="D574" s="150"/>
      <c r="E574" s="150"/>
      <c r="F574" s="150"/>
      <c r="G574" s="150"/>
    </row>
    <row r="575" spans="2:7" ht="15.75" customHeight="1" x14ac:dyDescent="0.2">
      <c r="B575" s="150"/>
      <c r="C575" s="150"/>
      <c r="D575" s="150"/>
      <c r="E575" s="150"/>
      <c r="F575" s="150"/>
      <c r="G575" s="150"/>
    </row>
    <row r="576" spans="2:7" ht="15.75" customHeight="1" x14ac:dyDescent="0.2">
      <c r="B576" s="150"/>
      <c r="C576" s="150"/>
      <c r="D576" s="150"/>
      <c r="E576" s="150"/>
      <c r="F576" s="150"/>
      <c r="G576" s="150"/>
    </row>
    <row r="577" spans="2:7" ht="15.75" customHeight="1" x14ac:dyDescent="0.2">
      <c r="B577" s="150"/>
      <c r="C577" s="150"/>
      <c r="D577" s="150"/>
      <c r="E577" s="150"/>
      <c r="F577" s="150"/>
      <c r="G577" s="150"/>
    </row>
    <row r="578" spans="2:7" ht="15.75" customHeight="1" x14ac:dyDescent="0.2">
      <c r="B578" s="150"/>
      <c r="C578" s="150"/>
      <c r="D578" s="150"/>
      <c r="E578" s="150"/>
      <c r="F578" s="150"/>
      <c r="G578" s="150"/>
    </row>
    <row r="579" spans="2:7" ht="15.75" customHeight="1" x14ac:dyDescent="0.2">
      <c r="B579" s="150"/>
      <c r="C579" s="150"/>
      <c r="D579" s="150"/>
      <c r="E579" s="150"/>
      <c r="F579" s="150"/>
      <c r="G579" s="150"/>
    </row>
    <row r="580" spans="2:7" ht="15.75" customHeight="1" x14ac:dyDescent="0.2">
      <c r="B580" s="150"/>
      <c r="C580" s="150"/>
      <c r="D580" s="150"/>
      <c r="E580" s="150"/>
      <c r="F580" s="150"/>
      <c r="G580" s="150"/>
    </row>
    <row r="581" spans="2:7" ht="15.75" customHeight="1" x14ac:dyDescent="0.2">
      <c r="B581" s="150"/>
      <c r="C581" s="150"/>
      <c r="D581" s="150"/>
      <c r="E581" s="150"/>
      <c r="F581" s="150"/>
      <c r="G581" s="150"/>
    </row>
    <row r="582" spans="2:7" ht="15.75" customHeight="1" x14ac:dyDescent="0.2">
      <c r="B582" s="150"/>
      <c r="C582" s="150"/>
      <c r="D582" s="150"/>
      <c r="E582" s="150"/>
      <c r="F582" s="150"/>
      <c r="G582" s="150"/>
    </row>
    <row r="583" spans="2:7" ht="15.75" customHeight="1" x14ac:dyDescent="0.2">
      <c r="B583" s="150"/>
      <c r="C583" s="150"/>
      <c r="D583" s="150"/>
      <c r="E583" s="150"/>
      <c r="F583" s="150"/>
      <c r="G583" s="150"/>
    </row>
    <row r="584" spans="2:7" ht="15.75" customHeight="1" x14ac:dyDescent="0.2">
      <c r="B584" s="150"/>
      <c r="C584" s="150"/>
      <c r="D584" s="150"/>
      <c r="E584" s="150"/>
      <c r="F584" s="150"/>
      <c r="G584" s="150"/>
    </row>
    <row r="585" spans="2:7" ht="15.75" customHeight="1" x14ac:dyDescent="0.2">
      <c r="B585" s="150"/>
      <c r="C585" s="150"/>
      <c r="D585" s="150"/>
      <c r="E585" s="150"/>
      <c r="F585" s="150"/>
      <c r="G585" s="150"/>
    </row>
    <row r="586" spans="2:7" ht="15.75" customHeight="1" x14ac:dyDescent="0.2">
      <c r="B586" s="150"/>
      <c r="C586" s="150"/>
      <c r="D586" s="150"/>
      <c r="E586" s="150"/>
      <c r="F586" s="150"/>
      <c r="G586" s="150"/>
    </row>
    <row r="587" spans="2:7" ht="15.75" customHeight="1" x14ac:dyDescent="0.2">
      <c r="B587" s="150"/>
      <c r="C587" s="150"/>
      <c r="D587" s="150"/>
      <c r="E587" s="150"/>
      <c r="F587" s="150"/>
      <c r="G587" s="150"/>
    </row>
    <row r="588" spans="2:7" ht="15.75" customHeight="1" x14ac:dyDescent="0.2">
      <c r="B588" s="150"/>
      <c r="C588" s="150"/>
      <c r="D588" s="150"/>
      <c r="E588" s="150"/>
      <c r="F588" s="150"/>
      <c r="G588" s="150"/>
    </row>
    <row r="589" spans="2:7" ht="15.75" customHeight="1" x14ac:dyDescent="0.2">
      <c r="B589" s="150"/>
      <c r="C589" s="150"/>
      <c r="D589" s="150"/>
      <c r="E589" s="150"/>
      <c r="F589" s="150"/>
      <c r="G589" s="150"/>
    </row>
    <row r="590" spans="2:7" ht="15.75" customHeight="1" x14ac:dyDescent="0.2">
      <c r="B590" s="150"/>
      <c r="C590" s="150"/>
      <c r="D590" s="150"/>
      <c r="E590" s="150"/>
      <c r="F590" s="150"/>
      <c r="G590" s="150"/>
    </row>
    <row r="591" spans="2:7" ht="15.75" customHeight="1" x14ac:dyDescent="0.2">
      <c r="B591" s="150"/>
      <c r="C591" s="150"/>
      <c r="D591" s="150"/>
      <c r="E591" s="150"/>
      <c r="F591" s="150"/>
      <c r="G591" s="150"/>
    </row>
    <row r="592" spans="2:7" ht="15.75" customHeight="1" x14ac:dyDescent="0.2">
      <c r="B592" s="150"/>
      <c r="C592" s="150"/>
      <c r="D592" s="150"/>
      <c r="E592" s="150"/>
      <c r="F592" s="150"/>
      <c r="G592" s="150"/>
    </row>
    <row r="593" spans="2:7" ht="15.75" customHeight="1" x14ac:dyDescent="0.2">
      <c r="B593" s="150"/>
      <c r="C593" s="150"/>
      <c r="D593" s="150"/>
      <c r="E593" s="150"/>
      <c r="F593" s="150"/>
      <c r="G593" s="150"/>
    </row>
    <row r="594" spans="2:7" ht="15.75" customHeight="1" x14ac:dyDescent="0.2">
      <c r="B594" s="150"/>
      <c r="C594" s="150"/>
      <c r="D594" s="150"/>
      <c r="E594" s="150"/>
      <c r="F594" s="150"/>
      <c r="G594" s="150"/>
    </row>
    <row r="595" spans="2:7" ht="15.75" customHeight="1" x14ac:dyDescent="0.2">
      <c r="B595" s="150"/>
      <c r="C595" s="150"/>
      <c r="D595" s="150"/>
      <c r="E595" s="150"/>
      <c r="F595" s="150"/>
      <c r="G595" s="150"/>
    </row>
    <row r="596" spans="2:7" ht="15.75" customHeight="1" x14ac:dyDescent="0.2">
      <c r="B596" s="150"/>
      <c r="C596" s="150"/>
      <c r="D596" s="150"/>
      <c r="E596" s="150"/>
      <c r="F596" s="150"/>
      <c r="G596" s="150"/>
    </row>
    <row r="597" spans="2:7" ht="15.75" customHeight="1" x14ac:dyDescent="0.2">
      <c r="B597" s="150"/>
      <c r="C597" s="150"/>
      <c r="D597" s="150"/>
      <c r="E597" s="150"/>
      <c r="F597" s="150"/>
      <c r="G597" s="150"/>
    </row>
    <row r="598" spans="2:7" ht="15.75" customHeight="1" x14ac:dyDescent="0.2">
      <c r="B598" s="150"/>
      <c r="C598" s="150"/>
      <c r="D598" s="150"/>
      <c r="E598" s="150"/>
      <c r="F598" s="150"/>
      <c r="G598" s="150"/>
    </row>
    <row r="599" spans="2:7" ht="15.75" customHeight="1" x14ac:dyDescent="0.2">
      <c r="B599" s="150"/>
      <c r="C599" s="150"/>
      <c r="D599" s="150"/>
      <c r="E599" s="150"/>
      <c r="F599" s="150"/>
      <c r="G599" s="150"/>
    </row>
    <row r="600" spans="2:7" ht="15.75" customHeight="1" x14ac:dyDescent="0.2">
      <c r="B600" s="150"/>
      <c r="C600" s="150"/>
      <c r="D600" s="150"/>
      <c r="E600" s="150"/>
      <c r="F600" s="150"/>
      <c r="G600" s="150"/>
    </row>
    <row r="601" spans="2:7" ht="15.75" customHeight="1" x14ac:dyDescent="0.2">
      <c r="B601" s="150"/>
      <c r="C601" s="150"/>
      <c r="D601" s="150"/>
      <c r="E601" s="150"/>
      <c r="F601" s="150"/>
      <c r="G601" s="150"/>
    </row>
    <row r="602" spans="2:7" ht="15.75" customHeight="1" x14ac:dyDescent="0.2">
      <c r="B602" s="150"/>
      <c r="C602" s="150"/>
      <c r="D602" s="150"/>
      <c r="E602" s="150"/>
      <c r="F602" s="150"/>
      <c r="G602" s="150"/>
    </row>
    <row r="603" spans="2:7" ht="15.75" customHeight="1" x14ac:dyDescent="0.2">
      <c r="B603" s="150"/>
      <c r="C603" s="150"/>
      <c r="D603" s="150"/>
      <c r="E603" s="150"/>
      <c r="F603" s="150"/>
      <c r="G603" s="150"/>
    </row>
    <row r="604" spans="2:7" ht="15.75" customHeight="1" x14ac:dyDescent="0.2">
      <c r="B604" s="150"/>
      <c r="C604" s="150"/>
      <c r="D604" s="150"/>
      <c r="E604" s="150"/>
      <c r="F604" s="150"/>
      <c r="G604" s="150"/>
    </row>
    <row r="605" spans="2:7" ht="15.75" customHeight="1" x14ac:dyDescent="0.2">
      <c r="B605" s="150"/>
      <c r="C605" s="150"/>
      <c r="D605" s="150"/>
      <c r="E605" s="150"/>
      <c r="F605" s="150"/>
      <c r="G605" s="150"/>
    </row>
    <row r="606" spans="2:7" ht="15.75" customHeight="1" x14ac:dyDescent="0.2">
      <c r="B606" s="150"/>
      <c r="C606" s="150"/>
      <c r="D606" s="150"/>
      <c r="E606" s="150"/>
      <c r="F606" s="150"/>
      <c r="G606" s="150"/>
    </row>
    <row r="607" spans="2:7" ht="15.75" customHeight="1" x14ac:dyDescent="0.2">
      <c r="B607" s="150"/>
      <c r="C607" s="150"/>
      <c r="D607" s="150"/>
      <c r="E607" s="150"/>
      <c r="F607" s="150"/>
      <c r="G607" s="150"/>
    </row>
    <row r="608" spans="2:7" ht="15.75" customHeight="1" x14ac:dyDescent="0.2">
      <c r="B608" s="150"/>
      <c r="C608" s="150"/>
      <c r="D608" s="150"/>
      <c r="E608" s="150"/>
      <c r="F608" s="150"/>
      <c r="G608" s="150"/>
    </row>
    <row r="609" spans="2:7" ht="15.75" customHeight="1" x14ac:dyDescent="0.2">
      <c r="B609" s="150"/>
      <c r="C609" s="150"/>
      <c r="D609" s="150"/>
      <c r="E609" s="150"/>
      <c r="F609" s="150"/>
      <c r="G609" s="150"/>
    </row>
    <row r="610" spans="2:7" ht="15.75" customHeight="1" x14ac:dyDescent="0.2">
      <c r="B610" s="150"/>
      <c r="C610" s="150"/>
      <c r="D610" s="150"/>
      <c r="E610" s="150"/>
      <c r="F610" s="150"/>
      <c r="G610" s="150"/>
    </row>
    <row r="611" spans="2:7" ht="15.75" customHeight="1" x14ac:dyDescent="0.2">
      <c r="B611" s="150"/>
      <c r="C611" s="150"/>
      <c r="D611" s="150"/>
      <c r="E611" s="150"/>
      <c r="F611" s="150"/>
      <c r="G611" s="150"/>
    </row>
    <row r="612" spans="2:7" ht="15.75" customHeight="1" x14ac:dyDescent="0.2">
      <c r="B612" s="150"/>
      <c r="C612" s="150"/>
      <c r="D612" s="150"/>
      <c r="E612" s="150"/>
      <c r="F612" s="150"/>
      <c r="G612" s="150"/>
    </row>
    <row r="613" spans="2:7" ht="15.75" customHeight="1" x14ac:dyDescent="0.2">
      <c r="B613" s="150"/>
      <c r="C613" s="150"/>
      <c r="D613" s="150"/>
      <c r="E613" s="150"/>
      <c r="F613" s="150"/>
      <c r="G613" s="150"/>
    </row>
    <row r="614" spans="2:7" ht="15.75" customHeight="1" x14ac:dyDescent="0.2">
      <c r="B614" s="150"/>
      <c r="C614" s="150"/>
      <c r="D614" s="150"/>
      <c r="E614" s="150"/>
      <c r="F614" s="150"/>
      <c r="G614" s="150"/>
    </row>
    <row r="615" spans="2:7" ht="15.75" customHeight="1" x14ac:dyDescent="0.2">
      <c r="B615" s="150"/>
      <c r="C615" s="150"/>
      <c r="D615" s="150"/>
      <c r="E615" s="150"/>
      <c r="F615" s="150"/>
      <c r="G615" s="150"/>
    </row>
    <row r="616" spans="2:7" ht="15.75" customHeight="1" x14ac:dyDescent="0.2">
      <c r="B616" s="150"/>
      <c r="C616" s="150"/>
      <c r="D616" s="150"/>
      <c r="E616" s="150"/>
      <c r="F616" s="150"/>
      <c r="G616" s="150"/>
    </row>
    <row r="617" spans="2:7" ht="15.75" customHeight="1" x14ac:dyDescent="0.2">
      <c r="B617" s="150"/>
      <c r="C617" s="150"/>
      <c r="D617" s="150"/>
      <c r="E617" s="150"/>
      <c r="F617" s="150"/>
      <c r="G617" s="150"/>
    </row>
    <row r="618" spans="2:7" ht="15.75" customHeight="1" x14ac:dyDescent="0.2">
      <c r="B618" s="150"/>
      <c r="C618" s="150"/>
      <c r="D618" s="150"/>
      <c r="E618" s="150"/>
      <c r="F618" s="150"/>
      <c r="G618" s="150"/>
    </row>
    <row r="619" spans="2:7" ht="15.75" customHeight="1" x14ac:dyDescent="0.2">
      <c r="B619" s="150"/>
      <c r="C619" s="150"/>
      <c r="D619" s="150"/>
      <c r="E619" s="150"/>
      <c r="F619" s="150"/>
      <c r="G619" s="150"/>
    </row>
    <row r="620" spans="2:7" ht="15.75" customHeight="1" x14ac:dyDescent="0.2">
      <c r="B620" s="150"/>
      <c r="C620" s="150"/>
      <c r="D620" s="150"/>
      <c r="E620" s="150"/>
      <c r="F620" s="150"/>
      <c r="G620" s="150"/>
    </row>
    <row r="621" spans="2:7" ht="15.75" customHeight="1" x14ac:dyDescent="0.2">
      <c r="B621" s="150"/>
      <c r="C621" s="150"/>
      <c r="D621" s="150"/>
      <c r="E621" s="150"/>
      <c r="F621" s="150"/>
      <c r="G621" s="150"/>
    </row>
    <row r="622" spans="2:7" ht="15.75" customHeight="1" x14ac:dyDescent="0.2">
      <c r="B622" s="150"/>
      <c r="C622" s="150"/>
      <c r="D622" s="150"/>
      <c r="E622" s="150"/>
      <c r="F622" s="150"/>
      <c r="G622" s="150"/>
    </row>
    <row r="623" spans="2:7" ht="15.75" customHeight="1" x14ac:dyDescent="0.2">
      <c r="B623" s="150"/>
      <c r="C623" s="150"/>
      <c r="D623" s="150"/>
      <c r="E623" s="150"/>
      <c r="F623" s="150"/>
      <c r="G623" s="150"/>
    </row>
    <row r="624" spans="2:7" ht="15.75" customHeight="1" x14ac:dyDescent="0.2">
      <c r="B624" s="150"/>
      <c r="C624" s="150"/>
      <c r="D624" s="150"/>
      <c r="E624" s="150"/>
      <c r="F624" s="150"/>
      <c r="G624" s="150"/>
    </row>
    <row r="625" spans="2:7" ht="15.75" customHeight="1" x14ac:dyDescent="0.2">
      <c r="B625" s="150"/>
      <c r="C625" s="150"/>
      <c r="D625" s="150"/>
      <c r="E625" s="150"/>
      <c r="F625" s="150"/>
      <c r="G625" s="150"/>
    </row>
    <row r="626" spans="2:7" ht="15.75" customHeight="1" x14ac:dyDescent="0.2">
      <c r="B626" s="150"/>
      <c r="C626" s="150"/>
      <c r="D626" s="150"/>
      <c r="E626" s="150"/>
      <c r="F626" s="150"/>
      <c r="G626" s="150"/>
    </row>
    <row r="627" spans="2:7" ht="15.75" customHeight="1" x14ac:dyDescent="0.2">
      <c r="B627" s="150"/>
      <c r="C627" s="150"/>
      <c r="D627" s="150"/>
      <c r="E627" s="150"/>
      <c r="F627" s="150"/>
      <c r="G627" s="150"/>
    </row>
    <row r="628" spans="2:7" ht="15.75" customHeight="1" x14ac:dyDescent="0.2">
      <c r="B628" s="150"/>
      <c r="C628" s="150"/>
      <c r="D628" s="150"/>
      <c r="E628" s="150"/>
      <c r="F628" s="150"/>
      <c r="G628" s="150"/>
    </row>
    <row r="629" spans="2:7" ht="15.75" customHeight="1" x14ac:dyDescent="0.2">
      <c r="B629" s="150"/>
      <c r="C629" s="150"/>
      <c r="D629" s="150"/>
      <c r="E629" s="150"/>
      <c r="F629" s="150"/>
      <c r="G629" s="150"/>
    </row>
    <row r="630" spans="2:7" ht="15.75" customHeight="1" x14ac:dyDescent="0.2">
      <c r="B630" s="150"/>
      <c r="C630" s="150"/>
      <c r="D630" s="150"/>
      <c r="E630" s="150"/>
      <c r="F630" s="150"/>
      <c r="G630" s="150"/>
    </row>
    <row r="631" spans="2:7" ht="15.75" customHeight="1" x14ac:dyDescent="0.2">
      <c r="B631" s="150"/>
      <c r="C631" s="150"/>
      <c r="D631" s="150"/>
      <c r="E631" s="150"/>
      <c r="F631" s="150"/>
      <c r="G631" s="150"/>
    </row>
    <row r="632" spans="2:7" ht="15.75" customHeight="1" x14ac:dyDescent="0.2">
      <c r="B632" s="150"/>
      <c r="C632" s="150"/>
      <c r="D632" s="150"/>
      <c r="E632" s="150"/>
      <c r="F632" s="150"/>
      <c r="G632" s="150"/>
    </row>
    <row r="633" spans="2:7" ht="15.75" customHeight="1" x14ac:dyDescent="0.2">
      <c r="B633" s="150"/>
      <c r="C633" s="150"/>
      <c r="D633" s="150"/>
      <c r="E633" s="150"/>
      <c r="F633" s="150"/>
      <c r="G633" s="150"/>
    </row>
    <row r="634" spans="2:7" ht="15.75" customHeight="1" x14ac:dyDescent="0.2">
      <c r="B634" s="150"/>
      <c r="C634" s="150"/>
      <c r="D634" s="150"/>
      <c r="E634" s="150"/>
      <c r="F634" s="150"/>
      <c r="G634" s="150"/>
    </row>
    <row r="635" spans="2:7" ht="15.75" customHeight="1" x14ac:dyDescent="0.2">
      <c r="B635" s="150"/>
      <c r="C635" s="150"/>
      <c r="D635" s="150"/>
      <c r="E635" s="150"/>
      <c r="F635" s="150"/>
      <c r="G635" s="150"/>
    </row>
    <row r="636" spans="2:7" ht="15.75" customHeight="1" x14ac:dyDescent="0.2">
      <c r="B636" s="150"/>
      <c r="C636" s="150"/>
      <c r="D636" s="150"/>
      <c r="E636" s="150"/>
      <c r="F636" s="150"/>
      <c r="G636" s="150"/>
    </row>
    <row r="637" spans="2:7" ht="15.75" customHeight="1" x14ac:dyDescent="0.2">
      <c r="B637" s="150"/>
      <c r="C637" s="150"/>
      <c r="D637" s="150"/>
      <c r="E637" s="150"/>
      <c r="F637" s="150"/>
      <c r="G637" s="150"/>
    </row>
    <row r="638" spans="2:7" ht="15.75" customHeight="1" x14ac:dyDescent="0.2">
      <c r="B638" s="150"/>
      <c r="C638" s="150"/>
      <c r="D638" s="150"/>
      <c r="E638" s="150"/>
      <c r="F638" s="150"/>
      <c r="G638" s="150"/>
    </row>
    <row r="639" spans="2:7" ht="15.75" customHeight="1" x14ac:dyDescent="0.2">
      <c r="B639" s="150"/>
      <c r="C639" s="150"/>
      <c r="D639" s="150"/>
      <c r="E639" s="150"/>
      <c r="F639" s="150"/>
      <c r="G639" s="150"/>
    </row>
    <row r="640" spans="2:7" ht="15.75" customHeight="1" x14ac:dyDescent="0.2">
      <c r="B640" s="150"/>
      <c r="C640" s="150"/>
      <c r="D640" s="150"/>
      <c r="E640" s="150"/>
      <c r="F640" s="150"/>
      <c r="G640" s="150"/>
    </row>
    <row r="641" spans="2:7" ht="15.75" customHeight="1" x14ac:dyDescent="0.2">
      <c r="B641" s="150"/>
      <c r="C641" s="150"/>
      <c r="D641" s="150"/>
      <c r="E641" s="150"/>
      <c r="F641" s="150"/>
      <c r="G641" s="150"/>
    </row>
    <row r="642" spans="2:7" ht="15.75" customHeight="1" x14ac:dyDescent="0.2">
      <c r="B642" s="150"/>
      <c r="C642" s="150"/>
      <c r="D642" s="150"/>
      <c r="E642" s="150"/>
      <c r="F642" s="150"/>
      <c r="G642" s="150"/>
    </row>
    <row r="643" spans="2:7" ht="15.75" customHeight="1" x14ac:dyDescent="0.2">
      <c r="B643" s="150"/>
      <c r="C643" s="150"/>
      <c r="D643" s="150"/>
      <c r="E643" s="150"/>
      <c r="F643" s="150"/>
      <c r="G643" s="150"/>
    </row>
    <row r="644" spans="2:7" ht="15.75" customHeight="1" x14ac:dyDescent="0.2">
      <c r="B644" s="150"/>
      <c r="C644" s="150"/>
      <c r="D644" s="150"/>
      <c r="E644" s="150"/>
      <c r="F644" s="150"/>
      <c r="G644" s="150"/>
    </row>
    <row r="645" spans="2:7" ht="15.75" customHeight="1" x14ac:dyDescent="0.2">
      <c r="B645" s="150"/>
      <c r="C645" s="150"/>
      <c r="D645" s="150"/>
      <c r="E645" s="150"/>
      <c r="F645" s="150"/>
      <c r="G645" s="150"/>
    </row>
    <row r="646" spans="2:7" ht="15.75" customHeight="1" x14ac:dyDescent="0.2">
      <c r="B646" s="150"/>
      <c r="C646" s="150"/>
      <c r="D646" s="150"/>
      <c r="E646" s="150"/>
      <c r="F646" s="150"/>
      <c r="G646" s="150"/>
    </row>
    <row r="647" spans="2:7" ht="15.75" customHeight="1" x14ac:dyDescent="0.2">
      <c r="B647" s="150"/>
      <c r="C647" s="150"/>
      <c r="D647" s="150"/>
      <c r="E647" s="150"/>
      <c r="F647" s="150"/>
      <c r="G647" s="150"/>
    </row>
    <row r="648" spans="2:7" ht="15.75" customHeight="1" x14ac:dyDescent="0.2">
      <c r="B648" s="150"/>
      <c r="C648" s="150"/>
      <c r="D648" s="150"/>
      <c r="E648" s="150"/>
      <c r="F648" s="150"/>
      <c r="G648" s="150"/>
    </row>
    <row r="649" spans="2:7" ht="15.75" customHeight="1" x14ac:dyDescent="0.2">
      <c r="B649" s="150"/>
      <c r="C649" s="150"/>
      <c r="D649" s="150"/>
      <c r="E649" s="150"/>
      <c r="F649" s="150"/>
      <c r="G649" s="150"/>
    </row>
    <row r="650" spans="2:7" ht="15.75" customHeight="1" x14ac:dyDescent="0.2">
      <c r="B650" s="150"/>
      <c r="C650" s="150"/>
      <c r="D650" s="150"/>
      <c r="E650" s="150"/>
      <c r="F650" s="150"/>
      <c r="G650" s="150"/>
    </row>
    <row r="651" spans="2:7" ht="15.75" customHeight="1" x14ac:dyDescent="0.2">
      <c r="B651" s="150"/>
      <c r="C651" s="150"/>
      <c r="D651" s="150"/>
      <c r="E651" s="150"/>
      <c r="F651" s="150"/>
      <c r="G651" s="150"/>
    </row>
    <row r="652" spans="2:7" ht="15.75" customHeight="1" x14ac:dyDescent="0.2">
      <c r="B652" s="150"/>
      <c r="C652" s="150"/>
      <c r="D652" s="150"/>
      <c r="E652" s="150"/>
      <c r="F652" s="150"/>
      <c r="G652" s="150"/>
    </row>
    <row r="653" spans="2:7" ht="15.75" customHeight="1" x14ac:dyDescent="0.2">
      <c r="B653" s="150"/>
      <c r="C653" s="150"/>
      <c r="D653" s="150"/>
      <c r="E653" s="150"/>
      <c r="F653" s="150"/>
      <c r="G653" s="150"/>
    </row>
    <row r="654" spans="2:7" ht="15.75" customHeight="1" x14ac:dyDescent="0.2">
      <c r="B654" s="150"/>
      <c r="C654" s="150"/>
      <c r="D654" s="150"/>
      <c r="E654" s="150"/>
      <c r="F654" s="150"/>
      <c r="G654" s="150"/>
    </row>
    <row r="655" spans="2:7" ht="15.75" customHeight="1" x14ac:dyDescent="0.2">
      <c r="B655" s="150"/>
      <c r="C655" s="150"/>
      <c r="D655" s="150"/>
      <c r="E655" s="150"/>
      <c r="F655" s="150"/>
      <c r="G655" s="150"/>
    </row>
    <row r="656" spans="2:7" ht="15.75" customHeight="1" x14ac:dyDescent="0.2">
      <c r="B656" s="150"/>
      <c r="C656" s="150"/>
      <c r="D656" s="150"/>
      <c r="E656" s="150"/>
      <c r="F656" s="150"/>
      <c r="G656" s="150"/>
    </row>
    <row r="657" spans="2:7" ht="15.75" customHeight="1" x14ac:dyDescent="0.2">
      <c r="B657" s="150"/>
      <c r="C657" s="150"/>
      <c r="D657" s="150"/>
      <c r="E657" s="150"/>
      <c r="F657" s="150"/>
      <c r="G657" s="150"/>
    </row>
    <row r="658" spans="2:7" ht="15.75" customHeight="1" x14ac:dyDescent="0.2">
      <c r="B658" s="150"/>
      <c r="C658" s="150"/>
      <c r="D658" s="150"/>
      <c r="E658" s="150"/>
      <c r="F658" s="150"/>
      <c r="G658" s="150"/>
    </row>
    <row r="659" spans="2:7" ht="15.75" customHeight="1" x14ac:dyDescent="0.2">
      <c r="B659" s="150"/>
      <c r="C659" s="150"/>
      <c r="D659" s="150"/>
      <c r="E659" s="150"/>
      <c r="F659" s="150"/>
      <c r="G659" s="150"/>
    </row>
    <row r="660" spans="2:7" ht="15.75" customHeight="1" x14ac:dyDescent="0.2">
      <c r="B660" s="150"/>
      <c r="C660" s="150"/>
      <c r="D660" s="150"/>
      <c r="E660" s="150"/>
      <c r="F660" s="150"/>
      <c r="G660" s="150"/>
    </row>
    <row r="661" spans="2:7" ht="15.75" customHeight="1" x14ac:dyDescent="0.2">
      <c r="B661" s="150"/>
      <c r="C661" s="150"/>
      <c r="D661" s="150"/>
      <c r="E661" s="150"/>
      <c r="F661" s="150"/>
      <c r="G661" s="150"/>
    </row>
    <row r="662" spans="2:7" ht="15.75" customHeight="1" x14ac:dyDescent="0.2">
      <c r="B662" s="150"/>
      <c r="C662" s="150"/>
      <c r="D662" s="150"/>
      <c r="E662" s="150"/>
      <c r="F662" s="150"/>
      <c r="G662" s="150"/>
    </row>
    <row r="663" spans="2:7" ht="15.75" customHeight="1" x14ac:dyDescent="0.2">
      <c r="B663" s="150"/>
      <c r="C663" s="150"/>
      <c r="D663" s="150"/>
      <c r="E663" s="150"/>
      <c r="F663" s="150"/>
      <c r="G663" s="150"/>
    </row>
    <row r="664" spans="2:7" ht="15.75" customHeight="1" x14ac:dyDescent="0.2">
      <c r="B664" s="150"/>
      <c r="C664" s="150"/>
      <c r="D664" s="150"/>
      <c r="E664" s="150"/>
      <c r="F664" s="150"/>
      <c r="G664" s="150"/>
    </row>
    <row r="665" spans="2:7" ht="15.75" customHeight="1" x14ac:dyDescent="0.2">
      <c r="B665" s="150"/>
      <c r="C665" s="150"/>
      <c r="D665" s="150"/>
      <c r="E665" s="150"/>
      <c r="F665" s="150"/>
      <c r="G665" s="150"/>
    </row>
    <row r="666" spans="2:7" ht="15.75" customHeight="1" x14ac:dyDescent="0.2">
      <c r="B666" s="150"/>
      <c r="C666" s="150"/>
      <c r="D666" s="150"/>
      <c r="E666" s="150"/>
      <c r="F666" s="150"/>
      <c r="G666" s="150"/>
    </row>
    <row r="667" spans="2:7" ht="15.75" customHeight="1" x14ac:dyDescent="0.2">
      <c r="B667" s="150"/>
      <c r="C667" s="150"/>
      <c r="D667" s="150"/>
      <c r="E667" s="150"/>
      <c r="F667" s="150"/>
      <c r="G667" s="150"/>
    </row>
    <row r="668" spans="2:7" ht="15.75" customHeight="1" x14ac:dyDescent="0.2">
      <c r="B668" s="150"/>
      <c r="C668" s="150"/>
      <c r="D668" s="150"/>
      <c r="E668" s="150"/>
      <c r="F668" s="150"/>
      <c r="G668" s="150"/>
    </row>
    <row r="669" spans="2:7" ht="15.75" customHeight="1" x14ac:dyDescent="0.2">
      <c r="B669" s="150"/>
      <c r="C669" s="150"/>
      <c r="D669" s="150"/>
      <c r="E669" s="150"/>
      <c r="F669" s="150"/>
      <c r="G669" s="150"/>
    </row>
    <row r="670" spans="2:7" ht="15.75" customHeight="1" x14ac:dyDescent="0.2">
      <c r="B670" s="150"/>
      <c r="C670" s="150"/>
      <c r="D670" s="150"/>
      <c r="E670" s="150"/>
      <c r="F670" s="150"/>
      <c r="G670" s="150"/>
    </row>
    <row r="671" spans="2:7" ht="15.75" customHeight="1" x14ac:dyDescent="0.2">
      <c r="B671" s="150"/>
      <c r="C671" s="150"/>
      <c r="D671" s="150"/>
      <c r="E671" s="150"/>
      <c r="F671" s="150"/>
      <c r="G671" s="150"/>
    </row>
    <row r="672" spans="2:7" ht="15.75" customHeight="1" x14ac:dyDescent="0.2">
      <c r="B672" s="150"/>
      <c r="C672" s="150"/>
      <c r="D672" s="150"/>
      <c r="E672" s="150"/>
      <c r="F672" s="150"/>
      <c r="G672" s="150"/>
    </row>
    <row r="673" spans="2:7" ht="15.75" customHeight="1" x14ac:dyDescent="0.2">
      <c r="B673" s="150"/>
      <c r="C673" s="150"/>
      <c r="D673" s="150"/>
      <c r="E673" s="150"/>
      <c r="F673" s="150"/>
      <c r="G673" s="150"/>
    </row>
    <row r="674" spans="2:7" ht="15.75" customHeight="1" x14ac:dyDescent="0.2">
      <c r="B674" s="150"/>
      <c r="C674" s="150"/>
      <c r="D674" s="150"/>
      <c r="E674" s="150"/>
      <c r="F674" s="150"/>
      <c r="G674" s="150"/>
    </row>
    <row r="675" spans="2:7" ht="15.75" customHeight="1" x14ac:dyDescent="0.2">
      <c r="B675" s="150"/>
      <c r="C675" s="150"/>
      <c r="D675" s="150"/>
      <c r="E675" s="150"/>
      <c r="F675" s="150"/>
      <c r="G675" s="150"/>
    </row>
    <row r="676" spans="2:7" ht="15.75" customHeight="1" x14ac:dyDescent="0.2">
      <c r="B676" s="150"/>
      <c r="C676" s="150"/>
      <c r="D676" s="150"/>
      <c r="E676" s="150"/>
      <c r="F676" s="150"/>
      <c r="G676" s="150"/>
    </row>
    <row r="677" spans="2:7" ht="15.75" customHeight="1" x14ac:dyDescent="0.2">
      <c r="B677" s="150"/>
      <c r="C677" s="150"/>
      <c r="D677" s="150"/>
      <c r="E677" s="150"/>
      <c r="F677" s="150"/>
      <c r="G677" s="150"/>
    </row>
    <row r="678" spans="2:7" ht="15.75" customHeight="1" x14ac:dyDescent="0.2">
      <c r="B678" s="150"/>
      <c r="C678" s="150"/>
      <c r="D678" s="150"/>
      <c r="E678" s="150"/>
      <c r="F678" s="150"/>
      <c r="G678" s="150"/>
    </row>
    <row r="679" spans="2:7" ht="15.75" customHeight="1" x14ac:dyDescent="0.2">
      <c r="B679" s="150"/>
      <c r="C679" s="150"/>
      <c r="D679" s="150"/>
      <c r="E679" s="150"/>
      <c r="F679" s="150"/>
      <c r="G679" s="150"/>
    </row>
    <row r="680" spans="2:7" ht="15.75" customHeight="1" x14ac:dyDescent="0.2">
      <c r="B680" s="150"/>
      <c r="C680" s="150"/>
      <c r="D680" s="150"/>
      <c r="E680" s="150"/>
      <c r="F680" s="150"/>
      <c r="G680" s="150"/>
    </row>
    <row r="681" spans="2:7" ht="15.75" customHeight="1" x14ac:dyDescent="0.2">
      <c r="B681" s="150"/>
      <c r="C681" s="150"/>
      <c r="D681" s="150"/>
      <c r="E681" s="150"/>
      <c r="F681" s="150"/>
      <c r="G681" s="150"/>
    </row>
    <row r="682" spans="2:7" ht="15.75" customHeight="1" x14ac:dyDescent="0.2">
      <c r="B682" s="150"/>
      <c r="C682" s="150"/>
      <c r="D682" s="150"/>
      <c r="E682" s="150"/>
      <c r="F682" s="150"/>
      <c r="G682" s="150"/>
    </row>
    <row r="683" spans="2:7" ht="15.75" customHeight="1" x14ac:dyDescent="0.2">
      <c r="B683" s="150"/>
      <c r="C683" s="150"/>
      <c r="D683" s="150"/>
      <c r="E683" s="150"/>
      <c r="F683" s="150"/>
      <c r="G683" s="150"/>
    </row>
    <row r="684" spans="2:7" ht="15.75" customHeight="1" x14ac:dyDescent="0.2">
      <c r="B684" s="150"/>
      <c r="C684" s="150"/>
      <c r="D684" s="150"/>
      <c r="E684" s="150"/>
      <c r="F684" s="150"/>
      <c r="G684" s="150"/>
    </row>
    <row r="685" spans="2:7" ht="15.75" customHeight="1" x14ac:dyDescent="0.2">
      <c r="B685" s="150"/>
      <c r="C685" s="150"/>
      <c r="D685" s="150"/>
      <c r="E685" s="150"/>
      <c r="F685" s="150"/>
      <c r="G685" s="150"/>
    </row>
    <row r="686" spans="2:7" ht="15.75" customHeight="1" x14ac:dyDescent="0.2">
      <c r="B686" s="150"/>
      <c r="C686" s="150"/>
      <c r="D686" s="150"/>
      <c r="E686" s="150"/>
      <c r="F686" s="150"/>
      <c r="G686" s="150"/>
    </row>
    <row r="687" spans="2:7" ht="15.75" customHeight="1" x14ac:dyDescent="0.2">
      <c r="B687" s="150"/>
      <c r="C687" s="150"/>
      <c r="D687" s="150"/>
      <c r="E687" s="150"/>
      <c r="F687" s="150"/>
      <c r="G687" s="150"/>
    </row>
    <row r="688" spans="2:7" ht="15.75" customHeight="1" x14ac:dyDescent="0.2">
      <c r="B688" s="150"/>
      <c r="C688" s="150"/>
      <c r="D688" s="150"/>
      <c r="E688" s="150"/>
      <c r="F688" s="150"/>
      <c r="G688" s="150"/>
    </row>
    <row r="689" spans="2:7" ht="15.75" customHeight="1" x14ac:dyDescent="0.2">
      <c r="B689" s="150"/>
      <c r="C689" s="150"/>
      <c r="D689" s="150"/>
      <c r="E689" s="150"/>
      <c r="F689" s="150"/>
      <c r="G689" s="150"/>
    </row>
    <row r="690" spans="2:7" ht="15.75" customHeight="1" x14ac:dyDescent="0.2">
      <c r="B690" s="150"/>
      <c r="C690" s="150"/>
      <c r="D690" s="150"/>
      <c r="E690" s="150"/>
      <c r="F690" s="150"/>
      <c r="G690" s="150"/>
    </row>
    <row r="691" spans="2:7" ht="15.75" customHeight="1" x14ac:dyDescent="0.2">
      <c r="B691" s="150"/>
      <c r="C691" s="150"/>
      <c r="D691" s="150"/>
      <c r="E691" s="150"/>
      <c r="F691" s="150"/>
      <c r="G691" s="150"/>
    </row>
    <row r="692" spans="2:7" ht="15.75" customHeight="1" x14ac:dyDescent="0.2">
      <c r="B692" s="150"/>
      <c r="C692" s="150"/>
      <c r="D692" s="150"/>
      <c r="E692" s="150"/>
      <c r="F692" s="150"/>
      <c r="G692" s="150"/>
    </row>
    <row r="693" spans="2:7" ht="15.75" customHeight="1" x14ac:dyDescent="0.2">
      <c r="B693" s="150"/>
      <c r="C693" s="150"/>
      <c r="D693" s="150"/>
      <c r="E693" s="150"/>
      <c r="F693" s="150"/>
      <c r="G693" s="150"/>
    </row>
    <row r="694" spans="2:7" ht="15.75" customHeight="1" x14ac:dyDescent="0.2">
      <c r="B694" s="150"/>
      <c r="C694" s="150"/>
      <c r="D694" s="150"/>
      <c r="E694" s="150"/>
      <c r="F694" s="150"/>
      <c r="G694" s="150"/>
    </row>
    <row r="695" spans="2:7" ht="15.75" customHeight="1" x14ac:dyDescent="0.2">
      <c r="B695" s="150"/>
      <c r="C695" s="150"/>
      <c r="D695" s="150"/>
      <c r="E695" s="150"/>
      <c r="F695" s="150"/>
      <c r="G695" s="150"/>
    </row>
    <row r="696" spans="2:7" ht="15.75" customHeight="1" x14ac:dyDescent="0.2">
      <c r="B696" s="150"/>
      <c r="C696" s="150"/>
      <c r="D696" s="150"/>
      <c r="E696" s="150"/>
      <c r="F696" s="150"/>
      <c r="G696" s="150"/>
    </row>
    <row r="697" spans="2:7" ht="15.75" customHeight="1" x14ac:dyDescent="0.2">
      <c r="B697" s="150"/>
      <c r="C697" s="150"/>
      <c r="D697" s="150"/>
      <c r="E697" s="150"/>
      <c r="F697" s="150"/>
      <c r="G697" s="150"/>
    </row>
    <row r="698" spans="2:7" ht="15.75" customHeight="1" x14ac:dyDescent="0.2">
      <c r="B698" s="150"/>
      <c r="C698" s="150"/>
      <c r="D698" s="150"/>
      <c r="E698" s="150"/>
      <c r="F698" s="150"/>
      <c r="G698" s="150"/>
    </row>
    <row r="699" spans="2:7" ht="15.75" customHeight="1" x14ac:dyDescent="0.2">
      <c r="B699" s="150"/>
      <c r="C699" s="150"/>
      <c r="D699" s="150"/>
      <c r="E699" s="150"/>
      <c r="F699" s="150"/>
      <c r="G699" s="150"/>
    </row>
    <row r="700" spans="2:7" ht="15.75" customHeight="1" x14ac:dyDescent="0.2">
      <c r="B700" s="150"/>
      <c r="C700" s="150"/>
      <c r="D700" s="150"/>
      <c r="E700" s="150"/>
      <c r="F700" s="150"/>
      <c r="G700" s="150"/>
    </row>
    <row r="701" spans="2:7" ht="15.75" customHeight="1" x14ac:dyDescent="0.2">
      <c r="B701" s="150"/>
      <c r="C701" s="150"/>
      <c r="D701" s="150"/>
      <c r="E701" s="150"/>
      <c r="F701" s="150"/>
      <c r="G701" s="150"/>
    </row>
    <row r="702" spans="2:7" ht="15.75" customHeight="1" x14ac:dyDescent="0.2">
      <c r="B702" s="150"/>
      <c r="C702" s="150"/>
      <c r="D702" s="150"/>
      <c r="E702" s="150"/>
      <c r="F702" s="150"/>
      <c r="G702" s="150"/>
    </row>
    <row r="703" spans="2:7" ht="15.75" customHeight="1" x14ac:dyDescent="0.2">
      <c r="B703" s="150"/>
      <c r="C703" s="150"/>
      <c r="D703" s="150"/>
      <c r="E703" s="150"/>
      <c r="F703" s="150"/>
      <c r="G703" s="150"/>
    </row>
    <row r="704" spans="2:7" ht="15.75" customHeight="1" x14ac:dyDescent="0.2">
      <c r="B704" s="150"/>
      <c r="C704" s="150"/>
      <c r="D704" s="150"/>
      <c r="E704" s="150"/>
      <c r="F704" s="150"/>
      <c r="G704" s="150"/>
    </row>
    <row r="705" spans="2:7" ht="15.75" customHeight="1" x14ac:dyDescent="0.2">
      <c r="B705" s="150"/>
      <c r="C705" s="150"/>
      <c r="D705" s="150"/>
      <c r="E705" s="150"/>
      <c r="F705" s="150"/>
      <c r="G705" s="150"/>
    </row>
    <row r="706" spans="2:7" ht="15.75" customHeight="1" x14ac:dyDescent="0.2">
      <c r="B706" s="150"/>
      <c r="C706" s="150"/>
      <c r="D706" s="150"/>
      <c r="E706" s="150"/>
      <c r="F706" s="150"/>
      <c r="G706" s="150"/>
    </row>
    <row r="707" spans="2:7" ht="15.75" customHeight="1" x14ac:dyDescent="0.2">
      <c r="B707" s="150"/>
      <c r="C707" s="150"/>
      <c r="D707" s="150"/>
      <c r="E707" s="150"/>
      <c r="F707" s="150"/>
      <c r="G707" s="150"/>
    </row>
    <row r="708" spans="2:7" ht="15.75" customHeight="1" x14ac:dyDescent="0.2">
      <c r="B708" s="150"/>
      <c r="C708" s="150"/>
      <c r="D708" s="150"/>
      <c r="E708" s="150"/>
      <c r="F708" s="150"/>
      <c r="G708" s="150"/>
    </row>
    <row r="709" spans="2:7" ht="15.75" customHeight="1" x14ac:dyDescent="0.2">
      <c r="B709" s="150"/>
      <c r="C709" s="150"/>
      <c r="D709" s="150"/>
      <c r="E709" s="150"/>
      <c r="F709" s="150"/>
      <c r="G709" s="150"/>
    </row>
    <row r="710" spans="2:7" ht="15.75" customHeight="1" x14ac:dyDescent="0.2">
      <c r="B710" s="150"/>
      <c r="C710" s="150"/>
      <c r="D710" s="150"/>
      <c r="E710" s="150"/>
      <c r="F710" s="150"/>
      <c r="G710" s="150"/>
    </row>
    <row r="711" spans="2:7" ht="15.75" customHeight="1" x14ac:dyDescent="0.2">
      <c r="B711" s="150"/>
      <c r="C711" s="150"/>
      <c r="D711" s="150"/>
      <c r="E711" s="150"/>
      <c r="F711" s="150"/>
      <c r="G711" s="150"/>
    </row>
    <row r="712" spans="2:7" ht="15.75" customHeight="1" x14ac:dyDescent="0.2">
      <c r="B712" s="150"/>
      <c r="C712" s="150"/>
      <c r="D712" s="150"/>
      <c r="E712" s="150"/>
      <c r="F712" s="150"/>
      <c r="G712" s="150"/>
    </row>
    <row r="713" spans="2:7" ht="15.75" customHeight="1" x14ac:dyDescent="0.2">
      <c r="B713" s="150"/>
      <c r="C713" s="150"/>
      <c r="D713" s="150"/>
      <c r="E713" s="150"/>
      <c r="F713" s="150"/>
      <c r="G713" s="150"/>
    </row>
    <row r="714" spans="2:7" ht="15.75" customHeight="1" x14ac:dyDescent="0.2">
      <c r="B714" s="150"/>
      <c r="C714" s="150"/>
      <c r="D714" s="150"/>
      <c r="E714" s="150"/>
      <c r="F714" s="150"/>
      <c r="G714" s="150"/>
    </row>
    <row r="715" spans="2:7" ht="15.75" customHeight="1" x14ac:dyDescent="0.2">
      <c r="B715" s="150"/>
      <c r="C715" s="150"/>
      <c r="D715" s="150"/>
      <c r="E715" s="150"/>
      <c r="F715" s="150"/>
      <c r="G715" s="150"/>
    </row>
    <row r="716" spans="2:7" ht="15.75" customHeight="1" x14ac:dyDescent="0.2">
      <c r="B716" s="150"/>
      <c r="C716" s="150"/>
      <c r="D716" s="150"/>
      <c r="E716" s="150"/>
      <c r="F716" s="150"/>
      <c r="G716" s="150"/>
    </row>
    <row r="717" spans="2:7" ht="15.75" customHeight="1" x14ac:dyDescent="0.2">
      <c r="B717" s="150"/>
      <c r="C717" s="150"/>
      <c r="D717" s="150"/>
      <c r="E717" s="150"/>
      <c r="F717" s="150"/>
      <c r="G717" s="150"/>
    </row>
    <row r="718" spans="2:7" ht="15.75" customHeight="1" x14ac:dyDescent="0.2">
      <c r="B718" s="150"/>
      <c r="C718" s="150"/>
      <c r="D718" s="150"/>
      <c r="E718" s="150"/>
      <c r="F718" s="150"/>
      <c r="G718" s="150"/>
    </row>
    <row r="719" spans="2:7" ht="15.75" customHeight="1" x14ac:dyDescent="0.2">
      <c r="B719" s="150"/>
      <c r="C719" s="150"/>
      <c r="D719" s="150"/>
      <c r="E719" s="150"/>
      <c r="F719" s="150"/>
      <c r="G719" s="150"/>
    </row>
    <row r="720" spans="2:7" ht="15.75" customHeight="1" x14ac:dyDescent="0.2">
      <c r="B720" s="150"/>
      <c r="C720" s="150"/>
      <c r="D720" s="150"/>
      <c r="E720" s="150"/>
      <c r="F720" s="150"/>
      <c r="G720" s="150"/>
    </row>
    <row r="721" spans="2:7" ht="15.75" customHeight="1" x14ac:dyDescent="0.2">
      <c r="B721" s="150"/>
      <c r="C721" s="150"/>
      <c r="D721" s="150"/>
      <c r="E721" s="150"/>
      <c r="F721" s="150"/>
      <c r="G721" s="150"/>
    </row>
    <row r="722" spans="2:7" ht="15.75" customHeight="1" x14ac:dyDescent="0.2">
      <c r="B722" s="150"/>
      <c r="C722" s="150"/>
      <c r="D722" s="150"/>
      <c r="E722" s="150"/>
      <c r="F722" s="150"/>
      <c r="G722" s="150"/>
    </row>
    <row r="723" spans="2:7" ht="15.75" customHeight="1" x14ac:dyDescent="0.2">
      <c r="B723" s="150"/>
      <c r="C723" s="150"/>
      <c r="D723" s="150"/>
      <c r="E723" s="150"/>
      <c r="F723" s="150"/>
      <c r="G723" s="150"/>
    </row>
    <row r="724" spans="2:7" ht="15.75" customHeight="1" x14ac:dyDescent="0.2">
      <c r="B724" s="150"/>
      <c r="C724" s="150"/>
      <c r="D724" s="150"/>
      <c r="E724" s="150"/>
      <c r="F724" s="150"/>
      <c r="G724" s="150"/>
    </row>
    <row r="725" spans="2:7" ht="15.75" customHeight="1" x14ac:dyDescent="0.2">
      <c r="B725" s="150"/>
      <c r="C725" s="150"/>
      <c r="D725" s="150"/>
      <c r="E725" s="150"/>
      <c r="F725" s="150"/>
      <c r="G725" s="150"/>
    </row>
    <row r="726" spans="2:7" ht="15.75" customHeight="1" x14ac:dyDescent="0.2">
      <c r="B726" s="150"/>
      <c r="C726" s="150"/>
      <c r="D726" s="150"/>
      <c r="E726" s="150"/>
      <c r="F726" s="150"/>
      <c r="G726" s="150"/>
    </row>
    <row r="727" spans="2:7" ht="15.75" customHeight="1" x14ac:dyDescent="0.2">
      <c r="B727" s="150"/>
      <c r="C727" s="150"/>
      <c r="D727" s="150"/>
      <c r="E727" s="150"/>
      <c r="F727" s="150"/>
      <c r="G727" s="150"/>
    </row>
    <row r="728" spans="2:7" ht="15.75" customHeight="1" x14ac:dyDescent="0.2">
      <c r="B728" s="150"/>
      <c r="C728" s="150"/>
      <c r="D728" s="150"/>
      <c r="E728" s="150"/>
      <c r="F728" s="150"/>
      <c r="G728" s="150"/>
    </row>
    <row r="729" spans="2:7" ht="15.75" customHeight="1" x14ac:dyDescent="0.2">
      <c r="B729" s="150"/>
      <c r="C729" s="150"/>
      <c r="D729" s="150"/>
      <c r="E729" s="150"/>
      <c r="F729" s="150"/>
      <c r="G729" s="150"/>
    </row>
    <row r="730" spans="2:7" ht="15.75" customHeight="1" x14ac:dyDescent="0.2">
      <c r="B730" s="150"/>
      <c r="C730" s="150"/>
      <c r="D730" s="150"/>
      <c r="E730" s="150"/>
      <c r="F730" s="150"/>
      <c r="G730" s="150"/>
    </row>
    <row r="731" spans="2:7" ht="15.75" customHeight="1" x14ac:dyDescent="0.2">
      <c r="B731" s="150"/>
      <c r="C731" s="150"/>
      <c r="D731" s="150"/>
      <c r="E731" s="150"/>
      <c r="F731" s="150"/>
      <c r="G731" s="150"/>
    </row>
    <row r="732" spans="2:7" ht="15.75" customHeight="1" x14ac:dyDescent="0.2">
      <c r="B732" s="150"/>
      <c r="C732" s="150"/>
      <c r="D732" s="150"/>
      <c r="E732" s="150"/>
      <c r="F732" s="150"/>
      <c r="G732" s="150"/>
    </row>
    <row r="733" spans="2:7" ht="15.75" customHeight="1" x14ac:dyDescent="0.2">
      <c r="B733" s="150"/>
      <c r="C733" s="150"/>
      <c r="D733" s="150"/>
      <c r="E733" s="150"/>
      <c r="F733" s="150"/>
      <c r="G733" s="150"/>
    </row>
    <row r="734" spans="2:7" ht="15.75" customHeight="1" x14ac:dyDescent="0.2">
      <c r="B734" s="150"/>
      <c r="C734" s="150"/>
      <c r="D734" s="150"/>
      <c r="E734" s="150"/>
      <c r="F734" s="150"/>
      <c r="G734" s="150"/>
    </row>
    <row r="735" spans="2:7" ht="15.75" customHeight="1" x14ac:dyDescent="0.2">
      <c r="B735" s="150"/>
      <c r="C735" s="150"/>
      <c r="D735" s="150"/>
      <c r="E735" s="150"/>
      <c r="F735" s="150"/>
      <c r="G735" s="150"/>
    </row>
    <row r="736" spans="2:7" ht="15.75" customHeight="1" x14ac:dyDescent="0.2">
      <c r="B736" s="150"/>
      <c r="C736" s="150"/>
      <c r="D736" s="150"/>
      <c r="E736" s="150"/>
      <c r="F736" s="150"/>
      <c r="G736" s="150"/>
    </row>
    <row r="737" spans="2:7" ht="15.75" customHeight="1" x14ac:dyDescent="0.2">
      <c r="B737" s="150"/>
      <c r="C737" s="150"/>
      <c r="D737" s="150"/>
      <c r="E737" s="150"/>
      <c r="F737" s="150"/>
      <c r="G737" s="150"/>
    </row>
    <row r="738" spans="2:7" ht="15.75" customHeight="1" x14ac:dyDescent="0.2">
      <c r="B738" s="150"/>
      <c r="C738" s="150"/>
      <c r="D738" s="150"/>
      <c r="E738" s="150"/>
      <c r="F738" s="150"/>
      <c r="G738" s="150"/>
    </row>
    <row r="739" spans="2:7" ht="15.75" customHeight="1" x14ac:dyDescent="0.2">
      <c r="B739" s="150"/>
      <c r="C739" s="150"/>
      <c r="D739" s="150"/>
      <c r="E739" s="150"/>
      <c r="F739" s="150"/>
      <c r="G739" s="150"/>
    </row>
    <row r="740" spans="2:7" ht="15.75" customHeight="1" x14ac:dyDescent="0.2">
      <c r="B740" s="150"/>
      <c r="C740" s="150"/>
      <c r="D740" s="150"/>
      <c r="E740" s="150"/>
      <c r="F740" s="150"/>
      <c r="G740" s="150"/>
    </row>
    <row r="741" spans="2:7" ht="15.75" customHeight="1" x14ac:dyDescent="0.2">
      <c r="B741" s="150"/>
      <c r="C741" s="150"/>
      <c r="D741" s="150"/>
      <c r="E741" s="150"/>
      <c r="F741" s="150"/>
      <c r="G741" s="150"/>
    </row>
    <row r="742" spans="2:7" ht="15.75" customHeight="1" x14ac:dyDescent="0.2">
      <c r="B742" s="150"/>
      <c r="C742" s="150"/>
      <c r="D742" s="150"/>
      <c r="E742" s="150"/>
      <c r="F742" s="150"/>
      <c r="G742" s="150"/>
    </row>
    <row r="743" spans="2:7" ht="15.75" customHeight="1" x14ac:dyDescent="0.2">
      <c r="B743" s="150"/>
      <c r="C743" s="150"/>
      <c r="D743" s="150"/>
      <c r="E743" s="150"/>
      <c r="F743" s="150"/>
      <c r="G743" s="150"/>
    </row>
    <row r="744" spans="2:7" ht="15.75" customHeight="1" x14ac:dyDescent="0.2">
      <c r="B744" s="150"/>
      <c r="C744" s="150"/>
      <c r="D744" s="150"/>
      <c r="E744" s="150"/>
      <c r="F744" s="150"/>
      <c r="G744" s="150"/>
    </row>
    <row r="745" spans="2:7" ht="15.75" customHeight="1" x14ac:dyDescent="0.2">
      <c r="B745" s="150"/>
      <c r="C745" s="150"/>
      <c r="D745" s="150"/>
      <c r="E745" s="150"/>
      <c r="F745" s="150"/>
      <c r="G745" s="150"/>
    </row>
    <row r="746" spans="2:7" ht="15.75" customHeight="1" x14ac:dyDescent="0.2">
      <c r="B746" s="150"/>
      <c r="C746" s="150"/>
      <c r="D746" s="150"/>
      <c r="E746" s="150"/>
      <c r="F746" s="150"/>
      <c r="G746" s="150"/>
    </row>
    <row r="747" spans="2:7" ht="15.75" customHeight="1" x14ac:dyDescent="0.2">
      <c r="B747" s="150"/>
      <c r="C747" s="150"/>
      <c r="D747" s="150"/>
      <c r="E747" s="150"/>
      <c r="F747" s="150"/>
      <c r="G747" s="150"/>
    </row>
    <row r="748" spans="2:7" ht="15.75" customHeight="1" x14ac:dyDescent="0.2">
      <c r="B748" s="150"/>
      <c r="C748" s="150"/>
      <c r="D748" s="150"/>
      <c r="E748" s="150"/>
      <c r="F748" s="150"/>
      <c r="G748" s="150"/>
    </row>
    <row r="749" spans="2:7" ht="15.75" customHeight="1" x14ac:dyDescent="0.2">
      <c r="B749" s="150"/>
      <c r="C749" s="150"/>
      <c r="D749" s="150"/>
      <c r="E749" s="150"/>
      <c r="F749" s="150"/>
      <c r="G749" s="150"/>
    </row>
    <row r="750" spans="2:7" ht="15.75" customHeight="1" x14ac:dyDescent="0.2">
      <c r="B750" s="150"/>
      <c r="C750" s="150"/>
      <c r="D750" s="150"/>
      <c r="E750" s="150"/>
      <c r="F750" s="150"/>
      <c r="G750" s="150"/>
    </row>
    <row r="751" spans="2:7" ht="15.75" customHeight="1" x14ac:dyDescent="0.2">
      <c r="B751" s="150"/>
      <c r="C751" s="150"/>
      <c r="D751" s="150"/>
      <c r="E751" s="150"/>
      <c r="F751" s="150"/>
      <c r="G751" s="150"/>
    </row>
    <row r="752" spans="2:7" ht="15.75" customHeight="1" x14ac:dyDescent="0.2">
      <c r="B752" s="150"/>
      <c r="C752" s="150"/>
      <c r="D752" s="150"/>
      <c r="E752" s="150"/>
      <c r="F752" s="150"/>
      <c r="G752" s="150"/>
    </row>
    <row r="753" spans="2:7" ht="15.75" customHeight="1" x14ac:dyDescent="0.2">
      <c r="B753" s="150"/>
      <c r="C753" s="150"/>
      <c r="D753" s="150"/>
      <c r="E753" s="150"/>
      <c r="F753" s="150"/>
      <c r="G753" s="150"/>
    </row>
    <row r="754" spans="2:7" ht="15.75" customHeight="1" x14ac:dyDescent="0.2">
      <c r="B754" s="150"/>
      <c r="C754" s="150"/>
      <c r="D754" s="150"/>
      <c r="E754" s="150"/>
      <c r="F754" s="150"/>
      <c r="G754" s="150"/>
    </row>
    <row r="755" spans="2:7" ht="15.75" customHeight="1" x14ac:dyDescent="0.2">
      <c r="B755" s="150"/>
      <c r="C755" s="150"/>
      <c r="D755" s="150"/>
      <c r="E755" s="150"/>
      <c r="F755" s="150"/>
      <c r="G755" s="150"/>
    </row>
    <row r="756" spans="2:7" ht="15.75" customHeight="1" x14ac:dyDescent="0.2">
      <c r="B756" s="150"/>
      <c r="C756" s="150"/>
      <c r="D756" s="150"/>
      <c r="E756" s="150"/>
      <c r="F756" s="150"/>
      <c r="G756" s="150"/>
    </row>
    <row r="757" spans="2:7" ht="15.75" customHeight="1" x14ac:dyDescent="0.2">
      <c r="B757" s="150"/>
      <c r="C757" s="150"/>
      <c r="D757" s="150"/>
      <c r="E757" s="150"/>
      <c r="F757" s="150"/>
      <c r="G757" s="150"/>
    </row>
    <row r="758" spans="2:7" ht="15.75" customHeight="1" x14ac:dyDescent="0.2">
      <c r="B758" s="150"/>
      <c r="C758" s="150"/>
      <c r="D758" s="150"/>
      <c r="E758" s="150"/>
      <c r="F758" s="150"/>
      <c r="G758" s="150"/>
    </row>
    <row r="759" spans="2:7" ht="15.75" customHeight="1" x14ac:dyDescent="0.2">
      <c r="B759" s="150"/>
      <c r="C759" s="150"/>
      <c r="D759" s="150"/>
      <c r="E759" s="150"/>
      <c r="F759" s="150"/>
      <c r="G759" s="150"/>
    </row>
    <row r="760" spans="2:7" ht="15.75" customHeight="1" x14ac:dyDescent="0.2">
      <c r="B760" s="150"/>
      <c r="C760" s="150"/>
      <c r="D760" s="150"/>
      <c r="E760" s="150"/>
      <c r="F760" s="150"/>
      <c r="G760" s="150"/>
    </row>
    <row r="761" spans="2:7" ht="15.75" customHeight="1" x14ac:dyDescent="0.2">
      <c r="B761" s="150"/>
      <c r="C761" s="150"/>
      <c r="D761" s="150"/>
      <c r="E761" s="150"/>
      <c r="F761" s="150"/>
      <c r="G761" s="150"/>
    </row>
    <row r="762" spans="2:7" ht="15.75" customHeight="1" x14ac:dyDescent="0.2">
      <c r="B762" s="150"/>
      <c r="C762" s="150"/>
      <c r="D762" s="150"/>
      <c r="E762" s="150"/>
      <c r="F762" s="150"/>
      <c r="G762" s="150"/>
    </row>
    <row r="763" spans="2:7" ht="15.75" customHeight="1" x14ac:dyDescent="0.2">
      <c r="B763" s="150"/>
      <c r="C763" s="150"/>
      <c r="D763" s="150"/>
      <c r="E763" s="150"/>
      <c r="F763" s="150"/>
      <c r="G763" s="150"/>
    </row>
    <row r="764" spans="2:7" ht="15.75" customHeight="1" x14ac:dyDescent="0.2">
      <c r="B764" s="150"/>
      <c r="C764" s="150"/>
      <c r="D764" s="150"/>
      <c r="E764" s="150"/>
      <c r="F764" s="150"/>
      <c r="G764" s="150"/>
    </row>
    <row r="765" spans="2:7" ht="15.75" customHeight="1" x14ac:dyDescent="0.2">
      <c r="B765" s="150"/>
      <c r="C765" s="150"/>
      <c r="D765" s="150"/>
      <c r="E765" s="150"/>
      <c r="F765" s="150"/>
      <c r="G765" s="150"/>
    </row>
    <row r="766" spans="2:7" ht="15.75" customHeight="1" x14ac:dyDescent="0.2">
      <c r="B766" s="150"/>
      <c r="C766" s="150"/>
      <c r="D766" s="150"/>
      <c r="E766" s="150"/>
      <c r="F766" s="150"/>
      <c r="G766" s="150"/>
    </row>
    <row r="767" spans="2:7" ht="15.75" customHeight="1" x14ac:dyDescent="0.2">
      <c r="B767" s="150"/>
      <c r="C767" s="150"/>
      <c r="D767" s="150"/>
      <c r="E767" s="150"/>
      <c r="F767" s="150"/>
      <c r="G767" s="150"/>
    </row>
    <row r="768" spans="2:7" ht="15.75" customHeight="1" x14ac:dyDescent="0.2">
      <c r="B768" s="150"/>
      <c r="C768" s="150"/>
      <c r="D768" s="150"/>
      <c r="E768" s="150"/>
      <c r="F768" s="150"/>
      <c r="G768" s="150"/>
    </row>
    <row r="769" spans="2:7" ht="15.75" customHeight="1" x14ac:dyDescent="0.2">
      <c r="B769" s="150"/>
      <c r="C769" s="150"/>
      <c r="D769" s="150"/>
      <c r="E769" s="150"/>
      <c r="F769" s="150"/>
      <c r="G769" s="150"/>
    </row>
    <row r="770" spans="2:7" ht="15.75" customHeight="1" x14ac:dyDescent="0.2">
      <c r="B770" s="150"/>
      <c r="C770" s="150"/>
      <c r="D770" s="150"/>
      <c r="E770" s="150"/>
      <c r="F770" s="150"/>
      <c r="G770" s="150"/>
    </row>
    <row r="771" spans="2:7" ht="15.75" customHeight="1" x14ac:dyDescent="0.2">
      <c r="B771" s="150"/>
      <c r="C771" s="150"/>
      <c r="D771" s="150"/>
      <c r="E771" s="150"/>
      <c r="F771" s="150"/>
      <c r="G771" s="150"/>
    </row>
    <row r="772" spans="2:7" ht="15.75" customHeight="1" x14ac:dyDescent="0.2">
      <c r="B772" s="150"/>
      <c r="C772" s="150"/>
      <c r="D772" s="150"/>
      <c r="E772" s="150"/>
      <c r="F772" s="150"/>
      <c r="G772" s="150"/>
    </row>
    <row r="773" spans="2:7" ht="15.75" customHeight="1" x14ac:dyDescent="0.2">
      <c r="B773" s="150"/>
      <c r="C773" s="150"/>
      <c r="D773" s="150"/>
      <c r="E773" s="150"/>
      <c r="F773" s="150"/>
      <c r="G773" s="150"/>
    </row>
    <row r="774" spans="2:7" ht="15.75" customHeight="1" x14ac:dyDescent="0.2">
      <c r="B774" s="150"/>
      <c r="C774" s="150"/>
      <c r="D774" s="150"/>
      <c r="E774" s="150"/>
      <c r="F774" s="150"/>
      <c r="G774" s="150"/>
    </row>
    <row r="775" spans="2:7" ht="15.75" customHeight="1" x14ac:dyDescent="0.2">
      <c r="B775" s="150"/>
      <c r="C775" s="150"/>
      <c r="D775" s="150"/>
      <c r="E775" s="150"/>
      <c r="F775" s="150"/>
      <c r="G775" s="150"/>
    </row>
    <row r="776" spans="2:7" ht="15.75" customHeight="1" x14ac:dyDescent="0.2">
      <c r="B776" s="150"/>
      <c r="C776" s="150"/>
      <c r="D776" s="150"/>
      <c r="E776" s="150"/>
      <c r="F776" s="150"/>
      <c r="G776" s="150"/>
    </row>
    <row r="777" spans="2:7" ht="15.75" customHeight="1" x14ac:dyDescent="0.2">
      <c r="B777" s="150"/>
      <c r="C777" s="150"/>
      <c r="D777" s="150"/>
      <c r="E777" s="150"/>
      <c r="F777" s="150"/>
      <c r="G777" s="150"/>
    </row>
    <row r="778" spans="2:7" ht="15.75" customHeight="1" x14ac:dyDescent="0.2">
      <c r="B778" s="150"/>
      <c r="C778" s="150"/>
      <c r="D778" s="150"/>
      <c r="E778" s="150"/>
      <c r="F778" s="150"/>
      <c r="G778" s="150"/>
    </row>
    <row r="779" spans="2:7" ht="15.75" customHeight="1" x14ac:dyDescent="0.2">
      <c r="B779" s="150"/>
      <c r="C779" s="150"/>
      <c r="D779" s="150"/>
      <c r="E779" s="150"/>
      <c r="F779" s="150"/>
      <c r="G779" s="150"/>
    </row>
    <row r="780" spans="2:7" ht="15.75" customHeight="1" x14ac:dyDescent="0.2">
      <c r="B780" s="150"/>
      <c r="C780" s="150"/>
      <c r="D780" s="150"/>
      <c r="E780" s="150"/>
      <c r="F780" s="150"/>
      <c r="G780" s="150"/>
    </row>
    <row r="781" spans="2:7" ht="15.75" customHeight="1" x14ac:dyDescent="0.2">
      <c r="B781" s="150"/>
      <c r="C781" s="150"/>
      <c r="D781" s="150"/>
      <c r="E781" s="150"/>
      <c r="F781" s="150"/>
      <c r="G781" s="150"/>
    </row>
    <row r="782" spans="2:7" ht="15.75" customHeight="1" x14ac:dyDescent="0.2">
      <c r="B782" s="150"/>
      <c r="C782" s="150"/>
      <c r="D782" s="150"/>
      <c r="E782" s="150"/>
      <c r="F782" s="150"/>
      <c r="G782" s="150"/>
    </row>
    <row r="783" spans="2:7" ht="15.75" customHeight="1" x14ac:dyDescent="0.2">
      <c r="B783" s="150"/>
      <c r="C783" s="150"/>
      <c r="D783" s="150"/>
      <c r="E783" s="150"/>
      <c r="F783" s="150"/>
      <c r="G783" s="150"/>
    </row>
    <row r="784" spans="2:7" ht="15.75" customHeight="1" x14ac:dyDescent="0.2">
      <c r="B784" s="150"/>
      <c r="C784" s="150"/>
      <c r="D784" s="150"/>
      <c r="E784" s="150"/>
      <c r="F784" s="150"/>
      <c r="G784" s="150"/>
    </row>
    <row r="785" spans="2:7" ht="15.75" customHeight="1" x14ac:dyDescent="0.2">
      <c r="B785" s="150"/>
      <c r="C785" s="150"/>
      <c r="D785" s="150"/>
      <c r="E785" s="150"/>
      <c r="F785" s="150"/>
      <c r="G785" s="150"/>
    </row>
    <row r="786" spans="2:7" ht="15.75" customHeight="1" x14ac:dyDescent="0.2">
      <c r="B786" s="150"/>
      <c r="C786" s="150"/>
      <c r="D786" s="150"/>
      <c r="E786" s="150"/>
      <c r="F786" s="150"/>
      <c r="G786" s="150"/>
    </row>
    <row r="787" spans="2:7" ht="15.75" customHeight="1" x14ac:dyDescent="0.2">
      <c r="B787" s="150"/>
      <c r="C787" s="150"/>
      <c r="D787" s="150"/>
      <c r="E787" s="150"/>
      <c r="F787" s="150"/>
      <c r="G787" s="150"/>
    </row>
    <row r="788" spans="2:7" ht="15.75" customHeight="1" x14ac:dyDescent="0.2">
      <c r="B788" s="150"/>
      <c r="C788" s="150"/>
      <c r="D788" s="150"/>
      <c r="E788" s="150"/>
      <c r="F788" s="150"/>
      <c r="G788" s="150"/>
    </row>
    <row r="789" spans="2:7" ht="15.75" customHeight="1" x14ac:dyDescent="0.2">
      <c r="B789" s="150"/>
      <c r="C789" s="150"/>
      <c r="D789" s="150"/>
      <c r="E789" s="150"/>
      <c r="F789" s="150"/>
      <c r="G789" s="150"/>
    </row>
    <row r="790" spans="2:7" ht="15.75" customHeight="1" x14ac:dyDescent="0.2">
      <c r="B790" s="150"/>
      <c r="C790" s="150"/>
      <c r="D790" s="150"/>
      <c r="E790" s="150"/>
      <c r="F790" s="150"/>
      <c r="G790" s="150"/>
    </row>
    <row r="791" spans="2:7" ht="15.75" customHeight="1" x14ac:dyDescent="0.2">
      <c r="B791" s="150"/>
      <c r="C791" s="150"/>
      <c r="D791" s="150"/>
      <c r="E791" s="150"/>
      <c r="F791" s="150"/>
      <c r="G791" s="150"/>
    </row>
    <row r="792" spans="2:7" ht="15.75" customHeight="1" x14ac:dyDescent="0.2">
      <c r="B792" s="150"/>
      <c r="C792" s="150"/>
      <c r="D792" s="150"/>
      <c r="E792" s="150"/>
      <c r="F792" s="150"/>
      <c r="G792" s="150"/>
    </row>
    <row r="793" spans="2:7" ht="15.75" customHeight="1" x14ac:dyDescent="0.2">
      <c r="B793" s="150"/>
      <c r="C793" s="150"/>
      <c r="D793" s="150"/>
      <c r="E793" s="150"/>
      <c r="F793" s="150"/>
      <c r="G793" s="150"/>
    </row>
    <row r="794" spans="2:7" ht="15.75" customHeight="1" x14ac:dyDescent="0.2">
      <c r="B794" s="150"/>
      <c r="C794" s="150"/>
      <c r="D794" s="150"/>
      <c r="E794" s="150"/>
      <c r="F794" s="150"/>
      <c r="G794" s="150"/>
    </row>
    <row r="795" spans="2:7" ht="15.75" customHeight="1" x14ac:dyDescent="0.2">
      <c r="B795" s="150"/>
      <c r="C795" s="150"/>
      <c r="D795" s="150"/>
      <c r="E795" s="150"/>
      <c r="F795" s="150"/>
      <c r="G795" s="150"/>
    </row>
    <row r="796" spans="2:7" ht="15.75" customHeight="1" x14ac:dyDescent="0.2">
      <c r="B796" s="150"/>
      <c r="C796" s="150"/>
      <c r="D796" s="150"/>
      <c r="E796" s="150"/>
      <c r="F796" s="150"/>
      <c r="G796" s="150"/>
    </row>
    <row r="797" spans="2:7" ht="15.75" customHeight="1" x14ac:dyDescent="0.2">
      <c r="B797" s="150"/>
      <c r="C797" s="150"/>
      <c r="D797" s="150"/>
      <c r="E797" s="150"/>
      <c r="F797" s="150"/>
      <c r="G797" s="150"/>
    </row>
    <row r="798" spans="2:7" ht="15.75" customHeight="1" x14ac:dyDescent="0.2">
      <c r="B798" s="150"/>
      <c r="C798" s="150"/>
      <c r="D798" s="150"/>
      <c r="E798" s="150"/>
      <c r="F798" s="150"/>
      <c r="G798" s="150"/>
    </row>
    <row r="799" spans="2:7" ht="15.75" customHeight="1" x14ac:dyDescent="0.2">
      <c r="B799" s="150"/>
      <c r="C799" s="150"/>
      <c r="D799" s="150"/>
      <c r="E799" s="150"/>
      <c r="F799" s="150"/>
      <c r="G799" s="150"/>
    </row>
    <row r="800" spans="2:7" ht="15.75" customHeight="1" x14ac:dyDescent="0.2">
      <c r="B800" s="150"/>
      <c r="C800" s="150"/>
      <c r="D800" s="150"/>
      <c r="E800" s="150"/>
      <c r="F800" s="150"/>
      <c r="G800" s="150"/>
    </row>
    <row r="801" spans="2:7" ht="15.75" customHeight="1" x14ac:dyDescent="0.2">
      <c r="B801" s="150"/>
      <c r="C801" s="150"/>
      <c r="D801" s="150"/>
      <c r="E801" s="150"/>
      <c r="F801" s="150"/>
      <c r="G801" s="150"/>
    </row>
    <row r="802" spans="2:7" ht="15.75" customHeight="1" x14ac:dyDescent="0.2">
      <c r="B802" s="150"/>
      <c r="C802" s="150"/>
      <c r="D802" s="150"/>
      <c r="E802" s="150"/>
      <c r="F802" s="150"/>
      <c r="G802" s="150"/>
    </row>
    <row r="803" spans="2:7" ht="15.75" customHeight="1" x14ac:dyDescent="0.2">
      <c r="B803" s="150"/>
      <c r="C803" s="150"/>
      <c r="D803" s="150"/>
      <c r="E803" s="150"/>
      <c r="F803" s="150"/>
      <c r="G803" s="150"/>
    </row>
    <row r="804" spans="2:7" ht="15.75" customHeight="1" x14ac:dyDescent="0.2">
      <c r="B804" s="150"/>
      <c r="C804" s="150"/>
      <c r="D804" s="150"/>
      <c r="E804" s="150"/>
      <c r="F804" s="150"/>
      <c r="G804" s="150"/>
    </row>
    <row r="805" spans="2:7" ht="15.75" customHeight="1" x14ac:dyDescent="0.2">
      <c r="B805" s="150"/>
      <c r="C805" s="150"/>
      <c r="D805" s="150"/>
      <c r="E805" s="150"/>
      <c r="F805" s="150"/>
      <c r="G805" s="150"/>
    </row>
    <row r="806" spans="2:7" ht="15.75" customHeight="1" x14ac:dyDescent="0.2">
      <c r="B806" s="150"/>
      <c r="C806" s="150"/>
      <c r="D806" s="150"/>
      <c r="E806" s="150"/>
      <c r="F806" s="150"/>
      <c r="G806" s="150"/>
    </row>
    <row r="807" spans="2:7" ht="15.75" customHeight="1" x14ac:dyDescent="0.2">
      <c r="B807" s="150"/>
      <c r="C807" s="150"/>
      <c r="D807" s="150"/>
      <c r="E807" s="150"/>
      <c r="F807" s="150"/>
      <c r="G807" s="150"/>
    </row>
    <row r="808" spans="2:7" ht="15.75" customHeight="1" x14ac:dyDescent="0.2">
      <c r="B808" s="150"/>
      <c r="C808" s="150"/>
      <c r="D808" s="150"/>
      <c r="E808" s="150"/>
      <c r="F808" s="150"/>
      <c r="G808" s="150"/>
    </row>
    <row r="809" spans="2:7" ht="15.75" customHeight="1" x14ac:dyDescent="0.2">
      <c r="B809" s="150"/>
      <c r="C809" s="150"/>
      <c r="D809" s="150"/>
      <c r="E809" s="150"/>
      <c r="F809" s="150"/>
      <c r="G809" s="150"/>
    </row>
    <row r="810" spans="2:7" ht="15.75" customHeight="1" x14ac:dyDescent="0.2">
      <c r="B810" s="150"/>
      <c r="C810" s="150"/>
      <c r="D810" s="150"/>
      <c r="E810" s="150"/>
      <c r="F810" s="150"/>
      <c r="G810" s="150"/>
    </row>
    <row r="811" spans="2:7" ht="15.75" customHeight="1" x14ac:dyDescent="0.2">
      <c r="B811" s="150"/>
      <c r="C811" s="150"/>
      <c r="D811" s="150"/>
      <c r="E811" s="150"/>
      <c r="F811" s="150"/>
      <c r="G811" s="150"/>
    </row>
    <row r="812" spans="2:7" ht="15.75" customHeight="1" x14ac:dyDescent="0.2">
      <c r="B812" s="150"/>
      <c r="C812" s="150"/>
      <c r="D812" s="150"/>
      <c r="E812" s="150"/>
      <c r="F812" s="150"/>
      <c r="G812" s="150"/>
    </row>
    <row r="813" spans="2:7" ht="15.75" customHeight="1" x14ac:dyDescent="0.2">
      <c r="B813" s="150"/>
      <c r="C813" s="150"/>
      <c r="D813" s="150"/>
      <c r="E813" s="150"/>
      <c r="F813" s="150"/>
      <c r="G813" s="150"/>
    </row>
    <row r="814" spans="2:7" ht="15.75" customHeight="1" x14ac:dyDescent="0.2">
      <c r="B814" s="150"/>
      <c r="C814" s="150"/>
      <c r="D814" s="150"/>
      <c r="E814" s="150"/>
      <c r="F814" s="150"/>
      <c r="G814" s="150"/>
    </row>
    <row r="815" spans="2:7" ht="15.75" customHeight="1" x14ac:dyDescent="0.2">
      <c r="B815" s="150"/>
      <c r="C815" s="150"/>
      <c r="D815" s="150"/>
      <c r="E815" s="150"/>
      <c r="F815" s="150"/>
      <c r="G815" s="150"/>
    </row>
    <row r="816" spans="2:7" ht="15.75" customHeight="1" x14ac:dyDescent="0.2">
      <c r="B816" s="150"/>
      <c r="C816" s="150"/>
      <c r="D816" s="150"/>
      <c r="E816" s="150"/>
      <c r="F816" s="150"/>
      <c r="G816" s="150"/>
    </row>
    <row r="817" spans="2:7" ht="15.75" customHeight="1" x14ac:dyDescent="0.2">
      <c r="B817" s="150"/>
      <c r="C817" s="150"/>
      <c r="D817" s="150"/>
      <c r="E817" s="150"/>
      <c r="F817" s="150"/>
      <c r="G817" s="150"/>
    </row>
    <row r="818" spans="2:7" ht="15.75" customHeight="1" x14ac:dyDescent="0.2">
      <c r="B818" s="150"/>
      <c r="C818" s="150"/>
      <c r="D818" s="150"/>
      <c r="E818" s="150"/>
      <c r="F818" s="150"/>
      <c r="G818" s="150"/>
    </row>
    <row r="819" spans="2:7" ht="15.75" customHeight="1" x14ac:dyDescent="0.2">
      <c r="B819" s="150"/>
      <c r="C819" s="150"/>
      <c r="D819" s="150"/>
      <c r="E819" s="150"/>
      <c r="F819" s="150"/>
      <c r="G819" s="150"/>
    </row>
    <row r="820" spans="2:7" ht="15.75" customHeight="1" x14ac:dyDescent="0.2">
      <c r="B820" s="150"/>
      <c r="C820" s="150"/>
      <c r="D820" s="150"/>
      <c r="E820" s="150"/>
      <c r="F820" s="150"/>
      <c r="G820" s="150"/>
    </row>
    <row r="821" spans="2:7" ht="15.75" customHeight="1" x14ac:dyDescent="0.2">
      <c r="B821" s="150"/>
      <c r="C821" s="150"/>
      <c r="D821" s="150"/>
      <c r="E821" s="150"/>
      <c r="F821" s="150"/>
      <c r="G821" s="150"/>
    </row>
    <row r="822" spans="2:7" ht="15.75" customHeight="1" x14ac:dyDescent="0.2">
      <c r="B822" s="150"/>
      <c r="C822" s="150"/>
      <c r="D822" s="150"/>
      <c r="E822" s="150"/>
      <c r="F822" s="150"/>
      <c r="G822" s="150"/>
    </row>
    <row r="823" spans="2:7" ht="15.75" customHeight="1" x14ac:dyDescent="0.2">
      <c r="B823" s="150"/>
      <c r="C823" s="150"/>
      <c r="D823" s="150"/>
      <c r="E823" s="150"/>
      <c r="F823" s="150"/>
      <c r="G823" s="150"/>
    </row>
    <row r="824" spans="2:7" ht="15.75" customHeight="1" x14ac:dyDescent="0.2">
      <c r="B824" s="150"/>
      <c r="C824" s="150"/>
      <c r="D824" s="150"/>
      <c r="E824" s="150"/>
      <c r="F824" s="150"/>
      <c r="G824" s="150"/>
    </row>
    <row r="825" spans="2:7" ht="15.75" customHeight="1" x14ac:dyDescent="0.2">
      <c r="B825" s="150"/>
      <c r="C825" s="150"/>
      <c r="D825" s="150"/>
      <c r="E825" s="150"/>
      <c r="F825" s="150"/>
      <c r="G825" s="150"/>
    </row>
    <row r="826" spans="2:7" ht="15.75" customHeight="1" x14ac:dyDescent="0.2">
      <c r="B826" s="150"/>
      <c r="C826" s="150"/>
      <c r="D826" s="150"/>
      <c r="E826" s="150"/>
      <c r="F826" s="150"/>
      <c r="G826" s="150"/>
    </row>
    <row r="827" spans="2:7" ht="15.75" customHeight="1" x14ac:dyDescent="0.2">
      <c r="B827" s="150"/>
      <c r="C827" s="150"/>
      <c r="D827" s="150"/>
      <c r="E827" s="150"/>
      <c r="F827" s="150"/>
      <c r="G827" s="150"/>
    </row>
    <row r="828" spans="2:7" ht="15.75" customHeight="1" x14ac:dyDescent="0.2">
      <c r="B828" s="150"/>
      <c r="C828" s="150"/>
      <c r="D828" s="150"/>
      <c r="E828" s="150"/>
      <c r="F828" s="150"/>
      <c r="G828" s="150"/>
    </row>
    <row r="829" spans="2:7" ht="15.75" customHeight="1" x14ac:dyDescent="0.2">
      <c r="B829" s="150"/>
      <c r="C829" s="150"/>
      <c r="D829" s="150"/>
      <c r="E829" s="150"/>
      <c r="F829" s="150"/>
      <c r="G829" s="150"/>
    </row>
    <row r="830" spans="2:7" ht="15.75" customHeight="1" x14ac:dyDescent="0.2">
      <c r="B830" s="150"/>
      <c r="C830" s="150"/>
      <c r="D830" s="150"/>
      <c r="E830" s="150"/>
      <c r="F830" s="150"/>
      <c r="G830" s="150"/>
    </row>
    <row r="831" spans="2:7" ht="15.75" customHeight="1" x14ac:dyDescent="0.2">
      <c r="B831" s="150"/>
      <c r="C831" s="150"/>
      <c r="D831" s="150"/>
      <c r="E831" s="150"/>
      <c r="F831" s="150"/>
      <c r="G831" s="150"/>
    </row>
    <row r="832" spans="2:7" ht="15.75" customHeight="1" x14ac:dyDescent="0.2">
      <c r="B832" s="150"/>
      <c r="C832" s="150"/>
      <c r="D832" s="150"/>
      <c r="E832" s="150"/>
      <c r="F832" s="150"/>
      <c r="G832" s="150"/>
    </row>
    <row r="833" spans="2:7" ht="15.75" customHeight="1" x14ac:dyDescent="0.2">
      <c r="B833" s="150"/>
      <c r="C833" s="150"/>
      <c r="D833" s="150"/>
      <c r="E833" s="150"/>
      <c r="F833" s="150"/>
      <c r="G833" s="150"/>
    </row>
    <row r="834" spans="2:7" ht="15.75" customHeight="1" x14ac:dyDescent="0.2">
      <c r="B834" s="150"/>
      <c r="C834" s="150"/>
      <c r="D834" s="150"/>
      <c r="E834" s="150"/>
      <c r="F834" s="150"/>
      <c r="G834" s="150"/>
    </row>
    <row r="835" spans="2:7" ht="15.75" customHeight="1" x14ac:dyDescent="0.2">
      <c r="B835" s="150"/>
      <c r="C835" s="150"/>
      <c r="D835" s="150"/>
      <c r="E835" s="150"/>
      <c r="F835" s="150"/>
      <c r="G835" s="150"/>
    </row>
    <row r="836" spans="2:7" ht="15.75" customHeight="1" x14ac:dyDescent="0.2">
      <c r="B836" s="150"/>
      <c r="C836" s="150"/>
      <c r="D836" s="150"/>
      <c r="E836" s="150"/>
      <c r="F836" s="150"/>
      <c r="G836" s="150"/>
    </row>
    <row r="837" spans="2:7" ht="15.75" customHeight="1" x14ac:dyDescent="0.2">
      <c r="B837" s="150"/>
      <c r="C837" s="150"/>
      <c r="D837" s="150"/>
      <c r="E837" s="150"/>
      <c r="F837" s="150"/>
      <c r="G837" s="150"/>
    </row>
    <row r="838" spans="2:7" ht="15.75" customHeight="1" x14ac:dyDescent="0.2">
      <c r="B838" s="150"/>
      <c r="C838" s="150"/>
      <c r="D838" s="150"/>
      <c r="E838" s="150"/>
      <c r="F838" s="150"/>
      <c r="G838" s="150"/>
    </row>
    <row r="839" spans="2:7" ht="15.75" customHeight="1" x14ac:dyDescent="0.2">
      <c r="B839" s="150"/>
      <c r="C839" s="150"/>
      <c r="D839" s="150"/>
      <c r="E839" s="150"/>
      <c r="F839" s="150"/>
      <c r="G839" s="150"/>
    </row>
    <row r="840" spans="2:7" ht="15.75" customHeight="1" x14ac:dyDescent="0.2">
      <c r="B840" s="150"/>
      <c r="C840" s="150"/>
      <c r="D840" s="150"/>
      <c r="E840" s="150"/>
      <c r="F840" s="150"/>
      <c r="G840" s="150"/>
    </row>
    <row r="841" spans="2:7" ht="15.75" customHeight="1" x14ac:dyDescent="0.2">
      <c r="B841" s="150"/>
      <c r="C841" s="150"/>
      <c r="D841" s="150"/>
      <c r="E841" s="150"/>
      <c r="F841" s="150"/>
      <c r="G841" s="150"/>
    </row>
    <row r="842" spans="2:7" ht="15.75" customHeight="1" x14ac:dyDescent="0.2">
      <c r="B842" s="150"/>
      <c r="C842" s="150"/>
      <c r="D842" s="150"/>
      <c r="E842" s="150"/>
      <c r="F842" s="150"/>
      <c r="G842" s="150"/>
    </row>
    <row r="843" spans="2:7" ht="15.75" customHeight="1" x14ac:dyDescent="0.2">
      <c r="B843" s="150"/>
      <c r="C843" s="150"/>
      <c r="D843" s="150"/>
      <c r="E843" s="150"/>
      <c r="F843" s="150"/>
      <c r="G843" s="150"/>
    </row>
    <row r="844" spans="2:7" ht="15.75" customHeight="1" x14ac:dyDescent="0.2">
      <c r="B844" s="150"/>
      <c r="C844" s="150"/>
      <c r="D844" s="150"/>
      <c r="E844" s="150"/>
      <c r="F844" s="150"/>
      <c r="G844" s="150"/>
    </row>
    <row r="845" spans="2:7" ht="15.75" customHeight="1" x14ac:dyDescent="0.2">
      <c r="B845" s="150"/>
      <c r="C845" s="150"/>
      <c r="D845" s="150"/>
      <c r="E845" s="150"/>
      <c r="F845" s="150"/>
      <c r="G845" s="150"/>
    </row>
    <row r="846" spans="2:7" ht="15.75" customHeight="1" x14ac:dyDescent="0.2">
      <c r="B846" s="150"/>
      <c r="C846" s="150"/>
      <c r="D846" s="150"/>
      <c r="E846" s="150"/>
      <c r="F846" s="150"/>
      <c r="G846" s="150"/>
    </row>
    <row r="847" spans="2:7" ht="15.75" customHeight="1" x14ac:dyDescent="0.2">
      <c r="B847" s="150"/>
      <c r="C847" s="150"/>
      <c r="D847" s="150"/>
      <c r="E847" s="150"/>
      <c r="F847" s="150"/>
      <c r="G847" s="150"/>
    </row>
    <row r="848" spans="2:7" ht="15.75" customHeight="1" x14ac:dyDescent="0.2">
      <c r="B848" s="150"/>
      <c r="C848" s="150"/>
      <c r="D848" s="150"/>
      <c r="E848" s="150"/>
      <c r="F848" s="150"/>
      <c r="G848" s="150"/>
    </row>
    <row r="849" spans="2:7" ht="15.75" customHeight="1" x14ac:dyDescent="0.2">
      <c r="B849" s="150"/>
      <c r="C849" s="150"/>
      <c r="D849" s="150"/>
      <c r="E849" s="150"/>
      <c r="F849" s="150"/>
      <c r="G849" s="150"/>
    </row>
    <row r="850" spans="2:7" ht="15.75" customHeight="1" x14ac:dyDescent="0.2">
      <c r="B850" s="150"/>
      <c r="C850" s="150"/>
      <c r="D850" s="150"/>
      <c r="E850" s="150"/>
      <c r="F850" s="150"/>
      <c r="G850" s="150"/>
    </row>
    <row r="851" spans="2:7" ht="15.75" customHeight="1" x14ac:dyDescent="0.2">
      <c r="B851" s="150"/>
      <c r="C851" s="150"/>
      <c r="D851" s="150"/>
      <c r="E851" s="150"/>
      <c r="F851" s="150"/>
      <c r="G851" s="150"/>
    </row>
    <row r="852" spans="2:7" ht="15.75" customHeight="1" x14ac:dyDescent="0.2">
      <c r="B852" s="150"/>
      <c r="C852" s="150"/>
      <c r="D852" s="150"/>
      <c r="E852" s="150"/>
      <c r="F852" s="150"/>
      <c r="G852" s="150"/>
    </row>
    <row r="853" spans="2:7" ht="15.75" customHeight="1" x14ac:dyDescent="0.2">
      <c r="B853" s="150"/>
      <c r="C853" s="150"/>
      <c r="D853" s="150"/>
      <c r="E853" s="150"/>
      <c r="F853" s="150"/>
      <c r="G853" s="150"/>
    </row>
    <row r="854" spans="2:7" ht="15.75" customHeight="1" x14ac:dyDescent="0.2">
      <c r="B854" s="150"/>
      <c r="C854" s="150"/>
      <c r="D854" s="150"/>
      <c r="E854" s="150"/>
      <c r="F854" s="150"/>
      <c r="G854" s="150"/>
    </row>
    <row r="855" spans="2:7" ht="15.75" customHeight="1" x14ac:dyDescent="0.2">
      <c r="B855" s="150"/>
      <c r="C855" s="150"/>
      <c r="D855" s="150"/>
      <c r="E855" s="150"/>
      <c r="F855" s="150"/>
      <c r="G855" s="150"/>
    </row>
    <row r="856" spans="2:7" ht="15.75" customHeight="1" x14ac:dyDescent="0.2">
      <c r="B856" s="150"/>
      <c r="C856" s="150"/>
      <c r="D856" s="150"/>
      <c r="E856" s="150"/>
      <c r="F856" s="150"/>
      <c r="G856" s="150"/>
    </row>
    <row r="857" spans="2:7" ht="15.75" customHeight="1" x14ac:dyDescent="0.2">
      <c r="B857" s="150"/>
      <c r="C857" s="150"/>
      <c r="D857" s="150"/>
      <c r="E857" s="150"/>
      <c r="F857" s="150"/>
      <c r="G857" s="150"/>
    </row>
    <row r="858" spans="2:7" ht="15.75" customHeight="1" x14ac:dyDescent="0.2">
      <c r="B858" s="150"/>
      <c r="C858" s="150"/>
      <c r="D858" s="150"/>
      <c r="E858" s="150"/>
      <c r="F858" s="150"/>
      <c r="G858" s="150"/>
    </row>
    <row r="859" spans="2:7" ht="15.75" customHeight="1" x14ac:dyDescent="0.2">
      <c r="B859" s="150"/>
      <c r="C859" s="150"/>
      <c r="D859" s="150"/>
      <c r="E859" s="150"/>
      <c r="F859" s="150"/>
      <c r="G859" s="150"/>
    </row>
    <row r="860" spans="2:7" ht="15.75" customHeight="1" x14ac:dyDescent="0.2">
      <c r="B860" s="150"/>
      <c r="C860" s="150"/>
      <c r="D860" s="150"/>
      <c r="E860" s="150"/>
      <c r="F860" s="150"/>
      <c r="G860" s="150"/>
    </row>
    <row r="861" spans="2:7" ht="15.75" customHeight="1" x14ac:dyDescent="0.2">
      <c r="B861" s="150"/>
      <c r="C861" s="150"/>
      <c r="D861" s="150"/>
      <c r="E861" s="150"/>
      <c r="F861" s="150"/>
      <c r="G861" s="150"/>
    </row>
    <row r="862" spans="2:7" ht="15.75" customHeight="1" x14ac:dyDescent="0.2">
      <c r="B862" s="150"/>
      <c r="C862" s="150"/>
      <c r="D862" s="150"/>
      <c r="E862" s="150"/>
      <c r="F862" s="150"/>
      <c r="G862" s="150"/>
    </row>
    <row r="863" spans="2:7" ht="15.75" customHeight="1" x14ac:dyDescent="0.2">
      <c r="B863" s="150"/>
      <c r="C863" s="150"/>
      <c r="D863" s="150"/>
      <c r="E863" s="150"/>
      <c r="F863" s="150"/>
      <c r="G863" s="150"/>
    </row>
    <row r="864" spans="2:7" ht="15.75" customHeight="1" x14ac:dyDescent="0.2">
      <c r="B864" s="150"/>
      <c r="C864" s="150"/>
      <c r="D864" s="150"/>
      <c r="E864" s="150"/>
      <c r="F864" s="150"/>
      <c r="G864" s="150"/>
    </row>
    <row r="865" spans="2:7" ht="15.75" customHeight="1" x14ac:dyDescent="0.2">
      <c r="B865" s="150"/>
      <c r="C865" s="150"/>
      <c r="D865" s="150"/>
      <c r="E865" s="150"/>
      <c r="F865" s="150"/>
      <c r="G865" s="150"/>
    </row>
    <row r="866" spans="2:7" ht="15.75" customHeight="1" x14ac:dyDescent="0.2">
      <c r="B866" s="150"/>
      <c r="C866" s="150"/>
      <c r="D866" s="150"/>
      <c r="E866" s="150"/>
      <c r="F866" s="150"/>
      <c r="G866" s="150"/>
    </row>
    <row r="867" spans="2:7" ht="15.75" customHeight="1" x14ac:dyDescent="0.2">
      <c r="B867" s="150"/>
      <c r="C867" s="150"/>
      <c r="D867" s="150"/>
      <c r="E867" s="150"/>
      <c r="F867" s="150"/>
      <c r="G867" s="150"/>
    </row>
    <row r="868" spans="2:7" ht="15.75" customHeight="1" x14ac:dyDescent="0.2">
      <c r="B868" s="150"/>
      <c r="C868" s="150"/>
      <c r="D868" s="150"/>
      <c r="E868" s="150"/>
      <c r="F868" s="150"/>
      <c r="G868" s="150"/>
    </row>
    <row r="869" spans="2:7" ht="15.75" customHeight="1" x14ac:dyDescent="0.2">
      <c r="B869" s="150"/>
      <c r="C869" s="150"/>
      <c r="D869" s="150"/>
      <c r="E869" s="150"/>
      <c r="F869" s="150"/>
      <c r="G869" s="150"/>
    </row>
    <row r="870" spans="2:7" ht="15.75" customHeight="1" x14ac:dyDescent="0.2">
      <c r="B870" s="150"/>
      <c r="C870" s="150"/>
      <c r="D870" s="150"/>
      <c r="E870" s="150"/>
      <c r="F870" s="150"/>
      <c r="G870" s="150"/>
    </row>
    <row r="871" spans="2:7" ht="15.75" customHeight="1" x14ac:dyDescent="0.2">
      <c r="B871" s="150"/>
      <c r="C871" s="150"/>
      <c r="D871" s="150"/>
      <c r="E871" s="150"/>
      <c r="F871" s="150"/>
      <c r="G871" s="150"/>
    </row>
    <row r="872" spans="2:7" ht="15.75" customHeight="1" x14ac:dyDescent="0.2">
      <c r="B872" s="150"/>
      <c r="C872" s="150"/>
      <c r="D872" s="150"/>
      <c r="E872" s="150"/>
      <c r="F872" s="150"/>
      <c r="G872" s="150"/>
    </row>
    <row r="873" spans="2:7" ht="15.75" customHeight="1" x14ac:dyDescent="0.2">
      <c r="B873" s="150"/>
      <c r="C873" s="150"/>
      <c r="D873" s="150"/>
      <c r="E873" s="150"/>
      <c r="F873" s="150"/>
      <c r="G873" s="150"/>
    </row>
    <row r="874" spans="2:7" ht="15.75" customHeight="1" x14ac:dyDescent="0.2">
      <c r="B874" s="150"/>
      <c r="C874" s="150"/>
      <c r="D874" s="150"/>
      <c r="E874" s="150"/>
      <c r="F874" s="150"/>
      <c r="G874" s="150"/>
    </row>
    <row r="875" spans="2:7" ht="15.75" customHeight="1" x14ac:dyDescent="0.2">
      <c r="B875" s="150"/>
      <c r="C875" s="150"/>
      <c r="D875" s="150"/>
      <c r="E875" s="150"/>
      <c r="F875" s="150"/>
      <c r="G875" s="150"/>
    </row>
    <row r="876" spans="2:7" ht="15.75" customHeight="1" x14ac:dyDescent="0.2">
      <c r="B876" s="150"/>
      <c r="C876" s="150"/>
      <c r="D876" s="150"/>
      <c r="E876" s="150"/>
      <c r="F876" s="150"/>
      <c r="G876" s="150"/>
    </row>
    <row r="877" spans="2:7" ht="15.75" customHeight="1" x14ac:dyDescent="0.2">
      <c r="B877" s="150"/>
      <c r="C877" s="150"/>
      <c r="D877" s="150"/>
      <c r="E877" s="150"/>
      <c r="F877" s="150"/>
      <c r="G877" s="150"/>
    </row>
    <row r="878" spans="2:7" ht="15.75" customHeight="1" x14ac:dyDescent="0.2">
      <c r="B878" s="150"/>
      <c r="C878" s="150"/>
      <c r="D878" s="150"/>
      <c r="E878" s="150"/>
      <c r="F878" s="150"/>
      <c r="G878" s="150"/>
    </row>
    <row r="879" spans="2:7" ht="15.75" customHeight="1" x14ac:dyDescent="0.2">
      <c r="B879" s="150"/>
      <c r="C879" s="150"/>
      <c r="D879" s="150"/>
      <c r="E879" s="150"/>
      <c r="F879" s="150"/>
      <c r="G879" s="150"/>
    </row>
    <row r="880" spans="2:7" ht="15.75" customHeight="1" x14ac:dyDescent="0.2">
      <c r="B880" s="150"/>
      <c r="C880" s="150"/>
      <c r="D880" s="150"/>
      <c r="E880" s="150"/>
      <c r="F880" s="150"/>
      <c r="G880" s="150"/>
    </row>
    <row r="881" spans="2:7" ht="15.75" customHeight="1" x14ac:dyDescent="0.2">
      <c r="B881" s="150"/>
      <c r="C881" s="150"/>
      <c r="D881" s="150"/>
      <c r="E881" s="150"/>
      <c r="F881" s="150"/>
      <c r="G881" s="150"/>
    </row>
    <row r="882" spans="2:7" ht="15.75" customHeight="1" x14ac:dyDescent="0.2">
      <c r="B882" s="150"/>
      <c r="C882" s="150"/>
      <c r="D882" s="150"/>
      <c r="E882" s="150"/>
      <c r="F882" s="150"/>
      <c r="G882" s="150"/>
    </row>
    <row r="883" spans="2:7" ht="15.75" customHeight="1" x14ac:dyDescent="0.2">
      <c r="B883" s="150"/>
      <c r="C883" s="150"/>
      <c r="D883" s="150"/>
      <c r="E883" s="150"/>
      <c r="F883" s="150"/>
      <c r="G883" s="150"/>
    </row>
    <row r="884" spans="2:7" ht="15.75" customHeight="1" x14ac:dyDescent="0.2">
      <c r="B884" s="150"/>
      <c r="C884" s="150"/>
      <c r="D884" s="150"/>
      <c r="E884" s="150"/>
      <c r="F884" s="150"/>
      <c r="G884" s="150"/>
    </row>
    <row r="885" spans="2:7" ht="15.75" customHeight="1" x14ac:dyDescent="0.2">
      <c r="B885" s="150"/>
      <c r="C885" s="150"/>
      <c r="D885" s="150"/>
      <c r="E885" s="150"/>
      <c r="F885" s="150"/>
      <c r="G885" s="150"/>
    </row>
    <row r="886" spans="2:7" ht="15.75" customHeight="1" x14ac:dyDescent="0.2">
      <c r="B886" s="150"/>
      <c r="C886" s="150"/>
      <c r="D886" s="150"/>
      <c r="E886" s="150"/>
      <c r="F886" s="150"/>
      <c r="G886" s="150"/>
    </row>
    <row r="887" spans="2:7" ht="15.75" customHeight="1" x14ac:dyDescent="0.2">
      <c r="B887" s="150"/>
      <c r="C887" s="150"/>
      <c r="D887" s="150"/>
      <c r="E887" s="150"/>
      <c r="F887" s="150"/>
      <c r="G887" s="150"/>
    </row>
    <row r="888" spans="2:7" ht="15.75" customHeight="1" x14ac:dyDescent="0.2">
      <c r="B888" s="150"/>
      <c r="C888" s="150"/>
      <c r="D888" s="150"/>
      <c r="E888" s="150"/>
      <c r="F888" s="150"/>
      <c r="G888" s="150"/>
    </row>
    <row r="889" spans="2:7" ht="15.75" customHeight="1" x14ac:dyDescent="0.2">
      <c r="B889" s="150"/>
      <c r="C889" s="150"/>
      <c r="D889" s="150"/>
      <c r="E889" s="150"/>
      <c r="F889" s="150"/>
      <c r="G889" s="150"/>
    </row>
    <row r="890" spans="2:7" ht="15.75" customHeight="1" x14ac:dyDescent="0.2">
      <c r="B890" s="150"/>
      <c r="C890" s="150"/>
      <c r="D890" s="150"/>
      <c r="E890" s="150"/>
      <c r="F890" s="150"/>
      <c r="G890" s="150"/>
    </row>
    <row r="891" spans="2:7" ht="15.75" customHeight="1" x14ac:dyDescent="0.2">
      <c r="B891" s="150"/>
      <c r="C891" s="150"/>
      <c r="D891" s="150"/>
      <c r="E891" s="150"/>
      <c r="F891" s="150"/>
      <c r="G891" s="150"/>
    </row>
    <row r="892" spans="2:7" ht="15.75" customHeight="1" x14ac:dyDescent="0.2">
      <c r="B892" s="150"/>
      <c r="C892" s="150"/>
      <c r="D892" s="150"/>
      <c r="E892" s="150"/>
      <c r="F892" s="150"/>
      <c r="G892" s="150"/>
    </row>
    <row r="893" spans="2:7" ht="15.75" customHeight="1" x14ac:dyDescent="0.2">
      <c r="B893" s="150"/>
      <c r="C893" s="150"/>
      <c r="D893" s="150"/>
      <c r="E893" s="150"/>
      <c r="F893" s="150"/>
      <c r="G893" s="150"/>
    </row>
    <row r="894" spans="2:7" ht="15.75" customHeight="1" x14ac:dyDescent="0.2">
      <c r="B894" s="150"/>
      <c r="C894" s="150"/>
      <c r="D894" s="150"/>
      <c r="E894" s="150"/>
      <c r="F894" s="150"/>
      <c r="G894" s="150"/>
    </row>
    <row r="895" spans="2:7" ht="15.75" customHeight="1" x14ac:dyDescent="0.2">
      <c r="B895" s="150"/>
      <c r="C895" s="150"/>
      <c r="D895" s="150"/>
      <c r="E895" s="150"/>
      <c r="F895" s="150"/>
      <c r="G895" s="150"/>
    </row>
    <row r="896" spans="2:7" ht="15.75" customHeight="1" x14ac:dyDescent="0.2">
      <c r="B896" s="150"/>
      <c r="C896" s="150"/>
      <c r="D896" s="150"/>
      <c r="E896" s="150"/>
      <c r="F896" s="150"/>
      <c r="G896" s="150"/>
    </row>
    <row r="897" spans="2:7" ht="15.75" customHeight="1" x14ac:dyDescent="0.2">
      <c r="B897" s="150"/>
      <c r="C897" s="150"/>
      <c r="D897" s="150"/>
      <c r="E897" s="150"/>
      <c r="F897" s="150"/>
      <c r="G897" s="150"/>
    </row>
    <row r="898" spans="2:7" ht="15.75" customHeight="1" x14ac:dyDescent="0.2">
      <c r="B898" s="150"/>
      <c r="C898" s="150"/>
      <c r="D898" s="150"/>
      <c r="E898" s="150"/>
      <c r="F898" s="150"/>
      <c r="G898" s="150"/>
    </row>
    <row r="899" spans="2:7" ht="15.75" customHeight="1" x14ac:dyDescent="0.2">
      <c r="B899" s="150"/>
      <c r="C899" s="150"/>
      <c r="D899" s="150"/>
      <c r="E899" s="150"/>
      <c r="F899" s="150"/>
      <c r="G899" s="150"/>
    </row>
    <row r="900" spans="2:7" ht="15.75" customHeight="1" x14ac:dyDescent="0.2">
      <c r="B900" s="150"/>
      <c r="C900" s="150"/>
      <c r="D900" s="150"/>
      <c r="E900" s="150"/>
      <c r="F900" s="150"/>
      <c r="G900" s="150"/>
    </row>
    <row r="901" spans="2:7" ht="15.75" customHeight="1" x14ac:dyDescent="0.2">
      <c r="B901" s="150"/>
      <c r="C901" s="150"/>
      <c r="D901" s="150"/>
      <c r="E901" s="150"/>
      <c r="F901" s="150"/>
      <c r="G901" s="150"/>
    </row>
    <row r="902" spans="2:7" ht="15.75" customHeight="1" x14ac:dyDescent="0.2">
      <c r="B902" s="150"/>
      <c r="C902" s="150"/>
      <c r="D902" s="150"/>
      <c r="E902" s="150"/>
      <c r="F902" s="150"/>
      <c r="G902" s="150"/>
    </row>
    <row r="903" spans="2:7" ht="15.75" customHeight="1" x14ac:dyDescent="0.2">
      <c r="B903" s="150"/>
      <c r="C903" s="150"/>
      <c r="D903" s="150"/>
      <c r="E903" s="150"/>
      <c r="F903" s="150"/>
      <c r="G903" s="150"/>
    </row>
    <row r="904" spans="2:7" ht="15.75" customHeight="1" x14ac:dyDescent="0.2">
      <c r="B904" s="150"/>
      <c r="C904" s="150"/>
      <c r="D904" s="150"/>
      <c r="E904" s="150"/>
      <c r="F904" s="150"/>
      <c r="G904" s="150"/>
    </row>
    <row r="905" spans="2:7" ht="15.75" customHeight="1" x14ac:dyDescent="0.2">
      <c r="B905" s="150"/>
      <c r="C905" s="150"/>
      <c r="D905" s="150"/>
      <c r="E905" s="150"/>
      <c r="F905" s="150"/>
      <c r="G905" s="150"/>
    </row>
    <row r="906" spans="2:7" ht="15.75" customHeight="1" x14ac:dyDescent="0.2">
      <c r="B906" s="150"/>
      <c r="C906" s="150"/>
      <c r="D906" s="150"/>
      <c r="E906" s="150"/>
      <c r="F906" s="150"/>
      <c r="G906" s="150"/>
    </row>
    <row r="907" spans="2:7" ht="15.75" customHeight="1" x14ac:dyDescent="0.2">
      <c r="B907" s="150"/>
      <c r="C907" s="150"/>
      <c r="D907" s="150"/>
      <c r="E907" s="150"/>
      <c r="F907" s="150"/>
      <c r="G907" s="150"/>
    </row>
    <row r="908" spans="2:7" ht="15.75" customHeight="1" x14ac:dyDescent="0.2">
      <c r="B908" s="150"/>
      <c r="C908" s="150"/>
      <c r="D908" s="150"/>
      <c r="E908" s="150"/>
      <c r="F908" s="150"/>
      <c r="G908" s="150"/>
    </row>
    <row r="909" spans="2:7" ht="15.75" customHeight="1" x14ac:dyDescent="0.2">
      <c r="B909" s="150"/>
      <c r="C909" s="150"/>
      <c r="D909" s="150"/>
      <c r="E909" s="150"/>
      <c r="F909" s="150"/>
      <c r="G909" s="150"/>
    </row>
    <row r="910" spans="2:7" ht="15.75" customHeight="1" x14ac:dyDescent="0.2">
      <c r="B910" s="150"/>
      <c r="C910" s="150"/>
      <c r="D910" s="150"/>
      <c r="E910" s="150"/>
      <c r="F910" s="150"/>
      <c r="G910" s="150"/>
    </row>
    <row r="911" spans="2:7" ht="15.75" customHeight="1" x14ac:dyDescent="0.2">
      <c r="B911" s="150"/>
      <c r="C911" s="150"/>
      <c r="D911" s="150"/>
      <c r="E911" s="150"/>
      <c r="F911" s="150"/>
      <c r="G911" s="150"/>
    </row>
    <row r="912" spans="2:7" ht="15.75" customHeight="1" x14ac:dyDescent="0.2">
      <c r="B912" s="150"/>
      <c r="C912" s="150"/>
      <c r="D912" s="150"/>
      <c r="E912" s="150"/>
      <c r="F912" s="150"/>
      <c r="G912" s="150"/>
    </row>
    <row r="913" spans="2:7" ht="15.75" customHeight="1" x14ac:dyDescent="0.2">
      <c r="B913" s="150"/>
      <c r="C913" s="150"/>
      <c r="D913" s="150"/>
      <c r="E913" s="150"/>
      <c r="F913" s="150"/>
      <c r="G913" s="150"/>
    </row>
    <row r="914" spans="2:7" ht="15.75" customHeight="1" x14ac:dyDescent="0.2">
      <c r="B914" s="150"/>
      <c r="C914" s="150"/>
      <c r="D914" s="150"/>
      <c r="E914" s="150"/>
      <c r="F914" s="150"/>
      <c r="G914" s="150"/>
    </row>
    <row r="915" spans="2:7" ht="15.75" customHeight="1" x14ac:dyDescent="0.2">
      <c r="B915" s="150"/>
      <c r="C915" s="150"/>
      <c r="D915" s="150"/>
      <c r="E915" s="150"/>
      <c r="F915" s="150"/>
      <c r="G915" s="150"/>
    </row>
    <row r="916" spans="2:7" ht="15.75" customHeight="1" x14ac:dyDescent="0.2">
      <c r="B916" s="150"/>
      <c r="C916" s="150"/>
      <c r="D916" s="150"/>
      <c r="E916" s="150"/>
      <c r="F916" s="150"/>
      <c r="G916" s="150"/>
    </row>
    <row r="917" spans="2:7" ht="15.75" customHeight="1" x14ac:dyDescent="0.2">
      <c r="B917" s="150"/>
      <c r="C917" s="150"/>
      <c r="D917" s="150"/>
      <c r="E917" s="150"/>
      <c r="F917" s="150"/>
      <c r="G917" s="150"/>
    </row>
    <row r="918" spans="2:7" ht="15.75" customHeight="1" x14ac:dyDescent="0.2">
      <c r="B918" s="150"/>
      <c r="C918" s="150"/>
      <c r="D918" s="150"/>
      <c r="E918" s="150"/>
      <c r="F918" s="150"/>
      <c r="G918" s="150"/>
    </row>
    <row r="919" spans="2:7" ht="15.75" customHeight="1" x14ac:dyDescent="0.2">
      <c r="B919" s="150"/>
      <c r="C919" s="150"/>
      <c r="D919" s="150"/>
      <c r="E919" s="150"/>
      <c r="F919" s="150"/>
      <c r="G919" s="150"/>
    </row>
    <row r="920" spans="2:7" ht="15.75" customHeight="1" x14ac:dyDescent="0.2">
      <c r="B920" s="150"/>
      <c r="C920" s="150"/>
      <c r="D920" s="150"/>
      <c r="E920" s="150"/>
      <c r="F920" s="150"/>
      <c r="G920" s="150"/>
    </row>
    <row r="921" spans="2:7" ht="15.75" customHeight="1" x14ac:dyDescent="0.2">
      <c r="B921" s="150"/>
      <c r="C921" s="150"/>
      <c r="D921" s="150"/>
      <c r="E921" s="150"/>
      <c r="F921" s="150"/>
      <c r="G921" s="150"/>
    </row>
    <row r="922" spans="2:7" ht="15.75" customHeight="1" x14ac:dyDescent="0.2">
      <c r="B922" s="150"/>
      <c r="C922" s="150"/>
      <c r="D922" s="150"/>
      <c r="E922" s="150"/>
      <c r="F922" s="150"/>
      <c r="G922" s="150"/>
    </row>
    <row r="923" spans="2:7" ht="15.75" customHeight="1" x14ac:dyDescent="0.2">
      <c r="B923" s="150"/>
      <c r="C923" s="150"/>
      <c r="D923" s="150"/>
      <c r="E923" s="150"/>
      <c r="F923" s="150"/>
      <c r="G923" s="150"/>
    </row>
    <row r="924" spans="2:7" ht="15.75" customHeight="1" x14ac:dyDescent="0.2">
      <c r="B924" s="150"/>
      <c r="C924" s="150"/>
      <c r="D924" s="150"/>
      <c r="E924" s="150"/>
      <c r="F924" s="150"/>
      <c r="G924" s="150"/>
    </row>
    <row r="925" spans="2:7" ht="15.75" customHeight="1" x14ac:dyDescent="0.2">
      <c r="B925" s="150"/>
      <c r="C925" s="150"/>
      <c r="D925" s="150"/>
      <c r="E925" s="150"/>
      <c r="F925" s="150"/>
      <c r="G925" s="150"/>
    </row>
    <row r="926" spans="2:7" ht="15.75" customHeight="1" x14ac:dyDescent="0.2">
      <c r="B926" s="150"/>
      <c r="C926" s="150"/>
      <c r="D926" s="150"/>
      <c r="E926" s="150"/>
      <c r="F926" s="150"/>
      <c r="G926" s="150"/>
    </row>
    <row r="927" spans="2:7" ht="15.75" customHeight="1" x14ac:dyDescent="0.2">
      <c r="B927" s="150"/>
      <c r="C927" s="150"/>
      <c r="D927" s="150"/>
      <c r="E927" s="150"/>
      <c r="F927" s="150"/>
      <c r="G927" s="150"/>
    </row>
    <row r="928" spans="2:7" ht="15.75" customHeight="1" x14ac:dyDescent="0.2">
      <c r="B928" s="150"/>
      <c r="C928" s="150"/>
      <c r="D928" s="150"/>
      <c r="E928" s="150"/>
      <c r="F928" s="150"/>
      <c r="G928" s="150"/>
    </row>
    <row r="929" spans="2:7" ht="15.75" customHeight="1" x14ac:dyDescent="0.2">
      <c r="B929" s="150"/>
      <c r="C929" s="150"/>
      <c r="D929" s="150"/>
      <c r="E929" s="150"/>
      <c r="F929" s="150"/>
      <c r="G929" s="150"/>
    </row>
    <row r="930" spans="2:7" ht="15.75" customHeight="1" x14ac:dyDescent="0.2">
      <c r="B930" s="150"/>
      <c r="C930" s="150"/>
      <c r="D930" s="150"/>
      <c r="E930" s="150"/>
      <c r="F930" s="150"/>
      <c r="G930" s="150"/>
    </row>
    <row r="931" spans="2:7" ht="15.75" customHeight="1" x14ac:dyDescent="0.2">
      <c r="B931" s="150"/>
      <c r="C931" s="150"/>
      <c r="D931" s="150"/>
      <c r="E931" s="150"/>
      <c r="F931" s="150"/>
      <c r="G931" s="150"/>
    </row>
    <row r="932" spans="2:7" ht="15.75" customHeight="1" x14ac:dyDescent="0.2">
      <c r="B932" s="150"/>
      <c r="C932" s="150"/>
      <c r="D932" s="150"/>
      <c r="E932" s="150"/>
      <c r="F932" s="150"/>
      <c r="G932" s="150"/>
    </row>
    <row r="933" spans="2:7" ht="15.75" customHeight="1" x14ac:dyDescent="0.2">
      <c r="B933" s="150"/>
      <c r="C933" s="150"/>
      <c r="D933" s="150"/>
      <c r="E933" s="150"/>
      <c r="F933" s="150"/>
      <c r="G933" s="150"/>
    </row>
    <row r="934" spans="2:7" ht="15.75" customHeight="1" x14ac:dyDescent="0.2">
      <c r="B934" s="150"/>
      <c r="C934" s="150"/>
      <c r="D934" s="150"/>
      <c r="E934" s="150"/>
      <c r="F934" s="150"/>
      <c r="G934" s="150"/>
    </row>
    <row r="935" spans="2:7" ht="15.75" customHeight="1" x14ac:dyDescent="0.2">
      <c r="B935" s="150"/>
      <c r="C935" s="150"/>
      <c r="D935" s="150"/>
      <c r="E935" s="150"/>
      <c r="F935" s="150"/>
      <c r="G935" s="150"/>
    </row>
    <row r="936" spans="2:7" ht="15.75" customHeight="1" x14ac:dyDescent="0.2">
      <c r="B936" s="150"/>
      <c r="C936" s="150"/>
      <c r="D936" s="150"/>
      <c r="E936" s="150"/>
      <c r="F936" s="150"/>
      <c r="G936" s="150"/>
    </row>
    <row r="937" spans="2:7" ht="15.75" customHeight="1" x14ac:dyDescent="0.2">
      <c r="B937" s="150"/>
      <c r="C937" s="150"/>
      <c r="D937" s="150"/>
      <c r="E937" s="150"/>
      <c r="F937" s="150"/>
      <c r="G937" s="150"/>
    </row>
    <row r="938" spans="2:7" ht="15.75" customHeight="1" x14ac:dyDescent="0.2">
      <c r="B938" s="150"/>
      <c r="C938" s="150"/>
      <c r="D938" s="150"/>
      <c r="E938" s="150"/>
      <c r="F938" s="150"/>
      <c r="G938" s="150"/>
    </row>
    <row r="939" spans="2:7" ht="15.75" customHeight="1" x14ac:dyDescent="0.2">
      <c r="B939" s="150"/>
      <c r="C939" s="150"/>
      <c r="D939" s="150"/>
      <c r="E939" s="150"/>
      <c r="F939" s="150"/>
      <c r="G939" s="150"/>
    </row>
    <row r="940" spans="2:7" ht="15.75" customHeight="1" x14ac:dyDescent="0.2">
      <c r="B940" s="150"/>
      <c r="C940" s="150"/>
      <c r="D940" s="150"/>
      <c r="E940" s="150"/>
      <c r="F940" s="150"/>
      <c r="G940" s="150"/>
    </row>
    <row r="941" spans="2:7" ht="15.75" customHeight="1" x14ac:dyDescent="0.2">
      <c r="B941" s="150"/>
      <c r="C941" s="150"/>
      <c r="D941" s="150"/>
      <c r="E941" s="150"/>
      <c r="F941" s="150"/>
      <c r="G941" s="150"/>
    </row>
    <row r="942" spans="2:7" ht="15.75" customHeight="1" x14ac:dyDescent="0.2">
      <c r="B942" s="150"/>
      <c r="C942" s="150"/>
      <c r="D942" s="150"/>
      <c r="E942" s="150"/>
      <c r="F942" s="150"/>
      <c r="G942" s="150"/>
    </row>
    <row r="943" spans="2:7" ht="15.75" customHeight="1" x14ac:dyDescent="0.2">
      <c r="B943" s="150"/>
      <c r="C943" s="150"/>
      <c r="D943" s="150"/>
      <c r="E943" s="150"/>
      <c r="F943" s="150"/>
      <c r="G943" s="150"/>
    </row>
    <row r="944" spans="2:7" ht="15.75" customHeight="1" x14ac:dyDescent="0.2">
      <c r="B944" s="150"/>
      <c r="C944" s="150"/>
      <c r="D944" s="150"/>
      <c r="E944" s="150"/>
      <c r="F944" s="150"/>
      <c r="G944" s="150"/>
    </row>
    <row r="945" spans="2:7" ht="15.75" customHeight="1" x14ac:dyDescent="0.2">
      <c r="B945" s="150"/>
      <c r="C945" s="150"/>
      <c r="D945" s="150"/>
      <c r="E945" s="150"/>
      <c r="F945" s="150"/>
      <c r="G945" s="150"/>
    </row>
    <row r="946" spans="2:7" ht="15.75" customHeight="1" x14ac:dyDescent="0.2">
      <c r="B946" s="150"/>
      <c r="C946" s="150"/>
      <c r="D946" s="150"/>
      <c r="E946" s="150"/>
      <c r="F946" s="150"/>
      <c r="G946" s="150"/>
    </row>
    <row r="947" spans="2:7" ht="15.75" customHeight="1" x14ac:dyDescent="0.2">
      <c r="B947" s="150"/>
      <c r="C947" s="150"/>
      <c r="D947" s="150"/>
      <c r="E947" s="150"/>
      <c r="F947" s="150"/>
      <c r="G947" s="150"/>
    </row>
    <row r="948" spans="2:7" ht="15.75" customHeight="1" x14ac:dyDescent="0.2">
      <c r="B948" s="150"/>
      <c r="C948" s="150"/>
      <c r="D948" s="150"/>
      <c r="E948" s="150"/>
      <c r="F948" s="150"/>
      <c r="G948" s="150"/>
    </row>
    <row r="949" spans="2:7" ht="15.75" customHeight="1" x14ac:dyDescent="0.2">
      <c r="B949" s="150"/>
      <c r="C949" s="150"/>
      <c r="D949" s="150"/>
      <c r="E949" s="150"/>
      <c r="F949" s="150"/>
      <c r="G949" s="150"/>
    </row>
    <row r="950" spans="2:7" ht="15.75" customHeight="1" x14ac:dyDescent="0.2">
      <c r="B950" s="150"/>
      <c r="C950" s="150"/>
      <c r="D950" s="150"/>
      <c r="E950" s="150"/>
      <c r="F950" s="150"/>
      <c r="G950" s="150"/>
    </row>
    <row r="951" spans="2:7" ht="15.75" customHeight="1" x14ac:dyDescent="0.2">
      <c r="B951" s="150"/>
      <c r="C951" s="150"/>
      <c r="D951" s="150"/>
      <c r="E951" s="150"/>
      <c r="F951" s="150"/>
      <c r="G951" s="150"/>
    </row>
    <row r="952" spans="2:7" ht="15.75" customHeight="1" x14ac:dyDescent="0.2">
      <c r="B952" s="150"/>
      <c r="C952" s="150"/>
      <c r="D952" s="150"/>
      <c r="E952" s="150"/>
      <c r="F952" s="150"/>
      <c r="G952" s="150"/>
    </row>
    <row r="953" spans="2:7" ht="15.75" customHeight="1" x14ac:dyDescent="0.2">
      <c r="B953" s="150"/>
      <c r="C953" s="150"/>
      <c r="D953" s="150"/>
      <c r="E953" s="150"/>
      <c r="F953" s="150"/>
      <c r="G953" s="150"/>
    </row>
    <row r="954" spans="2:7" ht="15.75" customHeight="1" x14ac:dyDescent="0.2">
      <c r="B954" s="150"/>
      <c r="C954" s="150"/>
      <c r="D954" s="150"/>
      <c r="E954" s="150"/>
      <c r="F954" s="150"/>
      <c r="G954" s="150"/>
    </row>
    <row r="955" spans="2:7" ht="15.75" customHeight="1" x14ac:dyDescent="0.2">
      <c r="B955" s="150"/>
      <c r="C955" s="150"/>
      <c r="D955" s="150"/>
      <c r="E955" s="150"/>
      <c r="F955" s="150"/>
      <c r="G955" s="150"/>
    </row>
    <row r="956" spans="2:7" ht="15.75" customHeight="1" x14ac:dyDescent="0.2">
      <c r="B956" s="150"/>
      <c r="C956" s="150"/>
      <c r="D956" s="150"/>
      <c r="E956" s="150"/>
      <c r="F956" s="150"/>
      <c r="G956" s="150"/>
    </row>
    <row r="957" spans="2:7" ht="15.75" customHeight="1" x14ac:dyDescent="0.2">
      <c r="B957" s="150"/>
      <c r="C957" s="150"/>
      <c r="D957" s="150"/>
      <c r="E957" s="150"/>
      <c r="F957" s="150"/>
      <c r="G957" s="150"/>
    </row>
    <row r="958" spans="2:7" ht="15.75" customHeight="1" x14ac:dyDescent="0.2">
      <c r="B958" s="150"/>
      <c r="C958" s="150"/>
      <c r="D958" s="150"/>
      <c r="E958" s="150"/>
      <c r="F958" s="150"/>
      <c r="G958" s="150"/>
    </row>
    <row r="959" spans="2:7" ht="15.75" customHeight="1" x14ac:dyDescent="0.2">
      <c r="B959" s="150"/>
      <c r="C959" s="150"/>
      <c r="D959" s="150"/>
      <c r="E959" s="150"/>
      <c r="F959" s="150"/>
      <c r="G959" s="150"/>
    </row>
    <row r="960" spans="2:7" ht="15.75" customHeight="1" x14ac:dyDescent="0.2">
      <c r="B960" s="150"/>
      <c r="C960" s="150"/>
      <c r="D960" s="150"/>
      <c r="E960" s="150"/>
      <c r="F960" s="150"/>
      <c r="G960" s="150"/>
    </row>
    <row r="961" spans="2:7" ht="15.75" customHeight="1" x14ac:dyDescent="0.2">
      <c r="B961" s="150"/>
      <c r="C961" s="150"/>
      <c r="D961" s="150"/>
      <c r="E961" s="150"/>
      <c r="F961" s="150"/>
      <c r="G961" s="150"/>
    </row>
    <row r="962" spans="2:7" ht="15.75" customHeight="1" x14ac:dyDescent="0.2">
      <c r="B962" s="150"/>
      <c r="C962" s="150"/>
      <c r="D962" s="150"/>
      <c r="E962" s="150"/>
      <c r="F962" s="150"/>
      <c r="G962" s="150"/>
    </row>
    <row r="963" spans="2:7" ht="15.75" customHeight="1" x14ac:dyDescent="0.2">
      <c r="B963" s="150"/>
      <c r="C963" s="150"/>
      <c r="D963" s="150"/>
      <c r="E963" s="150"/>
      <c r="F963" s="150"/>
      <c r="G963" s="150"/>
    </row>
    <row r="964" spans="2:7" ht="15.75" customHeight="1" x14ac:dyDescent="0.2">
      <c r="B964" s="150"/>
      <c r="C964" s="150"/>
      <c r="D964" s="150"/>
      <c r="E964" s="150"/>
      <c r="F964" s="150"/>
      <c r="G964" s="150"/>
    </row>
    <row r="965" spans="2:7" ht="15.75" customHeight="1" x14ac:dyDescent="0.2">
      <c r="B965" s="150"/>
      <c r="C965" s="150"/>
      <c r="D965" s="150"/>
      <c r="E965" s="150"/>
      <c r="F965" s="150"/>
      <c r="G965" s="150"/>
    </row>
    <row r="966" spans="2:7" ht="15.75" customHeight="1" x14ac:dyDescent="0.2">
      <c r="B966" s="150"/>
      <c r="C966" s="150"/>
      <c r="D966" s="150"/>
      <c r="E966" s="150"/>
      <c r="F966" s="150"/>
      <c r="G966" s="150"/>
    </row>
    <row r="967" spans="2:7" ht="15.75" customHeight="1" x14ac:dyDescent="0.2">
      <c r="B967" s="150"/>
      <c r="C967" s="150"/>
      <c r="D967" s="150"/>
      <c r="E967" s="150"/>
      <c r="F967" s="150"/>
      <c r="G967" s="150"/>
    </row>
    <row r="968" spans="2:7" ht="15.75" customHeight="1" x14ac:dyDescent="0.2">
      <c r="B968" s="150"/>
      <c r="C968" s="150"/>
      <c r="D968" s="150"/>
      <c r="E968" s="150"/>
      <c r="F968" s="150"/>
      <c r="G968" s="150"/>
    </row>
    <row r="969" spans="2:7" ht="15.75" customHeight="1" x14ac:dyDescent="0.2">
      <c r="B969" s="150"/>
      <c r="C969" s="150"/>
      <c r="D969" s="150"/>
      <c r="E969" s="150"/>
      <c r="F969" s="150"/>
      <c r="G969" s="150"/>
    </row>
    <row r="970" spans="2:7" ht="15.75" customHeight="1" x14ac:dyDescent="0.2">
      <c r="B970" s="150"/>
      <c r="C970" s="150"/>
      <c r="D970" s="150"/>
      <c r="E970" s="150"/>
      <c r="F970" s="150"/>
      <c r="G970" s="150"/>
    </row>
    <row r="971" spans="2:7" ht="15.75" customHeight="1" x14ac:dyDescent="0.2">
      <c r="B971" s="150"/>
      <c r="C971" s="150"/>
      <c r="D971" s="150"/>
      <c r="E971" s="150"/>
      <c r="F971" s="150"/>
      <c r="G971" s="150"/>
    </row>
    <row r="972" spans="2:7" ht="15.75" customHeight="1" x14ac:dyDescent="0.2">
      <c r="B972" s="150"/>
      <c r="C972" s="150"/>
      <c r="D972" s="150"/>
      <c r="E972" s="150"/>
      <c r="F972" s="150"/>
      <c r="G972" s="150"/>
    </row>
    <row r="973" spans="2:7" ht="15.75" customHeight="1" x14ac:dyDescent="0.2">
      <c r="B973" s="150"/>
      <c r="C973" s="150"/>
      <c r="D973" s="150"/>
      <c r="E973" s="150"/>
      <c r="F973" s="150"/>
      <c r="G973" s="150"/>
    </row>
    <row r="974" spans="2:7" ht="15.75" customHeight="1" x14ac:dyDescent="0.2">
      <c r="B974" s="150"/>
      <c r="C974" s="150"/>
      <c r="D974" s="150"/>
      <c r="E974" s="150"/>
      <c r="F974" s="150"/>
      <c r="G974" s="150"/>
    </row>
    <row r="975" spans="2:7" ht="15.75" customHeight="1" x14ac:dyDescent="0.2">
      <c r="B975" s="150"/>
      <c r="C975" s="150"/>
      <c r="D975" s="150"/>
      <c r="E975" s="150"/>
      <c r="F975" s="150"/>
      <c r="G975" s="150"/>
    </row>
    <row r="976" spans="2:7" ht="15.75" customHeight="1" x14ac:dyDescent="0.2">
      <c r="B976" s="150"/>
      <c r="C976" s="150"/>
      <c r="D976" s="150"/>
      <c r="E976" s="150"/>
      <c r="F976" s="150"/>
      <c r="G976" s="150"/>
    </row>
    <row r="977" spans="2:7" ht="15.75" customHeight="1" x14ac:dyDescent="0.2">
      <c r="B977" s="150"/>
      <c r="C977" s="150"/>
      <c r="D977" s="150"/>
      <c r="E977" s="150"/>
      <c r="F977" s="150"/>
      <c r="G977" s="150"/>
    </row>
    <row r="978" spans="2:7" ht="15.75" customHeight="1" x14ac:dyDescent="0.2">
      <c r="B978" s="150"/>
      <c r="C978" s="150"/>
      <c r="D978" s="150"/>
      <c r="E978" s="150"/>
      <c r="F978" s="150"/>
      <c r="G978" s="150"/>
    </row>
    <row r="979" spans="2:7" ht="15.75" customHeight="1" x14ac:dyDescent="0.2">
      <c r="B979" s="150"/>
      <c r="C979" s="150"/>
      <c r="D979" s="150"/>
      <c r="E979" s="150"/>
      <c r="F979" s="150"/>
      <c r="G979" s="150"/>
    </row>
    <row r="980" spans="2:7" ht="15.75" customHeight="1" x14ac:dyDescent="0.2">
      <c r="B980" s="150"/>
      <c r="C980" s="150"/>
      <c r="D980" s="150"/>
      <c r="E980" s="150"/>
      <c r="F980" s="150"/>
      <c r="G980" s="150"/>
    </row>
    <row r="981" spans="2:7" ht="15.75" customHeight="1" x14ac:dyDescent="0.2">
      <c r="B981" s="150"/>
      <c r="C981" s="150"/>
      <c r="D981" s="150"/>
      <c r="E981" s="150"/>
      <c r="F981" s="150"/>
      <c r="G981" s="150"/>
    </row>
    <row r="982" spans="2:7" ht="15.75" customHeight="1" x14ac:dyDescent="0.2">
      <c r="B982" s="150"/>
      <c r="C982" s="150"/>
      <c r="D982" s="150"/>
      <c r="E982" s="150"/>
      <c r="F982" s="150"/>
      <c r="G982" s="150"/>
    </row>
    <row r="983" spans="2:7" ht="15.75" customHeight="1" x14ac:dyDescent="0.2">
      <c r="B983" s="150"/>
      <c r="C983" s="150"/>
      <c r="D983" s="150"/>
      <c r="E983" s="150"/>
      <c r="F983" s="150"/>
      <c r="G983" s="150"/>
    </row>
    <row r="984" spans="2:7" ht="15.75" customHeight="1" x14ac:dyDescent="0.2">
      <c r="B984" s="150"/>
      <c r="C984" s="150"/>
      <c r="D984" s="150"/>
      <c r="E984" s="150"/>
      <c r="F984" s="150"/>
      <c r="G984" s="150"/>
    </row>
    <row r="985" spans="2:7" ht="15.75" customHeight="1" x14ac:dyDescent="0.2">
      <c r="B985" s="150"/>
      <c r="C985" s="150"/>
      <c r="D985" s="150"/>
      <c r="E985" s="150"/>
      <c r="F985" s="150"/>
      <c r="G985" s="150"/>
    </row>
    <row r="986" spans="2:7" ht="15.75" customHeight="1" x14ac:dyDescent="0.2">
      <c r="B986" s="150"/>
      <c r="C986" s="150"/>
      <c r="D986" s="150"/>
      <c r="E986" s="150"/>
      <c r="F986" s="150"/>
      <c r="G986" s="150"/>
    </row>
    <row r="987" spans="2:7" ht="15.75" customHeight="1" x14ac:dyDescent="0.2">
      <c r="B987" s="150"/>
      <c r="C987" s="150"/>
      <c r="D987" s="150"/>
      <c r="E987" s="150"/>
      <c r="F987" s="150"/>
      <c r="G987" s="150"/>
    </row>
    <row r="988" spans="2:7" ht="15.75" customHeight="1" x14ac:dyDescent="0.2">
      <c r="B988" s="150"/>
      <c r="C988" s="150"/>
      <c r="D988" s="150"/>
      <c r="E988" s="150"/>
      <c r="F988" s="150"/>
      <c r="G988" s="150"/>
    </row>
    <row r="989" spans="2:7" ht="15.75" customHeight="1" x14ac:dyDescent="0.2">
      <c r="B989" s="150"/>
      <c r="C989" s="150"/>
      <c r="D989" s="150"/>
      <c r="E989" s="150"/>
      <c r="F989" s="150"/>
      <c r="G989" s="150"/>
    </row>
    <row r="990" spans="2:7" ht="15.75" customHeight="1" x14ac:dyDescent="0.2">
      <c r="B990" s="150"/>
      <c r="C990" s="150"/>
      <c r="D990" s="150"/>
      <c r="E990" s="150"/>
      <c r="F990" s="150"/>
      <c r="G990" s="150"/>
    </row>
    <row r="991" spans="2:7" ht="15.75" customHeight="1" x14ac:dyDescent="0.2">
      <c r="B991" s="150"/>
      <c r="C991" s="150"/>
      <c r="D991" s="150"/>
      <c r="E991" s="150"/>
      <c r="F991" s="150"/>
      <c r="G991" s="150"/>
    </row>
    <row r="992" spans="2:7" ht="15.75" customHeight="1" x14ac:dyDescent="0.2">
      <c r="B992" s="150"/>
      <c r="C992" s="150"/>
      <c r="D992" s="150"/>
      <c r="E992" s="150"/>
      <c r="F992" s="150"/>
      <c r="G992" s="150"/>
    </row>
    <row r="993" spans="2:7" ht="15.75" customHeight="1" x14ac:dyDescent="0.2">
      <c r="B993" s="150"/>
      <c r="C993" s="150"/>
      <c r="D993" s="150"/>
      <c r="E993" s="150"/>
      <c r="F993" s="150"/>
      <c r="G993" s="150"/>
    </row>
    <row r="994" spans="2:7" ht="15.75" customHeight="1" x14ac:dyDescent="0.2">
      <c r="B994" s="150"/>
      <c r="C994" s="150"/>
      <c r="D994" s="150"/>
      <c r="E994" s="150"/>
      <c r="F994" s="150"/>
      <c r="G994" s="150"/>
    </row>
    <row r="995" spans="2:7" ht="15.75" customHeight="1" x14ac:dyDescent="0.2">
      <c r="B995" s="150"/>
      <c r="C995" s="150"/>
      <c r="D995" s="150"/>
      <c r="E995" s="150"/>
      <c r="F995" s="150"/>
      <c r="G995" s="150"/>
    </row>
    <row r="996" spans="2:7" ht="15.75" customHeight="1" x14ac:dyDescent="0.2">
      <c r="B996" s="150"/>
      <c r="C996" s="150"/>
      <c r="D996" s="150"/>
      <c r="E996" s="150"/>
      <c r="F996" s="150"/>
      <c r="G996" s="150"/>
    </row>
    <row r="997" spans="2:7" ht="15.75" customHeight="1" x14ac:dyDescent="0.2">
      <c r="B997" s="150"/>
      <c r="C997" s="150"/>
      <c r="D997" s="150"/>
      <c r="E997" s="150"/>
      <c r="F997" s="150"/>
      <c r="G997" s="150"/>
    </row>
    <row r="998" spans="2:7" ht="15.75" customHeight="1" x14ac:dyDescent="0.2">
      <c r="B998" s="150"/>
      <c r="C998" s="150"/>
      <c r="D998" s="150"/>
      <c r="E998" s="150"/>
      <c r="F998" s="150"/>
      <c r="G998" s="150"/>
    </row>
    <row r="999" spans="2:7" ht="15.75" customHeight="1" x14ac:dyDescent="0.2">
      <c r="B999" s="150"/>
      <c r="C999" s="150"/>
      <c r="D999" s="150"/>
      <c r="E999" s="150"/>
      <c r="F999" s="150"/>
      <c r="G999" s="150"/>
    </row>
    <row r="1000" spans="2:7" ht="15.75" customHeight="1" x14ac:dyDescent="0.2">
      <c r="B1000" s="150"/>
      <c r="C1000" s="150"/>
      <c r="D1000" s="150"/>
      <c r="E1000" s="150"/>
      <c r="F1000" s="150"/>
      <c r="G1000" s="150"/>
    </row>
    <row r="1001" spans="2:7" ht="15.75" customHeight="1" x14ac:dyDescent="0.2">
      <c r="B1001" s="150"/>
      <c r="C1001" s="150"/>
      <c r="D1001" s="150"/>
      <c r="E1001" s="150"/>
      <c r="F1001" s="150"/>
      <c r="G1001" s="150"/>
    </row>
    <row r="1002" spans="2:7" ht="15.75" customHeight="1" x14ac:dyDescent="0.2">
      <c r="B1002" s="150"/>
      <c r="C1002" s="150"/>
      <c r="D1002" s="150"/>
      <c r="E1002" s="150"/>
      <c r="F1002" s="150"/>
      <c r="G1002" s="150"/>
    </row>
    <row r="1003" spans="2:7" ht="15.75" customHeight="1" x14ac:dyDescent="0.2">
      <c r="B1003" s="150"/>
      <c r="C1003" s="150"/>
      <c r="D1003" s="150"/>
      <c r="E1003" s="150"/>
      <c r="F1003" s="150"/>
      <c r="G1003" s="150"/>
    </row>
  </sheetData>
  <conditionalFormatting sqref="B34:F34">
    <cfRule type="cellIs" dxfId="11" priority="2" operator="lessThan">
      <formula>B33</formula>
    </cfRule>
    <cfRule type="cellIs" dxfId="10" priority="3" operator="greaterThanOrEqual">
      <formula>B33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showGridLines="0" zoomScaleNormal="100" workbookViewId="0">
      <selection activeCell="B32" sqref="B32"/>
    </sheetView>
  </sheetViews>
  <sheetFormatPr baseColWidth="10" defaultColWidth="14.5" defaultRowHeight="15" customHeight="1" x14ac:dyDescent="0.2"/>
  <cols>
    <col min="1" max="1" width="50" customWidth="1"/>
    <col min="2" max="7" width="14" customWidth="1"/>
    <col min="8" max="8" width="9.6640625" customWidth="1"/>
    <col min="9" max="26" width="8.6640625" customWidth="1"/>
  </cols>
  <sheetData>
    <row r="1" spans="1:7" ht="15" customHeight="1" x14ac:dyDescent="0.2">
      <c r="A1" s="149" t="s">
        <v>787</v>
      </c>
    </row>
    <row r="2" spans="1:7" ht="15" customHeight="1" x14ac:dyDescent="0.2">
      <c r="A2" s="119" t="s">
        <v>788</v>
      </c>
    </row>
    <row r="4" spans="1:7" ht="15" customHeight="1" x14ac:dyDescent="0.2">
      <c r="A4" s="113" t="s">
        <v>789</v>
      </c>
    </row>
    <row r="5" spans="1:7" ht="15" customHeight="1" x14ac:dyDescent="0.2">
      <c r="A5" s="113" t="s">
        <v>147</v>
      </c>
      <c r="B5" s="151">
        <v>2026</v>
      </c>
      <c r="C5" s="151">
        <v>2027</v>
      </c>
      <c r="D5" s="151">
        <v>2028</v>
      </c>
      <c r="E5" s="151">
        <v>2029</v>
      </c>
      <c r="F5" s="151">
        <v>2030</v>
      </c>
      <c r="G5" s="151" t="s">
        <v>99</v>
      </c>
    </row>
    <row r="6" spans="1:7" ht="15" customHeight="1" x14ac:dyDescent="0.2">
      <c r="A6" s="119" t="s">
        <v>756</v>
      </c>
      <c r="B6" s="188">
        <f>'FLUJO 5 AÑOS (5Y)'!B47</f>
        <v>3000000</v>
      </c>
      <c r="C6" s="188">
        <f>'FLUJO 5 AÑOS (5Y)'!C47</f>
        <v>3240309.8731527096</v>
      </c>
      <c r="D6" s="188">
        <f>'FLUJO 5 AÑOS (5Y)'!D47</f>
        <v>3358344.3237741119</v>
      </c>
      <c r="E6" s="188">
        <f>'FLUJO 5 AÑOS (5Y)'!E47</f>
        <v>3611074.8416918707</v>
      </c>
      <c r="F6" s="188">
        <f>'FLUJO 5 AÑOS (5Y)'!F47</f>
        <v>3840340.6641522143</v>
      </c>
      <c r="G6" s="128">
        <f>SUM(B6:F6)</f>
        <v>17050069.702770904</v>
      </c>
    </row>
    <row r="7" spans="1:7" ht="15" customHeight="1" x14ac:dyDescent="0.2">
      <c r="A7" s="119" t="s">
        <v>790</v>
      </c>
      <c r="B7" s="188">
        <f>'FLUJO 5 AÑOS (5Y)'!B26</f>
        <v>0</v>
      </c>
      <c r="C7" s="188">
        <f>'FLUJO 5 AÑOS (5Y)'!C26</f>
        <v>0</v>
      </c>
      <c r="D7" s="188">
        <f>'FLUJO 5 AÑOS (5Y)'!D26</f>
        <v>0</v>
      </c>
      <c r="E7" s="188">
        <f>'FLUJO 5 AÑOS (5Y)'!E26</f>
        <v>0</v>
      </c>
      <c r="F7" s="188">
        <f>'FLUJO 5 AÑOS (5Y)'!F26</f>
        <v>0</v>
      </c>
      <c r="G7" s="128">
        <f>SUM(B7:F7)</f>
        <v>0</v>
      </c>
    </row>
    <row r="8" spans="1:7" ht="15" customHeight="1" x14ac:dyDescent="0.2">
      <c r="A8" s="119" t="s">
        <v>791</v>
      </c>
      <c r="B8" s="188">
        <f>'FLUJO 5 AÑOS (5Y)'!B27</f>
        <v>49548.491379310348</v>
      </c>
      <c r="C8" s="188">
        <f>'FLUJO 5 AÑOS (5Y)'!C27</f>
        <v>16744.433212480893</v>
      </c>
      <c r="D8" s="188">
        <f>'FLUJO 5 AÑOS (5Y)'!D27</f>
        <v>43952.222680757317</v>
      </c>
      <c r="E8" s="188">
        <f>'FLUJO 5 AÑOS (5Y)'!E27</f>
        <v>25735.627179053565</v>
      </c>
      <c r="F8" s="188">
        <f>'FLUJO 5 AÑOS (5Y)'!F27</f>
        <v>2865.8227807543008</v>
      </c>
      <c r="G8" s="128">
        <f>SUM(B8:F8)</f>
        <v>138846.59723235641</v>
      </c>
    </row>
    <row r="9" spans="1:7" ht="15" customHeight="1" x14ac:dyDescent="0.2">
      <c r="A9" s="113" t="s">
        <v>792</v>
      </c>
      <c r="B9" s="128">
        <f t="shared" ref="B9:G9" si="0">B7+B8</f>
        <v>49548.491379310348</v>
      </c>
      <c r="C9" s="128">
        <f t="shared" si="0"/>
        <v>16744.433212480893</v>
      </c>
      <c r="D9" s="128">
        <f t="shared" si="0"/>
        <v>43952.222680757317</v>
      </c>
      <c r="E9" s="128">
        <f t="shared" si="0"/>
        <v>25735.627179053565</v>
      </c>
      <c r="F9" s="128">
        <f t="shared" si="0"/>
        <v>2865.8227807543008</v>
      </c>
      <c r="G9" s="128">
        <f t="shared" si="0"/>
        <v>138846.59723235641</v>
      </c>
    </row>
    <row r="11" spans="1:7" ht="15" customHeight="1" x14ac:dyDescent="0.2">
      <c r="A11" s="144" t="s">
        <v>793</v>
      </c>
    </row>
    <row r="12" spans="1:7" ht="15" customHeight="1" x14ac:dyDescent="0.2">
      <c r="A12" s="113" t="s">
        <v>147</v>
      </c>
      <c r="B12" s="189">
        <v>2026</v>
      </c>
      <c r="C12" s="189">
        <v>2027</v>
      </c>
      <c r="D12" s="189">
        <v>2028</v>
      </c>
      <c r="E12" s="189">
        <v>2029</v>
      </c>
      <c r="F12" s="189">
        <v>2030</v>
      </c>
      <c r="G12" s="113" t="s">
        <v>99</v>
      </c>
    </row>
    <row r="13" spans="1:7" ht="15" customHeight="1" x14ac:dyDescent="0.2">
      <c r="A13" s="119" t="s">
        <v>794</v>
      </c>
      <c r="B13" s="188">
        <f>'FLUJO 5 AÑOS (5Y)'!B21-'FLUJO 5 AÑOS (5Y)'!B24-'FLUJO 5 AÑOS (5Y)'!B25-'FLUJO 5 AÑOS (5Y)'!B26-'FLUJO 5 AÑOS (5Y)'!B27-'FLUJO 5 AÑOS (5Y)'!B28-'FLUJO 5 AÑOS (5Y)'!B29-'FLUJO 5 AÑOS (5Y)'!B30-'FLUJO 5 AÑOS (5Y)'!B31</f>
        <v>240309.87315270928</v>
      </c>
      <c r="C13" s="188">
        <f>'FLUJO 5 AÑOS (5Y)'!C21-'FLUJO 5 AÑOS (5Y)'!C24-'FLUJO 5 AÑOS (5Y)'!C25-'FLUJO 5 AÑOS (5Y)'!C26-'FLUJO 5 AÑOS (5Y)'!C27-'FLUJO 5 AÑOS (5Y)'!C28-'FLUJO 5 AÑOS (5Y)'!C29-'FLUJO 5 AÑOS (5Y)'!C30-'FLUJO 5 AÑOS (5Y)'!C31</f>
        <v>312453.0430105651</v>
      </c>
      <c r="D13" s="188">
        <f>'FLUJO 5 AÑOS (5Y)'!D21-'FLUJO 5 AÑOS (5Y)'!D24-'FLUJO 5 AÑOS (5Y)'!D25-'FLUJO 5 AÑOS (5Y)'!D26-'FLUJO 5 AÑOS (5Y)'!D27-'FLUJO 5 AÑOS (5Y)'!D28-'FLUJO 5 AÑOS (5Y)'!D29-'FLUJO 5 AÑOS (5Y)'!D30-'FLUJO 5 AÑOS (5Y)'!D31</f>
        <v>454231.17734420521</v>
      </c>
      <c r="E13" s="188">
        <f>'FLUJO 5 AÑOS (5Y)'!E21-'FLUJO 5 AÑOS (5Y)'!E24-'FLUJO 5 AÑOS (5Y)'!E25-'FLUJO 5 AÑOS (5Y)'!E26-'FLUJO 5 AÑOS (5Y)'!E27-'FLUJO 5 AÑOS (5Y)'!E28-'FLUJO 5 AÑOS (5Y)'!E29-'FLUJO 5 AÑOS (5Y)'!E30-'FLUJO 5 AÑOS (5Y)'!E31</f>
        <v>445930.31296185602</v>
      </c>
      <c r="F13" s="188">
        <f>'FLUJO 5 AÑOS (5Y)'!F21-'FLUJO 5 AÑOS (5Y)'!F24-'FLUJO 5 AÑOS (5Y)'!F25-'FLUJO 5 AÑOS (5Y)'!F26-'FLUJO 5 AÑOS (5Y)'!F27-'FLUJO 5 AÑOS (5Y)'!F28-'FLUJO 5 AÑOS (5Y)'!F29-'FLUJO 5 AÑOS (5Y)'!F30-'FLUJO 5 AÑOS (5Y)'!F31</f>
        <v>308769.70475283358</v>
      </c>
      <c r="G13" s="128">
        <f>SUM(B13:F13)</f>
        <v>1761694.1112221691</v>
      </c>
    </row>
    <row r="14" spans="1:7" ht="15" customHeight="1" x14ac:dyDescent="0.2">
      <c r="A14" s="119" t="s">
        <v>795</v>
      </c>
      <c r="B14" s="128">
        <f>MAX(0,B13-'FLUJO 5 AÑOS (5Y)'!B47*SUPUESTOS!$B$34)*SUPUESTOS!$B$33</f>
        <v>6030.9873152709279</v>
      </c>
      <c r="C14" s="128">
        <f>MAX(0,C13-'FLUJO 5 AÑOS (5Y)'!C47*SUPUESTOS!$B$34)*SUPUESTOS!$B$33</f>
        <v>11803.445062140254</v>
      </c>
      <c r="D14" s="128">
        <f>MAX(0,D13-'FLUJO 5 AÑOS (5Y)'!D47*SUPUESTOS!$B$34)*SUPUESTOS!$B$33</f>
        <v>25273.051791775852</v>
      </c>
      <c r="E14" s="128">
        <f>MAX(0,E13-'FLUJO 5 AÑOS (5Y)'!E47*SUPUESTOS!$B$34)*SUPUESTOS!$B$33</f>
        <v>22926.582246034381</v>
      </c>
      <c r="F14" s="128">
        <f>MAX(0,F13-'FLUJO 5 AÑOS (5Y)'!F47*SUPUESTOS!$B$34)*SUPUESTOS!$B$33</f>
        <v>7834.9264903700741</v>
      </c>
      <c r="G14" s="128">
        <f>SUM(B14:F14)</f>
        <v>73868.992905591484</v>
      </c>
    </row>
    <row r="15" spans="1:7" ht="15" customHeight="1" x14ac:dyDescent="0.2">
      <c r="A15" s="119" t="s">
        <v>796</v>
      </c>
      <c r="B15" s="188">
        <v>0</v>
      </c>
      <c r="C15" s="188">
        <f>B19</f>
        <v>6030.9873152709279</v>
      </c>
      <c r="D15" s="188">
        <f>C19</f>
        <v>17834.432377411184</v>
      </c>
      <c r="E15" s="188">
        <f>D19</f>
        <v>43107.484169187039</v>
      </c>
      <c r="F15" s="188">
        <f>E19</f>
        <v>66034.066415221416</v>
      </c>
      <c r="G15" s="128"/>
    </row>
    <row r="16" spans="1:7" ht="15" customHeight="1" x14ac:dyDescent="0.2">
      <c r="A16" s="119" t="s">
        <v>797</v>
      </c>
      <c r="B16" s="128">
        <f>B14+B15</f>
        <v>6030.9873152709279</v>
      </c>
      <c r="C16" s="128">
        <f>C14+C15</f>
        <v>17834.432377411184</v>
      </c>
      <c r="D16" s="128">
        <f>D14+D15</f>
        <v>43107.484169187039</v>
      </c>
      <c r="E16" s="128">
        <f>E14+E15</f>
        <v>66034.066415221416</v>
      </c>
      <c r="F16" s="128">
        <f>F14+F15</f>
        <v>73868.992905591484</v>
      </c>
      <c r="G16" s="128">
        <f>SUM(B14:F14)+B15</f>
        <v>73868.992905591484</v>
      </c>
    </row>
    <row r="17" spans="1:9" ht="15" customHeight="1" x14ac:dyDescent="0.2">
      <c r="A17" s="119" t="s">
        <v>798</v>
      </c>
      <c r="B17" s="128">
        <f>MAX(0, SUPUESTOS!$B$35*'FLUJO 5 AÑOS (5Y)'!B47-('FLUJO 5 AÑOS (5Y)'!B24+'FLUJO 5 AÑOS (5Y)'!B25+'FLUJO 5 AÑOS (5Y)'!B26+'FLUJO 5 AÑOS (5Y)'!B27+'FLUJO 5 AÑOS (5Y)'!B28))</f>
        <v>0</v>
      </c>
      <c r="C17" s="128">
        <f>MAX(0, SUPUESTOS!$B$35*'FLUJO 5 AÑOS (5Y)'!C47-('FLUJO 5 AÑOS (5Y)'!C24+'FLUJO 5 AÑOS (5Y)'!C25+'FLUJO 5 AÑOS (5Y)'!C26+'FLUJO 5 AÑOS (5Y)'!C27+'FLUJO 5 AÑOS (5Y)'!C28))</f>
        <v>41748.581459932902</v>
      </c>
      <c r="D17" s="128">
        <f>MAX(0, SUPUESTOS!$B$35*'FLUJO 5 AÑOS (5Y)'!D47-('FLUJO 5 AÑOS (5Y)'!D24+'FLUJO 5 AÑOS (5Y)'!D25+'FLUJO 5 AÑOS (5Y)'!D26+'FLUJO 5 AÑOS (5Y)'!D27+'FLUJO 5 AÑOS (5Y)'!D28))</f>
        <v>19498.23891775537</v>
      </c>
      <c r="E17" s="128">
        <f>MAX(0, SUPUESTOS!$B$35*'FLUJO 5 AÑOS (5Y)'!E47-('FLUJO 5 AÑOS (5Y)'!E24+'FLUJO 5 AÑOS (5Y)'!E25+'FLUJO 5 AÑOS (5Y)'!E26+'FLUJO 5 AÑOS (5Y)'!E27+'FLUJO 5 AÑOS (5Y)'!E28))</f>
        <v>48329.516172005009</v>
      </c>
      <c r="F17" s="128">
        <f>MAX(0, SUPUESTOS!$B$35*'FLUJO 5 AÑOS (5Y)'!F47-('FLUJO 5 AÑOS (5Y)'!F24+'FLUJO 5 AÑOS (5Y)'!F25+'FLUJO 5 AÑOS (5Y)'!F26+'FLUJO 5 AÑOS (5Y)'!F27+'FLUJO 5 AÑOS (5Y)'!F28))</f>
        <v>80828.485113638715</v>
      </c>
      <c r="G17" s="128">
        <f>SUM(B17:F17)</f>
        <v>190404.821663332</v>
      </c>
    </row>
    <row r="18" spans="1:9" ht="15" customHeight="1" x14ac:dyDescent="0.2">
      <c r="A18" s="113" t="s">
        <v>799</v>
      </c>
      <c r="B18" s="190">
        <v>0</v>
      </c>
      <c r="C18" s="190">
        <v>0</v>
      </c>
      <c r="D18" s="190">
        <v>0</v>
      </c>
      <c r="E18" s="190">
        <v>0</v>
      </c>
      <c r="F18" s="190">
        <f>MIN(F16,F17)</f>
        <v>73868.992905591484</v>
      </c>
      <c r="G18" s="190">
        <f>SUM(B18:F18)</f>
        <v>73868.992905591484</v>
      </c>
    </row>
    <row r="19" spans="1:9" ht="15" customHeight="1" x14ac:dyDescent="0.2">
      <c r="A19" s="119" t="s">
        <v>800</v>
      </c>
      <c r="B19" s="128">
        <f t="shared" ref="B19:G19" si="1">B16-B18</f>
        <v>6030.9873152709279</v>
      </c>
      <c r="C19" s="128">
        <f t="shared" si="1"/>
        <v>17834.432377411184</v>
      </c>
      <c r="D19" s="128">
        <f t="shared" si="1"/>
        <v>43107.484169187039</v>
      </c>
      <c r="E19" s="128">
        <f t="shared" si="1"/>
        <v>66034.066415221416</v>
      </c>
      <c r="F19" s="128">
        <f t="shared" si="1"/>
        <v>0</v>
      </c>
      <c r="G19" s="128">
        <f t="shared" si="1"/>
        <v>0</v>
      </c>
    </row>
    <row r="20" spans="1:9" ht="15" customHeight="1" x14ac:dyDescent="0.2">
      <c r="A20" s="191" t="s">
        <v>801</v>
      </c>
    </row>
    <row r="21" spans="1:9" ht="15" customHeight="1" x14ac:dyDescent="0.2">
      <c r="A21" s="113" t="s">
        <v>802</v>
      </c>
    </row>
    <row r="22" spans="1:9" ht="15" customHeight="1" x14ac:dyDescent="0.2">
      <c r="A22" s="113" t="s">
        <v>147</v>
      </c>
      <c r="B22" s="151">
        <v>2026</v>
      </c>
      <c r="C22" s="151">
        <v>2027</v>
      </c>
      <c r="D22" s="151">
        <v>2028</v>
      </c>
      <c r="E22" s="151">
        <v>2029</v>
      </c>
      <c r="F22" s="151">
        <v>2030</v>
      </c>
      <c r="G22" s="151" t="s">
        <v>99</v>
      </c>
    </row>
    <row r="23" spans="1:9" ht="15" customHeight="1" x14ac:dyDescent="0.2">
      <c r="A23" s="119" t="s">
        <v>726</v>
      </c>
      <c r="B23" s="188">
        <f>'FLUJO 5 AÑOS (5Y)'!B10</f>
        <v>3963879.3103448274</v>
      </c>
      <c r="C23" s="188">
        <f>'FLUJO 5 AÑOS (5Y)'!C10</f>
        <v>1339554.6569984714</v>
      </c>
      <c r="D23" s="188">
        <f>'FLUJO 5 AÑOS (5Y)'!D10</f>
        <v>3516177.8144605849</v>
      </c>
      <c r="E23" s="188">
        <f>'FLUJO 5 AÑOS (5Y)'!E10</f>
        <v>2058850.174324285</v>
      </c>
      <c r="F23" s="188">
        <f>'FLUJO 5 AÑOS (5Y)'!F10</f>
        <v>229265.82246034406</v>
      </c>
      <c r="G23" s="128">
        <f>SUM(B23:F23)</f>
        <v>11107727.778588513</v>
      </c>
    </row>
    <row r="24" spans="1:9" ht="15" customHeight="1" x14ac:dyDescent="0.2">
      <c r="A24" s="119" t="s">
        <v>803</v>
      </c>
      <c r="B24" s="128">
        <f>(B23/(1+SUPUESTOS!$B$73))*SUPUESTOS!$B$73</f>
        <v>188756.15763546797</v>
      </c>
      <c r="C24" s="128">
        <f>(C23/(1+SUPUESTOS!$B$73))*SUPUESTOS!$B$73</f>
        <v>63788.316999927214</v>
      </c>
      <c r="D24" s="128">
        <f>(D23/(1+SUPUESTOS!$B$73))*SUPUESTOS!$B$73</f>
        <v>167437.03878383737</v>
      </c>
      <c r="E24" s="128">
        <f>(E23/(1+SUPUESTOS!$B$73))*SUPUESTOS!$B$73</f>
        <v>98040.484491632611</v>
      </c>
      <c r="F24" s="128">
        <f>(F23/(1+SUPUESTOS!$B$73))*SUPUESTOS!$B$73</f>
        <v>10917.420117159241</v>
      </c>
      <c r="G24" s="128">
        <f>SUM(B24:F24)</f>
        <v>528939.41802802437</v>
      </c>
    </row>
    <row r="25" spans="1:9" ht="15" customHeight="1" x14ac:dyDescent="0.2">
      <c r="A25" s="119" t="s">
        <v>804</v>
      </c>
      <c r="B25" s="128">
        <f>(B23/(1+SUPUESTOS!$B$73))*SUPUESTOS!$B$74</f>
        <v>188756.15763546797</v>
      </c>
      <c r="C25" s="128">
        <f>(C23/(1+SUPUESTOS!$B$73))*SUPUESTOS!$B$74</f>
        <v>63788.316999927214</v>
      </c>
      <c r="D25" s="128">
        <f>(D23/(1+SUPUESTOS!$B$73))*SUPUESTOS!$B$74</f>
        <v>167437.03878383737</v>
      </c>
      <c r="E25" s="128">
        <f>(E23/(1+SUPUESTOS!$B$73))*SUPUESTOS!$B$74</f>
        <v>98040.484491632611</v>
      </c>
      <c r="F25" s="128">
        <f>(F23/(1+SUPUESTOS!$B$73))*SUPUESTOS!$B$74</f>
        <v>10917.420117159241</v>
      </c>
      <c r="G25" s="128">
        <f>SUM(B25:F25)</f>
        <v>528939.41802802437</v>
      </c>
    </row>
    <row r="26" spans="1:9" ht="15" customHeight="1" x14ac:dyDescent="0.2">
      <c r="A26" s="113" t="s">
        <v>805</v>
      </c>
      <c r="B26" s="128">
        <f>(B23/(1+SUPUESTOS!$B$73))*SUPUESTOS!$B$75</f>
        <v>0</v>
      </c>
      <c r="C26" s="128">
        <f>(C23/(1+SUPUESTOS!$B$73))*SUPUESTOS!$B$75</f>
        <v>0</v>
      </c>
      <c r="D26" s="128">
        <f>(D23/(1+SUPUESTOS!$B$73))*SUPUESTOS!$B$75</f>
        <v>0</v>
      </c>
      <c r="E26" s="128">
        <f>(E23/(1+SUPUESTOS!$B$73))*SUPUESTOS!$B$75</f>
        <v>0</v>
      </c>
      <c r="F26" s="128">
        <f>(F23/(1+SUPUESTOS!$B$73))*SUPUESTOS!$B$75</f>
        <v>0</v>
      </c>
      <c r="G26" s="128">
        <f>SUM(B26:F26)</f>
        <v>0</v>
      </c>
    </row>
    <row r="27" spans="1:9" ht="15" customHeight="1" x14ac:dyDescent="0.2">
      <c r="A27" s="119" t="s">
        <v>806</v>
      </c>
      <c r="B27" s="128">
        <f>B26*SUPUESTOS!$B$76</f>
        <v>0</v>
      </c>
      <c r="C27" s="128">
        <f>C26*SUPUESTOS!$B$76</f>
        <v>0</v>
      </c>
      <c r="D27" s="128">
        <f>D26*SUPUESTOS!$B$76</f>
        <v>0</v>
      </c>
      <c r="E27" s="128">
        <f>E26*SUPUESTOS!$B$76</f>
        <v>0</v>
      </c>
      <c r="F27" s="128">
        <f>F26*SUPUESTOS!$B$76</f>
        <v>0</v>
      </c>
      <c r="G27" s="128">
        <f>SUM(B27:F27)</f>
        <v>0</v>
      </c>
    </row>
    <row r="28" spans="1:9" ht="15" customHeight="1" x14ac:dyDescent="0.2">
      <c r="A28" s="119" t="s">
        <v>807</v>
      </c>
      <c r="B28" s="128">
        <f t="shared" ref="B28:G28" si="2">B26</f>
        <v>0</v>
      </c>
      <c r="C28" s="128">
        <f t="shared" si="2"/>
        <v>0</v>
      </c>
      <c r="D28" s="128">
        <f t="shared" si="2"/>
        <v>0</v>
      </c>
      <c r="E28" s="128">
        <f t="shared" si="2"/>
        <v>0</v>
      </c>
      <c r="F28" s="128">
        <f t="shared" si="2"/>
        <v>0</v>
      </c>
      <c r="G28" s="128">
        <f t="shared" si="2"/>
        <v>0</v>
      </c>
    </row>
    <row r="29" spans="1:9" ht="15" customHeight="1" x14ac:dyDescent="0.2">
      <c r="A29" s="192" t="s">
        <v>808</v>
      </c>
      <c r="B29" s="193">
        <f>'FLUJO 5 AÑOS (5Y)'!B81</f>
        <v>0</v>
      </c>
      <c r="C29" s="193">
        <f>'FLUJO 5 AÑOS (5Y)'!C81</f>
        <v>0</v>
      </c>
      <c r="D29" s="193">
        <f>'FLUJO 5 AÑOS (5Y)'!D81</f>
        <v>0</v>
      </c>
      <c r="E29" s="193">
        <f>'FLUJO 5 AÑOS (5Y)'!E81</f>
        <v>0</v>
      </c>
      <c r="F29" s="193">
        <f>'FLUJO 5 AÑOS (5Y)'!F81</f>
        <v>0</v>
      </c>
      <c r="G29" s="194">
        <f>SUM(B29:F29)</f>
        <v>0</v>
      </c>
    </row>
    <row r="30" spans="1:9" ht="15" customHeight="1" x14ac:dyDescent="0.2">
      <c r="A30" s="195" t="s">
        <v>809</v>
      </c>
      <c r="B30" s="196">
        <f>B9+B18+B28+B29</f>
        <v>49548.491379310348</v>
      </c>
      <c r="C30" s="196">
        <f>C9+C18+C28+C29+B32</f>
        <v>39992.924591791241</v>
      </c>
      <c r="D30" s="196">
        <f>D9+D18+D28+D29+C32</f>
        <v>43952.222680757317</v>
      </c>
      <c r="E30" s="196">
        <f>E9+E18+E28+E29+D32</f>
        <v>25735.627179053565</v>
      </c>
      <c r="F30" s="196">
        <f>F9+F18+F28+F29+E32</f>
        <v>76734.815686345784</v>
      </c>
      <c r="G30" s="196">
        <f>SUM(B30:F30)</f>
        <v>235964.08151725825</v>
      </c>
    </row>
    <row r="31" spans="1:9" ht="15" customHeight="1" x14ac:dyDescent="0.2">
      <c r="A31" s="195" t="s">
        <v>810</v>
      </c>
      <c r="B31" s="197">
        <f>B30</f>
        <v>49548.491379310348</v>
      </c>
      <c r="C31" s="197">
        <f>B31+C30</f>
        <v>89541.415971101582</v>
      </c>
      <c r="D31" s="197">
        <f>C31+D30</f>
        <v>133493.6386518589</v>
      </c>
      <c r="E31" s="197">
        <f>D31+E30</f>
        <v>159229.26583091245</v>
      </c>
      <c r="F31" s="197">
        <f>E31+F30</f>
        <v>235964.08151725825</v>
      </c>
    </row>
    <row r="32" spans="1:9" ht="15" customHeight="1" x14ac:dyDescent="0.2">
      <c r="A32" s="198" t="s">
        <v>811</v>
      </c>
      <c r="B32" s="199">
        <f>MAX(0, ('FLUJO 5 AÑOS (5Y)'!B24+'FLUJO 5 AÑOS (5Y)'!B25+'FLUJO 5 AÑOS (5Y)'!B26+'FLUJO 5 AÑOS (5Y)'!B27+'FLUJO 5 AÑOS (5Y)'!B28) - SUPUESTOS!$B$35*'FLUJO 5 AÑOS (5Y)'!B47)</f>
        <v>23248.491379310348</v>
      </c>
      <c r="C32" s="199">
        <f>MAX(0, ('FLUJO 5 AÑOS (5Y)'!C24+'FLUJO 5 AÑOS (5Y)'!C25+'FLUJO 5 AÑOS (5Y)'!C26+'FLUJO 5 AÑOS (5Y)'!C27+'FLUJO 5 AÑOS (5Y)'!C28) - SUPUESTOS!$B$35*'FLUJO 5 AÑOS (5Y)'!C47)</f>
        <v>0</v>
      </c>
      <c r="D32" s="199">
        <f>MAX(0, ('FLUJO 5 AÑOS (5Y)'!D24+'FLUJO 5 AÑOS (5Y)'!D25+'FLUJO 5 AÑOS (5Y)'!D26+'FLUJO 5 AÑOS (5Y)'!D27+'FLUJO 5 AÑOS (5Y)'!D28) - SUPUESTOS!$B$35*'FLUJO 5 AÑOS (5Y)'!D47)</f>
        <v>0</v>
      </c>
      <c r="E32" s="199">
        <f>MAX(0, ('FLUJO 5 AÑOS (5Y)'!E24+'FLUJO 5 AÑOS (5Y)'!E25+'FLUJO 5 AÑOS (5Y)'!E26+'FLUJO 5 AÑOS (5Y)'!E27+'FLUJO 5 AÑOS (5Y)'!E28) - SUPUESTOS!$B$35*'FLUJO 5 AÑOS (5Y)'!E47)</f>
        <v>0</v>
      </c>
      <c r="F32" s="199">
        <f>MAX(0, ('FLUJO 5 AÑOS (5Y)'!F24+'FLUJO 5 AÑOS (5Y)'!F25+'FLUJO 5 AÑOS (5Y)'!F26+'FLUJO 5 AÑOS (5Y)'!F27+'FLUJO 5 AÑOS (5Y)'!F28) - SUPUESTOS!$B$35*'FLUJO 5 AÑOS (5Y)'!F47)</f>
        <v>0</v>
      </c>
      <c r="G32" s="200">
        <f>SUM(B32:F32)</f>
        <v>23248.491379310348</v>
      </c>
      <c r="I32" s="119" t="s">
        <v>812</v>
      </c>
    </row>
    <row r="33" spans="1:6" ht="15" customHeight="1" x14ac:dyDescent="0.2">
      <c r="A33" s="113" t="s">
        <v>813</v>
      </c>
      <c r="B33" s="201"/>
      <c r="C33" s="201"/>
      <c r="D33" s="201"/>
      <c r="E33" s="201"/>
      <c r="F33" s="201"/>
    </row>
    <row r="34" spans="1:6" ht="15.75" customHeight="1" x14ac:dyDescent="0.2"/>
    <row r="35" spans="1:6" ht="15" customHeight="1" x14ac:dyDescent="0.2">
      <c r="A35" s="113" t="s">
        <v>814</v>
      </c>
      <c r="B35" s="113" t="s">
        <v>429</v>
      </c>
      <c r="C35" s="113" t="s">
        <v>815</v>
      </c>
      <c r="D35" s="113"/>
    </row>
    <row r="36" spans="1:6" ht="15" customHeight="1" x14ac:dyDescent="0.2">
      <c r="A36" s="119" t="s">
        <v>816</v>
      </c>
      <c r="B36" s="128">
        <f>G8</f>
        <v>138846.59723235641</v>
      </c>
      <c r="C36" s="128">
        <f>B36/5</f>
        <v>27769.31944647128</v>
      </c>
      <c r="D36" s="202"/>
    </row>
    <row r="37" spans="1:6" ht="15" customHeight="1" x14ac:dyDescent="0.2">
      <c r="A37" s="119" t="s">
        <v>817</v>
      </c>
      <c r="B37" s="128">
        <f>G8+G18</f>
        <v>212715.59013794787</v>
      </c>
      <c r="C37" s="128">
        <f>B37/5</f>
        <v>42543.118027589575</v>
      </c>
      <c r="D37" s="202"/>
      <c r="E37" s="202"/>
    </row>
    <row r="38" spans="1:6" ht="15" customHeight="1" x14ac:dyDescent="0.2">
      <c r="A38" s="119" t="s">
        <v>818</v>
      </c>
      <c r="B38" s="128">
        <f>G8+G18+G26</f>
        <v>212715.59013794787</v>
      </c>
      <c r="C38" s="128">
        <f>B38/5</f>
        <v>42543.118027589575</v>
      </c>
      <c r="D38" s="202"/>
      <c r="E38" s="202"/>
    </row>
    <row r="39" spans="1:6" ht="15" customHeight="1" x14ac:dyDescent="0.2">
      <c r="A39" s="119" t="s">
        <v>819</v>
      </c>
      <c r="B39" s="128">
        <f>G8+G18+G26+G29</f>
        <v>212715.59013794787</v>
      </c>
      <c r="C39" s="128">
        <f>B39/5</f>
        <v>42543.118027589575</v>
      </c>
      <c r="D39" s="202"/>
    </row>
    <row r="40" spans="1:6" ht="15.75" customHeight="1" x14ac:dyDescent="0.2"/>
    <row r="41" spans="1:6" ht="15" customHeight="1" x14ac:dyDescent="0.2">
      <c r="A41" s="113" t="s">
        <v>820</v>
      </c>
    </row>
    <row r="42" spans="1:6" ht="15" customHeight="1" x14ac:dyDescent="0.2">
      <c r="A42" s="119" t="s">
        <v>821</v>
      </c>
      <c r="B42" s="203">
        <f>'FLUJO 5 AÑOS (5Y)'!B65</f>
        <v>8.8919693347931039E-2</v>
      </c>
    </row>
    <row r="43" spans="1:6" ht="15" customHeight="1" x14ac:dyDescent="0.2">
      <c r="A43" s="119" t="s">
        <v>20</v>
      </c>
      <c r="B43" s="204">
        <f>'FLUJO 5 AÑOS (5Y)'!B66</f>
        <v>1.3682254935776501</v>
      </c>
    </row>
    <row r="44" spans="1:6" ht="15" customHeight="1" x14ac:dyDescent="0.2">
      <c r="A44" s="119" t="s">
        <v>822</v>
      </c>
      <c r="B44" s="128">
        <f>G13</f>
        <v>1761694.1112221691</v>
      </c>
    </row>
    <row r="45" spans="1:6" ht="15" customHeight="1" x14ac:dyDescent="0.2">
      <c r="A45" s="119" t="s">
        <v>823</v>
      </c>
      <c r="B45" s="128">
        <f>G14</f>
        <v>73868.992905591484</v>
      </c>
    </row>
    <row r="46" spans="1:6" ht="15" customHeight="1" x14ac:dyDescent="0.2">
      <c r="A46" s="119" t="s">
        <v>824</v>
      </c>
      <c r="B46" s="128">
        <f>G18</f>
        <v>73868.992905591484</v>
      </c>
    </row>
    <row r="47" spans="1:6" ht="15" customHeight="1" x14ac:dyDescent="0.2">
      <c r="A47" s="119" t="s">
        <v>825</v>
      </c>
      <c r="B47" s="205">
        <f>F32</f>
        <v>0</v>
      </c>
    </row>
    <row r="48" spans="1:6" ht="15" customHeight="1" x14ac:dyDescent="0.2">
      <c r="A48" s="119" t="s">
        <v>826</v>
      </c>
      <c r="B48" s="206">
        <f>SUPUESTOS!B30</f>
        <v>0</v>
      </c>
    </row>
    <row r="49" spans="1:1" ht="15.75" customHeight="1" x14ac:dyDescent="0.2"/>
    <row r="50" spans="1:1" ht="15" customHeight="1" x14ac:dyDescent="0.2">
      <c r="A50" s="113" t="s">
        <v>827</v>
      </c>
    </row>
    <row r="51" spans="1:1" ht="15" customHeight="1" x14ac:dyDescent="0.2">
      <c r="A51" s="119" t="s">
        <v>828</v>
      </c>
    </row>
    <row r="52" spans="1:1" ht="15" customHeight="1" x14ac:dyDescent="0.2">
      <c r="A52" s="119" t="s">
        <v>829</v>
      </c>
    </row>
    <row r="53" spans="1:1" ht="15" customHeight="1" x14ac:dyDescent="0.2">
      <c r="A53" s="119" t="s">
        <v>830</v>
      </c>
    </row>
    <row r="54" spans="1:1" ht="15" customHeight="1" x14ac:dyDescent="0.2">
      <c r="A54" s="119" t="s">
        <v>831</v>
      </c>
    </row>
    <row r="55" spans="1:1" ht="15" customHeight="1" x14ac:dyDescent="0.2">
      <c r="A55" s="119" t="s">
        <v>832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F18">
    <cfRule type="cellIs" dxfId="9" priority="2" operator="lessThan">
      <formula>B14</formula>
    </cfRule>
    <cfRule type="cellIs" dxfId="8" priority="3" operator="greaterThanOrEqual">
      <formula>B16</formula>
    </cfRule>
  </conditionalFormatting>
  <conditionalFormatting sqref="B19:G19">
    <cfRule type="cellIs" dxfId="7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showGridLines="0" zoomScaleNormal="100" workbookViewId="0"/>
  </sheetViews>
  <sheetFormatPr baseColWidth="10" defaultColWidth="14.5" defaultRowHeight="15" customHeight="1" x14ac:dyDescent="0.2"/>
  <cols>
    <col min="1" max="1" width="50" customWidth="1"/>
    <col min="2" max="13" width="15" customWidth="1"/>
    <col min="14" max="26" width="8.6640625" customWidth="1"/>
  </cols>
  <sheetData>
    <row r="1" spans="1:13" ht="15.75" customHeight="1" x14ac:dyDescent="0.2">
      <c r="A1" s="207" t="s">
        <v>833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5" customHeight="1" x14ac:dyDescent="0.2"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13" ht="15" customHeight="1" x14ac:dyDescent="0.2">
      <c r="A3" s="113" t="s">
        <v>719</v>
      </c>
      <c r="B3" s="208">
        <v>2026</v>
      </c>
      <c r="C3" s="208">
        <v>2027</v>
      </c>
      <c r="D3" s="208">
        <v>2028</v>
      </c>
      <c r="E3" s="208">
        <v>2029</v>
      </c>
      <c r="F3" s="208">
        <v>2030</v>
      </c>
      <c r="G3" s="208">
        <v>2031</v>
      </c>
      <c r="H3" s="208">
        <v>2032</v>
      </c>
      <c r="I3" s="208">
        <v>2033</v>
      </c>
      <c r="J3" s="208">
        <v>2034</v>
      </c>
      <c r="K3" s="208">
        <v>2035</v>
      </c>
      <c r="L3" s="208">
        <v>2036</v>
      </c>
      <c r="M3" s="209" t="s">
        <v>99</v>
      </c>
    </row>
    <row r="4" spans="1:13" ht="15" customHeight="1" x14ac:dyDescent="0.2">
      <c r="A4" s="115" t="s">
        <v>720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</row>
    <row r="5" spans="1:13" ht="15" customHeight="1" x14ac:dyDescent="0.2">
      <c r="A5" s="119" t="s">
        <v>721</v>
      </c>
      <c r="B5" s="153">
        <f>B44*(1-SUPUESTOS!$B$36-SUPUESTOS!$B$37)+B14</f>
        <v>2947500</v>
      </c>
      <c r="C5" s="154">
        <f t="shared" ref="C5:L5" si="0">C44+C14</f>
        <v>8276858.8731527096</v>
      </c>
      <c r="D5" s="154">
        <f t="shared" si="0"/>
        <v>13582178.780604161</v>
      </c>
      <c r="E5" s="154">
        <f t="shared" si="0"/>
        <v>19097054.036225777</v>
      </c>
      <c r="F5" s="154">
        <f t="shared" si="0"/>
        <v>27830407.798961092</v>
      </c>
      <c r="G5" s="154">
        <f t="shared" si="0"/>
        <v>36929753.333956137</v>
      </c>
      <c r="H5" s="154">
        <f t="shared" si="0"/>
        <v>46390088.77003099</v>
      </c>
      <c r="I5" s="154">
        <f t="shared" si="0"/>
        <v>56225244.962845005</v>
      </c>
      <c r="J5" s="154">
        <f t="shared" si="0"/>
        <v>58450060.553173013</v>
      </c>
      <c r="K5" s="154">
        <f t="shared" si="0"/>
        <v>60709726.878653318</v>
      </c>
      <c r="L5" s="154">
        <f t="shared" si="0"/>
        <v>63057631.254633501</v>
      </c>
      <c r="M5" s="155"/>
    </row>
    <row r="6" spans="1:13" ht="15" customHeight="1" x14ac:dyDescent="0.2">
      <c r="A6" s="119" t="s">
        <v>722</v>
      </c>
      <c r="B6" s="153">
        <f>B5*SUPUESTOS!$B$22</f>
        <v>1016379.3103448275</v>
      </c>
      <c r="C6" s="153">
        <f>C5*SUPUESTOS!$B$22</f>
        <v>2854089.2666043825</v>
      </c>
      <c r="D6" s="153">
        <f>D5*SUPUESTOS!$B$22</f>
        <v>4683509.9243462617</v>
      </c>
      <c r="E6" s="153">
        <f>E5*SUPUESTOS!$B$22</f>
        <v>6585191.0469744056</v>
      </c>
      <c r="F6" s="153">
        <f>F5*SUPUESTOS!$B$22</f>
        <v>9596692.3444693405</v>
      </c>
      <c r="G6" s="153">
        <f>G5*SUPUESTOS!$B$22</f>
        <v>12734397.701364184</v>
      </c>
      <c r="H6" s="153">
        <f>H5*SUPUESTOS!$B$22</f>
        <v>15996582.334493443</v>
      </c>
      <c r="I6" s="153">
        <f>I5*SUPUESTOS!$B$22</f>
        <v>19388015.504429311</v>
      </c>
      <c r="J6" s="153">
        <f>J5*SUPUESTOS!$B$22</f>
        <v>20155193.294197589</v>
      </c>
      <c r="K6" s="153">
        <f>K5*SUPUESTOS!$B$22</f>
        <v>20934388.57884597</v>
      </c>
      <c r="L6" s="153">
        <f>L5*SUPUESTOS!$B$22</f>
        <v>21744010.777459826</v>
      </c>
      <c r="M6" s="155"/>
    </row>
    <row r="7" spans="1:13" ht="15" customHeight="1" x14ac:dyDescent="0.2">
      <c r="A7" s="119" t="s">
        <v>723</v>
      </c>
      <c r="B7" s="156">
        <v>1</v>
      </c>
      <c r="C7" s="156">
        <v>1</v>
      </c>
      <c r="D7" s="156">
        <v>1</v>
      </c>
      <c r="E7" s="156">
        <v>1</v>
      </c>
      <c r="F7" s="156">
        <v>1</v>
      </c>
      <c r="G7" s="156">
        <v>1</v>
      </c>
      <c r="H7" s="156">
        <v>1</v>
      </c>
      <c r="I7" s="156">
        <v>1</v>
      </c>
      <c r="J7" s="156">
        <v>1</v>
      </c>
      <c r="K7" s="156">
        <v>1</v>
      </c>
      <c r="L7" s="156">
        <v>0</v>
      </c>
      <c r="M7" s="150"/>
    </row>
    <row r="8" spans="1:13" ht="15" customHeight="1" x14ac:dyDescent="0.2">
      <c r="A8" s="119" t="s">
        <v>724</v>
      </c>
      <c r="B8" s="154">
        <f>IF(B7=1,B6*SUPUESTOS!$B$23,0)</f>
        <v>1016379.3103448275</v>
      </c>
      <c r="C8" s="154">
        <f>IF(C7=1,C6*SUPUESTOS!$B$23,0)</f>
        <v>2854089.2666043825</v>
      </c>
      <c r="D8" s="154">
        <f>IF(D7=1,D6*SUPUESTOS!$B$23,0)</f>
        <v>4683509.9243462617</v>
      </c>
      <c r="E8" s="154">
        <f>IF(E7=1,E6*SUPUESTOS!$B$23,0)</f>
        <v>6585191.0469744056</v>
      </c>
      <c r="F8" s="154">
        <f>IF(F7=1,F6*SUPUESTOS!$B$23,0)</f>
        <v>9596692.3444693405</v>
      </c>
      <c r="G8" s="154">
        <f>IF(G7=1,G6*SUPUESTOS!$B$23,0)</f>
        <v>12734397.701364184</v>
      </c>
      <c r="H8" s="154">
        <f>IF(H7=1,H6*SUPUESTOS!$B$23,0)</f>
        <v>15996582.334493443</v>
      </c>
      <c r="I8" s="154">
        <f>IF(I7=1,I6*SUPUESTOS!$B$23,0)</f>
        <v>19388015.504429311</v>
      </c>
      <c r="J8" s="154">
        <f>IF(J7=1,J6*SUPUESTOS!$B$23,0)</f>
        <v>20155193.294197589</v>
      </c>
      <c r="K8" s="154">
        <f>IF(K7=1,K6*SUPUESTOS!$B$23,0)</f>
        <v>20934388.57884597</v>
      </c>
      <c r="L8" s="154">
        <f>IF(L7=1,L6*SUPUESTOS!$B$23,0)</f>
        <v>0</v>
      </c>
      <c r="M8" s="155"/>
    </row>
    <row r="9" spans="1:13" ht="15" customHeight="1" x14ac:dyDescent="0.2">
      <c r="A9" s="119" t="s">
        <v>725</v>
      </c>
      <c r="B9" s="154">
        <f t="shared" ref="B9:L9" si="1">B5-B6+B8</f>
        <v>2947500</v>
      </c>
      <c r="C9" s="154">
        <f t="shared" si="1"/>
        <v>8276858.8731527096</v>
      </c>
      <c r="D9" s="154">
        <f t="shared" si="1"/>
        <v>13582178.780604161</v>
      </c>
      <c r="E9" s="154">
        <f t="shared" si="1"/>
        <v>19097054.036225777</v>
      </c>
      <c r="F9" s="154">
        <f t="shared" si="1"/>
        <v>27830407.798961088</v>
      </c>
      <c r="G9" s="154">
        <f t="shared" si="1"/>
        <v>36929753.333956137</v>
      </c>
      <c r="H9" s="154">
        <f t="shared" si="1"/>
        <v>46390088.77003099</v>
      </c>
      <c r="I9" s="154">
        <f t="shared" si="1"/>
        <v>56225244.962845005</v>
      </c>
      <c r="J9" s="154">
        <f t="shared" si="1"/>
        <v>58450060.553173013</v>
      </c>
      <c r="K9" s="154">
        <f t="shared" si="1"/>
        <v>60709726.878653318</v>
      </c>
      <c r="L9" s="154">
        <f t="shared" si="1"/>
        <v>41313620.477173671</v>
      </c>
      <c r="M9" s="155"/>
    </row>
    <row r="10" spans="1:13" ht="15" customHeight="1" x14ac:dyDescent="0.2">
      <c r="A10" s="119" t="s">
        <v>726</v>
      </c>
      <c r="B10" s="155">
        <f>B5+B8</f>
        <v>3963879.3103448274</v>
      </c>
      <c r="C10" s="155">
        <f t="shared" ref="C10:L10" si="2">C8+MAX(0,C5-B9)</f>
        <v>8183448.1397570921</v>
      </c>
      <c r="D10" s="155">
        <f t="shared" si="2"/>
        <v>9988829.8317977134</v>
      </c>
      <c r="E10" s="155">
        <f t="shared" si="2"/>
        <v>12100066.302596021</v>
      </c>
      <c r="F10" s="155">
        <f t="shared" si="2"/>
        <v>18330046.107204653</v>
      </c>
      <c r="G10" s="155">
        <f t="shared" si="2"/>
        <v>21833743.236359231</v>
      </c>
      <c r="H10" s="155">
        <f t="shared" si="2"/>
        <v>25456917.770568296</v>
      </c>
      <c r="I10" s="155">
        <f t="shared" si="2"/>
        <v>29223171.697243325</v>
      </c>
      <c r="J10" s="155">
        <f t="shared" si="2"/>
        <v>22380008.884525597</v>
      </c>
      <c r="K10" s="155">
        <f t="shared" si="2"/>
        <v>23194054.904326275</v>
      </c>
      <c r="L10" s="155">
        <f t="shared" si="2"/>
        <v>2347904.3759801835</v>
      </c>
      <c r="M10" s="155">
        <f>SUM(B10:L10)</f>
        <v>177002070.56070322</v>
      </c>
    </row>
    <row r="11" spans="1:13" ht="15" customHeight="1" x14ac:dyDescent="0.2">
      <c r="B11" s="150">
        <f>ROUND(B10/SUPUESTOS!$B$8,0)</f>
        <v>99</v>
      </c>
      <c r="C11" s="150">
        <f>ROUND(C10/SUPUESTOS!$B$8,0)</f>
        <v>205</v>
      </c>
      <c r="D11" s="150">
        <f>ROUND(D10/SUPUESTOS!$B$8,0)</f>
        <v>250</v>
      </c>
      <c r="E11" s="150">
        <f>ROUND(E10/SUPUESTOS!$B$8,0)</f>
        <v>303</v>
      </c>
      <c r="F11" s="150">
        <f>ROUND(F10/SUPUESTOS!$B$8,0)</f>
        <v>458</v>
      </c>
      <c r="G11" s="150">
        <f>ROUND(G10/SUPUESTOS!$B$8,0)</f>
        <v>546</v>
      </c>
      <c r="H11" s="150">
        <f>ROUND(H10/SUPUESTOS!$B$8,0)</f>
        <v>636</v>
      </c>
      <c r="I11" s="150">
        <f>ROUND(I10/SUPUESTOS!$B$8,0)</f>
        <v>731</v>
      </c>
      <c r="J11" s="150">
        <f>ROUND(J10/SUPUESTOS!$B$8,0)</f>
        <v>560</v>
      </c>
      <c r="K11" s="150">
        <f>ROUND(K10/SUPUESTOS!$B$8,0)</f>
        <v>580</v>
      </c>
      <c r="L11" s="150">
        <f>ROUND(L10/SUPUESTOS!$B$8,0)</f>
        <v>59</v>
      </c>
      <c r="M11" s="150"/>
    </row>
    <row r="12" spans="1:13" ht="15" customHeight="1" x14ac:dyDescent="0.2">
      <c r="A12" s="158" t="s">
        <v>727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</row>
    <row r="13" spans="1:13" ht="15" customHeight="1" x14ac:dyDescent="0.2">
      <c r="A13" s="119" t="s">
        <v>834</v>
      </c>
      <c r="B13" s="159">
        <v>0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159">
        <v>0</v>
      </c>
      <c r="J13" s="159">
        <v>0</v>
      </c>
      <c r="K13" s="159">
        <v>0</v>
      </c>
      <c r="L13" s="159">
        <v>0</v>
      </c>
      <c r="M13" s="150"/>
    </row>
    <row r="14" spans="1:13" ht="15" customHeight="1" x14ac:dyDescent="0.2">
      <c r="A14" s="119" t="s">
        <v>729</v>
      </c>
      <c r="B14" s="154">
        <f>IF(B13=1, B44*SUPUESTOS!$B$52, 0)</f>
        <v>0</v>
      </c>
      <c r="C14" s="154">
        <f>IF(C13=1, C44*SUPUESTOS!$B$52, B14)</f>
        <v>0</v>
      </c>
      <c r="D14" s="154">
        <f>IF(D13=1, D44*SUPUESTOS!$B$52, C14)</f>
        <v>0</v>
      </c>
      <c r="E14" s="154">
        <f>IF(E13=1, E44*SUPUESTOS!$B$52, D14)</f>
        <v>0</v>
      </c>
      <c r="F14" s="154">
        <f>IF(F13=1, F44*SUPUESTOS!$B$52, E14)</f>
        <v>0</v>
      </c>
      <c r="G14" s="154">
        <f>IF(G13=1, G44*SUPUESTOS!$B$52, F14)</f>
        <v>0</v>
      </c>
      <c r="H14" s="154">
        <f>IF(H13=1, H44*SUPUESTOS!$B$52, G14)</f>
        <v>0</v>
      </c>
      <c r="I14" s="154">
        <f>IF(I13=1, I44*SUPUESTOS!$B$52, H14)</f>
        <v>0</v>
      </c>
      <c r="J14" s="154">
        <f>IF(J13=1, J44*SUPUESTOS!$B$52, I14)</f>
        <v>0</v>
      </c>
      <c r="K14" s="154">
        <f>IF(K13=1, K44*SUPUESTOS!$B$52, J14)</f>
        <v>0</v>
      </c>
      <c r="L14" s="154">
        <f>IF(L13=1, L44*SUPUESTOS!$B$52, K14)</f>
        <v>0</v>
      </c>
      <c r="M14" s="155"/>
    </row>
    <row r="15" spans="1:13" ht="15" customHeight="1" x14ac:dyDescent="0.2">
      <c r="A15" s="119" t="s">
        <v>730</v>
      </c>
      <c r="B15" s="160">
        <f t="shared" ref="B15:L15" si="3">B5</f>
        <v>2947500</v>
      </c>
      <c r="C15" s="160">
        <f t="shared" si="3"/>
        <v>8276858.8731527096</v>
      </c>
      <c r="D15" s="160">
        <f t="shared" si="3"/>
        <v>13582178.780604161</v>
      </c>
      <c r="E15" s="160">
        <f t="shared" si="3"/>
        <v>19097054.036225777</v>
      </c>
      <c r="F15" s="160">
        <f t="shared" si="3"/>
        <v>27830407.798961092</v>
      </c>
      <c r="G15" s="160">
        <f t="shared" si="3"/>
        <v>36929753.333956137</v>
      </c>
      <c r="H15" s="160">
        <f t="shared" si="3"/>
        <v>46390088.77003099</v>
      </c>
      <c r="I15" s="160">
        <f t="shared" si="3"/>
        <v>56225244.962845005</v>
      </c>
      <c r="J15" s="160">
        <f t="shared" si="3"/>
        <v>58450060.553173013</v>
      </c>
      <c r="K15" s="160">
        <f t="shared" si="3"/>
        <v>60709726.878653318</v>
      </c>
      <c r="L15" s="160">
        <f t="shared" si="3"/>
        <v>63057631.254633501</v>
      </c>
      <c r="M15" s="155"/>
    </row>
    <row r="16" spans="1:13" ht="15" customHeight="1" x14ac:dyDescent="0.2">
      <c r="A16" s="119" t="s">
        <v>731</v>
      </c>
      <c r="B16" s="210">
        <f t="shared" ref="B16:L16" si="4">IF(B5&gt;0,B14/B5,0)</f>
        <v>0</v>
      </c>
      <c r="C16" s="210">
        <f t="shared" si="4"/>
        <v>0</v>
      </c>
      <c r="D16" s="210">
        <f t="shared" si="4"/>
        <v>0</v>
      </c>
      <c r="E16" s="210">
        <f t="shared" si="4"/>
        <v>0</v>
      </c>
      <c r="F16" s="210">
        <f t="shared" si="4"/>
        <v>0</v>
      </c>
      <c r="G16" s="210">
        <f t="shared" si="4"/>
        <v>0</v>
      </c>
      <c r="H16" s="210">
        <f t="shared" si="4"/>
        <v>0</v>
      </c>
      <c r="I16" s="210">
        <f t="shared" si="4"/>
        <v>0</v>
      </c>
      <c r="J16" s="210">
        <f t="shared" si="4"/>
        <v>0</v>
      </c>
      <c r="K16" s="210">
        <f t="shared" si="4"/>
        <v>0</v>
      </c>
      <c r="L16" s="210">
        <f t="shared" si="4"/>
        <v>0</v>
      </c>
      <c r="M16" s="150"/>
    </row>
    <row r="17" spans="1:13" ht="15" customHeight="1" x14ac:dyDescent="0.2"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</row>
    <row r="18" spans="1:13" ht="15" customHeight="1" x14ac:dyDescent="0.2">
      <c r="A18" s="115" t="s">
        <v>732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</row>
    <row r="19" spans="1:13" ht="15" customHeight="1" x14ac:dyDescent="0.2">
      <c r="A19" s="119" t="s">
        <v>733</v>
      </c>
      <c r="B19" s="153">
        <f>IF(B7=1,B5*SUPUESTOS!$B$24,B5*SUPUESTOS!$B$24/2)</f>
        <v>365490</v>
      </c>
      <c r="C19" s="153">
        <f>IF(C7=1,C5*SUPUESTOS!$B$24,C5*SUPUESTOS!$B$24/2)</f>
        <v>1026330.5002709359</v>
      </c>
      <c r="D19" s="153">
        <f>IF(D7=1,D5*SUPUESTOS!$B$24,D5*SUPUESTOS!$B$24/2)</f>
        <v>1684190.168794916</v>
      </c>
      <c r="E19" s="153">
        <f>IF(E7=1,E5*SUPUESTOS!$B$24,E5*SUPUESTOS!$B$24/2)</f>
        <v>2368034.7004919965</v>
      </c>
      <c r="F19" s="153">
        <f>IF(F7=1,F5*SUPUESTOS!$B$24,F5*SUPUESTOS!$B$24/2)</f>
        <v>3450970.5670711752</v>
      </c>
      <c r="G19" s="153">
        <f>IF(G7=1,G5*SUPUESTOS!$B$24,G5*SUPUESTOS!$B$24/2)</f>
        <v>4579289.4134105612</v>
      </c>
      <c r="H19" s="153">
        <f>IF(H7=1,H5*SUPUESTOS!$B$24,H5*SUPUESTOS!$B$24/2)</f>
        <v>5752371.0074838428</v>
      </c>
      <c r="I19" s="153">
        <f>IF(I7=1,I5*SUPUESTOS!$B$24,I5*SUPUESTOS!$B$24/2)</f>
        <v>6971930.3753927806</v>
      </c>
      <c r="J19" s="153">
        <f>IF(J7=1,J5*SUPUESTOS!$B$24,J5*SUPUESTOS!$B$24/2)</f>
        <v>7247807.508593454</v>
      </c>
      <c r="K19" s="153">
        <f>IF(K7=1,K5*SUPUESTOS!$B$24,K5*SUPUESTOS!$B$24/2)</f>
        <v>7528006.1329530114</v>
      </c>
      <c r="L19" s="153">
        <f>IF(L7=1,L5*SUPUESTOS!$B$24,L5*SUPUESTOS!$B$24/2)</f>
        <v>3909573.1377872769</v>
      </c>
      <c r="M19" s="155">
        <f>SUM(B19:L19)</f>
        <v>44883993.512249947</v>
      </c>
    </row>
    <row r="20" spans="1:13" ht="15" customHeight="1" x14ac:dyDescent="0.2">
      <c r="A20" s="119" t="s">
        <v>835</v>
      </c>
      <c r="B20" s="153">
        <f>(B10/(1+SUPUESTOS!$B$38))*SUPUESTOS!$B$38</f>
        <v>188756.15763546797</v>
      </c>
      <c r="C20" s="153">
        <f>(C10/(1+SUPUESTOS!$B$38))*SUPUESTOS!$B$38</f>
        <v>389688.00665509963</v>
      </c>
      <c r="D20" s="153">
        <f>(D10/(1+SUPUESTOS!$B$38))*SUPUESTOS!$B$38</f>
        <v>475658.56341893872</v>
      </c>
      <c r="E20" s="153">
        <f>(E10/(1+SUPUESTOS!$B$38))*SUPUESTOS!$B$38</f>
        <v>576193.63345695334</v>
      </c>
      <c r="F20" s="153">
        <f>(F10/(1+SUPUESTOS!$B$38))*SUPUESTOS!$B$38</f>
        <v>872859.33843831683</v>
      </c>
      <c r="G20" s="153">
        <f>(G10/(1+SUPUESTOS!$B$38))*SUPUESTOS!$B$38</f>
        <v>1039702.0588742491</v>
      </c>
      <c r="H20" s="153">
        <f>(H10/(1+SUPUESTOS!$B$38))*SUPUESTOS!$B$38</f>
        <v>1212234.1795508713</v>
      </c>
      <c r="I20" s="153">
        <f>(I10/(1+SUPUESTOS!$B$38))*SUPUESTOS!$B$38</f>
        <v>1391579.6046306347</v>
      </c>
      <c r="J20" s="153">
        <f>(J10/(1+SUPUESTOS!$B$38))*SUPUESTOS!$B$38</f>
        <v>1065714.7087869332</v>
      </c>
      <c r="K20" s="153">
        <f>(K10/(1+SUPUESTOS!$B$38))*SUPUESTOS!$B$38</f>
        <v>1104478.804967918</v>
      </c>
      <c r="L20" s="153">
        <f>(L10/(1+SUPUESTOS!$B$38))*SUPUESTOS!$B$38</f>
        <v>111804.97028477065</v>
      </c>
      <c r="M20" s="155">
        <f>SUM(B20:L20)</f>
        <v>8428670.0267001521</v>
      </c>
    </row>
    <row r="21" spans="1:13" ht="15" customHeight="1" x14ac:dyDescent="0.2">
      <c r="A21" s="113" t="s">
        <v>735</v>
      </c>
      <c r="B21" s="155">
        <f t="shared" ref="B21:L21" si="5">B19+B20</f>
        <v>554246.15763546794</v>
      </c>
      <c r="C21" s="155">
        <f t="shared" si="5"/>
        <v>1416018.5069260355</v>
      </c>
      <c r="D21" s="155">
        <f t="shared" si="5"/>
        <v>2159848.7322138548</v>
      </c>
      <c r="E21" s="155">
        <f t="shared" si="5"/>
        <v>2944228.3339489498</v>
      </c>
      <c r="F21" s="155">
        <f t="shared" si="5"/>
        <v>4323829.9055094924</v>
      </c>
      <c r="G21" s="155">
        <f t="shared" si="5"/>
        <v>5618991.4722848106</v>
      </c>
      <c r="H21" s="155">
        <f t="shared" si="5"/>
        <v>6964605.187034714</v>
      </c>
      <c r="I21" s="155">
        <f t="shared" si="5"/>
        <v>8363509.9800234158</v>
      </c>
      <c r="J21" s="155">
        <f t="shared" si="5"/>
        <v>8313522.2173803877</v>
      </c>
      <c r="K21" s="155">
        <f t="shared" si="5"/>
        <v>8632484.9379209299</v>
      </c>
      <c r="L21" s="155">
        <f t="shared" si="5"/>
        <v>4021378.1080720476</v>
      </c>
      <c r="M21" s="155">
        <f>SUM(B21:L21)</f>
        <v>53312663.538950108</v>
      </c>
    </row>
    <row r="22" spans="1:13" ht="15.75" customHeight="1" x14ac:dyDescent="0.2"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</row>
    <row r="23" spans="1:13" ht="15" customHeight="1" x14ac:dyDescent="0.2">
      <c r="A23" s="115" t="s">
        <v>736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3" ht="15" customHeight="1" x14ac:dyDescent="0.2">
      <c r="A24" s="119" t="s">
        <v>737</v>
      </c>
      <c r="B24" s="155">
        <f>B44*SUPUESTOS!$B$28</f>
        <v>36000</v>
      </c>
      <c r="C24" s="155">
        <f>C44*SUPUESTOS!$B$28</f>
        <v>99322.306477832521</v>
      </c>
      <c r="D24" s="155">
        <f>D44*SUPUESTOS!$B$28</f>
        <v>162986.14536724993</v>
      </c>
      <c r="E24" s="155">
        <f>E44*SUPUESTOS!$B$28</f>
        <v>229164.64843470932</v>
      </c>
      <c r="F24" s="155">
        <f>F44*SUPUESTOS!$B$28</f>
        <v>333964.89358753309</v>
      </c>
      <c r="G24" s="155">
        <f>G44*SUPUESTOS!$B$28</f>
        <v>443157.04000747367</v>
      </c>
      <c r="H24" s="155">
        <f>H44*SUPUESTOS!$B$28</f>
        <v>556681.06524037186</v>
      </c>
      <c r="I24" s="155">
        <f>I44*SUPUESTOS!$B$28</f>
        <v>674702.93955414009</v>
      </c>
      <c r="J24" s="155">
        <f>J44*SUPUESTOS!$B$28</f>
        <v>701400.72663807613</v>
      </c>
      <c r="K24" s="155">
        <f>K44*SUPUESTOS!$B$28</f>
        <v>728516.72254383983</v>
      </c>
      <c r="L24" s="155">
        <f>L44*SUPUESTOS!$B$28</f>
        <v>756691.57505560201</v>
      </c>
      <c r="M24" s="155">
        <f t="shared" ref="M24:M32" si="6">SUM(B24:L24)</f>
        <v>4722588.0629068278</v>
      </c>
    </row>
    <row r="25" spans="1:13" ht="15" customHeight="1" x14ac:dyDescent="0.2">
      <c r="A25" s="119" t="s">
        <v>738</v>
      </c>
      <c r="B25" s="155">
        <f>MAX(B44*SUPUESTOS!$B$29,SUPUESTOS!$B$40)+10000</f>
        <v>31600</v>
      </c>
      <c r="C25" s="155">
        <f>MAX(C44*SUPUESTOS!$B$29,SUPUESTOS!$B$40)</f>
        <v>21600</v>
      </c>
      <c r="D25" s="155">
        <f>MAX(D44*SUPUESTOS!$B$29,SUPUESTOS!$B$40)</f>
        <v>27164.357561208322</v>
      </c>
      <c r="E25" s="155">
        <f>MAX(E44*SUPUESTOS!$B$29,SUPUESTOS!$B$40)</f>
        <v>38194.108072451556</v>
      </c>
      <c r="F25" s="155">
        <f>MAX(F44*SUPUESTOS!$B$29,SUPUESTOS!$B$40)</f>
        <v>55660.815597922185</v>
      </c>
      <c r="G25" s="155">
        <f>MAX(G44*SUPUESTOS!$B$29,SUPUESTOS!$B$40)</f>
        <v>73859.506667912283</v>
      </c>
      <c r="H25" s="155">
        <f>MAX(H44*SUPUESTOS!$B$29,SUPUESTOS!$B$40)</f>
        <v>92780.177540061981</v>
      </c>
      <c r="I25" s="155">
        <f>MAX(I44*SUPUESTOS!$B$29,SUPUESTOS!$B$40)</f>
        <v>112450.48992569001</v>
      </c>
      <c r="J25" s="155">
        <f>MAX(J44*SUPUESTOS!$B$29,SUPUESTOS!$B$40)</f>
        <v>116900.12110634602</v>
      </c>
      <c r="K25" s="155">
        <f>MAX(K44*SUPUESTOS!$B$29,SUPUESTOS!$B$40)</f>
        <v>121419.45375730663</v>
      </c>
      <c r="L25" s="155">
        <f>MAX(L44*SUPUESTOS!$B$29,SUPUESTOS!$B$40)</f>
        <v>126115.26250926701</v>
      </c>
      <c r="M25" s="155">
        <f t="shared" si="6"/>
        <v>817744.29273816594</v>
      </c>
    </row>
    <row r="26" spans="1:13" ht="15" customHeight="1" x14ac:dyDescent="0.2">
      <c r="A26" s="137" t="s">
        <v>739</v>
      </c>
      <c r="B26" s="163">
        <f>B44*SUPUESTOS!$B$30</f>
        <v>0</v>
      </c>
      <c r="C26" s="163">
        <f>C44*SUPUESTOS!$B$30</f>
        <v>0</v>
      </c>
      <c r="D26" s="163">
        <f>D44*SUPUESTOS!$B$30</f>
        <v>0</v>
      </c>
      <c r="E26" s="163">
        <f>E44*SUPUESTOS!$B$30</f>
        <v>0</v>
      </c>
      <c r="F26" s="163">
        <f>F44*SUPUESTOS!$B$30</f>
        <v>0</v>
      </c>
      <c r="G26" s="163">
        <f>G44*SUPUESTOS!$B$30</f>
        <v>0</v>
      </c>
      <c r="H26" s="163">
        <f>H44*SUPUESTOS!$B$30</f>
        <v>0</v>
      </c>
      <c r="I26" s="163">
        <f>I44*SUPUESTOS!$B$30</f>
        <v>0</v>
      </c>
      <c r="J26" s="163">
        <f>J44*SUPUESTOS!$B$30</f>
        <v>0</v>
      </c>
      <c r="K26" s="163">
        <f>K44*SUPUESTOS!$B$30</f>
        <v>0</v>
      </c>
      <c r="L26" s="163">
        <f>L44*SUPUESTOS!$B$30</f>
        <v>0</v>
      </c>
      <c r="M26" s="163">
        <f t="shared" si="6"/>
        <v>0</v>
      </c>
    </row>
    <row r="27" spans="1:13" ht="15" customHeight="1" x14ac:dyDescent="0.2">
      <c r="A27" s="137" t="s">
        <v>740</v>
      </c>
      <c r="B27" s="163">
        <f>B10*(SUPUESTOS!$B$31)</f>
        <v>49548.491379310348</v>
      </c>
      <c r="C27" s="163">
        <f>C10*(SUPUESTOS!$B$31)</f>
        <v>102293.10174696366</v>
      </c>
      <c r="D27" s="163">
        <f>D10*(SUPUESTOS!$B$31)</f>
        <v>124860.37289747142</v>
      </c>
      <c r="E27" s="163">
        <f>E10*(SUPUESTOS!$B$31)</f>
        <v>151250.82878245026</v>
      </c>
      <c r="F27" s="163">
        <f>F10*(SUPUESTOS!$B$31)</f>
        <v>229125.57634005818</v>
      </c>
      <c r="G27" s="163">
        <f>G10*(SUPUESTOS!$B$31)</f>
        <v>272921.7904544904</v>
      </c>
      <c r="H27" s="163">
        <f>H10*(SUPUESTOS!$B$31)</f>
        <v>318211.47213210375</v>
      </c>
      <c r="I27" s="163">
        <f>I10*(SUPUESTOS!$B$31)</f>
        <v>365289.64621554158</v>
      </c>
      <c r="J27" s="163">
        <f>J10*(SUPUESTOS!$B$31)</f>
        <v>279750.11105656996</v>
      </c>
      <c r="K27" s="163">
        <f>K10*(SUPUESTOS!$B$31)</f>
        <v>289925.68630407844</v>
      </c>
      <c r="L27" s="163">
        <f>L10*(SUPUESTOS!$B$31)</f>
        <v>29348.804699752294</v>
      </c>
      <c r="M27" s="163">
        <f t="shared" si="6"/>
        <v>2212525.88200879</v>
      </c>
    </row>
    <row r="28" spans="1:13" ht="15" customHeight="1" x14ac:dyDescent="0.2">
      <c r="A28" s="119" t="s">
        <v>741</v>
      </c>
      <c r="B28" s="155">
        <f>SUPUESTOS!$B$42+SUPUESTOS!$B$43+SUPUESTOS!$B$44+SUPUESTOS!$B$45+SUPUESTOS!$B$46+SUPUESTOS!$B$47+SUPUESTOS!$B$48</f>
        <v>68100</v>
      </c>
      <c r="C28" s="155">
        <f>SUPUESTOS!$B$42+SUPUESTOS!$B$43+SUPUESTOS!$B$45+SUPUESTOS!$B$46+SUPUESTOS!$B$47+SUPUESTOS!$B$48</f>
        <v>56000</v>
      </c>
      <c r="D28" s="155">
        <f>SUPUESTOS!$B$42+SUPUESTOS!$B$43+SUPUESTOS!$B$45+SUPUESTOS!$B$46+SUPUESTOS!$B$47+SUPUESTOS!$B$48</f>
        <v>56000</v>
      </c>
      <c r="E28" s="155">
        <f>SUPUESTOS!$B$42+SUPUESTOS!$B$43+SUPUESTOS!$B$45+SUPUESTOS!$B$46+SUPUESTOS!$B$47+SUPUESTOS!$B$48</f>
        <v>56000</v>
      </c>
      <c r="F28" s="155">
        <f>SUPUESTOS!$B$42+SUPUESTOS!$B$43+SUPUESTOS!$B$45+SUPUESTOS!$B$46+SUPUESTOS!$B$47+SUPUESTOS!$B$48</f>
        <v>56000</v>
      </c>
      <c r="G28" s="155">
        <f>SUPUESTOS!$B$42+SUPUESTOS!$B$43+SUPUESTOS!$B$45+SUPUESTOS!$B$46+SUPUESTOS!$B$47+SUPUESTOS!$B$48</f>
        <v>56000</v>
      </c>
      <c r="H28" s="155">
        <f>SUPUESTOS!$B$42+SUPUESTOS!$B$43+SUPUESTOS!$B$45+SUPUESTOS!$B$46+SUPUESTOS!$B$47+SUPUESTOS!$B$48</f>
        <v>56000</v>
      </c>
      <c r="I28" s="155">
        <f>SUPUESTOS!$B$42+SUPUESTOS!$B$43+SUPUESTOS!$B$45+SUPUESTOS!$B$46+SUPUESTOS!$B$47+SUPUESTOS!$B$48</f>
        <v>56000</v>
      </c>
      <c r="J28" s="155">
        <f>SUPUESTOS!$B$42+SUPUESTOS!$B$43+SUPUESTOS!$B$45+SUPUESTOS!$B$46+SUPUESTOS!$B$47+SUPUESTOS!$B$48</f>
        <v>56000</v>
      </c>
      <c r="K28" s="155">
        <f>SUPUESTOS!$B$42+SUPUESTOS!$B$43+SUPUESTOS!$B$45+SUPUESTOS!$B$46+SUPUESTOS!$B$47+SUPUESTOS!$B$48</f>
        <v>56000</v>
      </c>
      <c r="L28" s="155">
        <f>SUPUESTOS!$B$42+SUPUESTOS!$B$43+SUPUESTOS!$B$45+SUPUESTOS!$B$46+SUPUESTOS!$B$47+SUPUESTOS!$B$48</f>
        <v>56000</v>
      </c>
      <c r="M28" s="155">
        <f t="shared" si="6"/>
        <v>628100</v>
      </c>
    </row>
    <row r="29" spans="1:13" ht="15" customHeight="1" x14ac:dyDescent="0.2">
      <c r="A29" s="119" t="s">
        <v>742</v>
      </c>
      <c r="B29" s="155">
        <f>(SUPUESTOS!$B$6+B42)*(SUPUESTOS!$B$36+SUPUESTOS!$B$37)</f>
        <v>52499.999999999993</v>
      </c>
      <c r="C29" s="155">
        <f>C42*(SUPUESTOS!$B$36+SUPUESTOS!$B$37)</f>
        <v>87499.999999999985</v>
      </c>
      <c r="D29" s="155">
        <f>D42*(SUPUESTOS!$B$36+SUPUESTOS!$B$37)</f>
        <v>87499.999999999985</v>
      </c>
      <c r="E29" s="155">
        <f>E42*(SUPUESTOS!$B$36+SUPUESTOS!$B$37)</f>
        <v>87499.999999999985</v>
      </c>
      <c r="F29" s="155">
        <f>F42*(SUPUESTOS!$B$36+SUPUESTOS!$B$37)</f>
        <v>140000</v>
      </c>
      <c r="G29" s="155">
        <f>G42*(SUPUESTOS!$B$36+SUPUESTOS!$B$37)</f>
        <v>140000</v>
      </c>
      <c r="H29" s="155">
        <f>H42*(SUPUESTOS!$B$36+SUPUESTOS!$B$37)</f>
        <v>140000</v>
      </c>
      <c r="I29" s="155">
        <f>I42*(SUPUESTOS!$B$36+SUPUESTOS!$B$37)</f>
        <v>140000</v>
      </c>
      <c r="J29" s="155">
        <f>J42*(SUPUESTOS!$B$36+SUPUESTOS!$B$37)</f>
        <v>0</v>
      </c>
      <c r="K29" s="155">
        <f>K42*(SUPUESTOS!$B$36+SUPUESTOS!$B$37)</f>
        <v>0</v>
      </c>
      <c r="L29" s="155">
        <f>L42*(SUPUESTOS!$B$36+SUPUESTOS!$B$37)</f>
        <v>0</v>
      </c>
      <c r="M29" s="155">
        <f t="shared" si="6"/>
        <v>875000</v>
      </c>
    </row>
    <row r="30" spans="1:13" ht="15" customHeight="1" x14ac:dyDescent="0.2">
      <c r="A30" s="137" t="s">
        <v>743</v>
      </c>
      <c r="B30" s="155">
        <f>B20*SUPUESTOS!$B$39</f>
        <v>39638.793103448275</v>
      </c>
      <c r="C30" s="155">
        <f>C20*SUPUESTOS!$B$39</f>
        <v>81834.481397570926</v>
      </c>
      <c r="D30" s="155">
        <f>D20*SUPUESTOS!$B$39</f>
        <v>99888.298317977125</v>
      </c>
      <c r="E30" s="155">
        <f>E20*SUPUESTOS!$B$39</f>
        <v>121000.6630259602</v>
      </c>
      <c r="F30" s="155">
        <f>F20*SUPUESTOS!$B$39</f>
        <v>183300.46107204651</v>
      </c>
      <c r="G30" s="155">
        <f>G20*SUPUESTOS!$B$39</f>
        <v>218337.43236359229</v>
      </c>
      <c r="H30" s="155">
        <f>H20*SUPUESTOS!$B$39</f>
        <v>254569.17770568296</v>
      </c>
      <c r="I30" s="155">
        <f>I20*SUPUESTOS!$B$39</f>
        <v>292231.71697243326</v>
      </c>
      <c r="J30" s="155">
        <f>J20*SUPUESTOS!$B$39</f>
        <v>223800.08884525596</v>
      </c>
      <c r="K30" s="155">
        <f>K20*SUPUESTOS!$B$39</f>
        <v>231940.54904326276</v>
      </c>
      <c r="L30" s="155">
        <f>L20*SUPUESTOS!$B$39</f>
        <v>23479.043759801836</v>
      </c>
      <c r="M30" s="155">
        <f t="shared" si="6"/>
        <v>1770020.7056070322</v>
      </c>
    </row>
    <row r="31" spans="1:13" ht="15" customHeight="1" x14ac:dyDescent="0.2">
      <c r="A31" s="164" t="s">
        <v>744</v>
      </c>
      <c r="B31" s="155">
        <f>B14*SUPUESTOS!$B$54</f>
        <v>0</v>
      </c>
      <c r="C31" s="155">
        <f>C14*SUPUESTOS!$B$54</f>
        <v>0</v>
      </c>
      <c r="D31" s="155">
        <f>D14*SUPUESTOS!$B$54</f>
        <v>0</v>
      </c>
      <c r="E31" s="155">
        <f>E14*SUPUESTOS!$B$54</f>
        <v>0</v>
      </c>
      <c r="F31" s="155">
        <f>F14*SUPUESTOS!$B$54</f>
        <v>0</v>
      </c>
      <c r="G31" s="155">
        <f>G14*SUPUESTOS!$B$54</f>
        <v>0</v>
      </c>
      <c r="H31" s="155">
        <f>H14*SUPUESTOS!$B$54</f>
        <v>0</v>
      </c>
      <c r="I31" s="155">
        <f>I14*SUPUESTOS!$B$54</f>
        <v>0</v>
      </c>
      <c r="J31" s="155">
        <f>J14*SUPUESTOS!$B$54</f>
        <v>0</v>
      </c>
      <c r="K31" s="155">
        <f>K14*SUPUESTOS!$B$54</f>
        <v>0</v>
      </c>
      <c r="L31" s="155">
        <f>L14*SUPUESTOS!$B$54</f>
        <v>0</v>
      </c>
      <c r="M31" s="155">
        <f t="shared" si="6"/>
        <v>0</v>
      </c>
    </row>
    <row r="32" spans="1:13" ht="15" customHeight="1" x14ac:dyDescent="0.2">
      <c r="A32" s="113" t="s">
        <v>745</v>
      </c>
      <c r="B32" s="155">
        <f t="shared" ref="B32:L32" si="7">B24+B25+B26+B27+B28+B29+B30+B31+B34</f>
        <v>277387.28448275861</v>
      </c>
      <c r="C32" s="155">
        <f t="shared" si="7"/>
        <v>448549.8896223671</v>
      </c>
      <c r="D32" s="155">
        <f t="shared" si="7"/>
        <v>558399.1741439068</v>
      </c>
      <c r="E32" s="155">
        <f t="shared" si="7"/>
        <v>683110.24831557134</v>
      </c>
      <c r="F32" s="155">
        <f t="shared" si="7"/>
        <v>998051.74659756001</v>
      </c>
      <c r="G32" s="155">
        <f t="shared" si="7"/>
        <v>1204275.7694934686</v>
      </c>
      <c r="H32" s="155">
        <f t="shared" si="7"/>
        <v>1418241.8926182205</v>
      </c>
      <c r="I32" s="155">
        <f t="shared" si="7"/>
        <v>1640674.792667805</v>
      </c>
      <c r="J32" s="155">
        <f t="shared" si="7"/>
        <v>1377851.047646248</v>
      </c>
      <c r="K32" s="155">
        <f t="shared" si="7"/>
        <v>1427802.4116484877</v>
      </c>
      <c r="L32" s="155">
        <f t="shared" si="7"/>
        <v>2934380.5594629766</v>
      </c>
      <c r="M32" s="155">
        <f t="shared" si="6"/>
        <v>12968724.816699371</v>
      </c>
    </row>
    <row r="33" spans="1:13" ht="15" customHeight="1" x14ac:dyDescent="0.2">
      <c r="A33" s="165" t="s">
        <v>746</v>
      </c>
      <c r="B33" s="166">
        <f>'RESULTADOS ASESOR TCMC'!B14</f>
        <v>9685.8873152709275</v>
      </c>
      <c r="C33" s="166">
        <f>'RESULTADOS ASESOR TCMC'!C14</f>
        <v>47085.708491450583</v>
      </c>
      <c r="D33" s="166">
        <f>'RESULTADOS ASESOR TCMC'!D14</f>
        <v>78651.883123369844</v>
      </c>
      <c r="E33" s="166">
        <f>'RESULTADOS ASESOR TCMC'!E14</f>
        <v>111529.48434598313</v>
      </c>
      <c r="F33" s="166">
        <f>'RESULTADOS ASESOR TCMC'!F14</f>
        <v>165595.36909742674</v>
      </c>
      <c r="G33" s="166">
        <f>'RESULTADOS ASESOR TCMC'!G14</f>
        <v>219893.05027539746</v>
      </c>
      <c r="H33" s="166">
        <f>'RESULTADOS ASESOR TCMC'!H14</f>
        <v>276295.79682146345</v>
      </c>
      <c r="I33" s="166">
        <f>'RESULTADOS ASESOR TCMC'!I14</f>
        <v>334932.04895849113</v>
      </c>
      <c r="J33" s="166">
        <f>'RESULTADOS ASESOR TCMC'!J14</f>
        <v>342866.75365437591</v>
      </c>
      <c r="K33" s="166">
        <f>'RESULTADOS ASESOR TCMC'!K14</f>
        <v>356209.89135532442</v>
      </c>
      <c r="L33" s="166">
        <f>'RESULTADOS ASESOR TCMC'!L14</f>
        <v>0</v>
      </c>
      <c r="M33" s="166">
        <f>'RESULTADOS ASESOR TCMC'!M14</f>
        <v>1942745.8734385534</v>
      </c>
    </row>
    <row r="34" spans="1:13" ht="15" customHeight="1" x14ac:dyDescent="0.2">
      <c r="A34" s="167" t="s">
        <v>836</v>
      </c>
      <c r="B34" s="168">
        <f>'RESULTADOS ASESOR TCMC'!B18</f>
        <v>0</v>
      </c>
      <c r="C34" s="168">
        <f>'RESULTADOS ASESOR TCMC'!C18</f>
        <v>0</v>
      </c>
      <c r="D34" s="168">
        <v>0</v>
      </c>
      <c r="E34" s="168">
        <v>0</v>
      </c>
      <c r="F34" s="168">
        <v>0</v>
      </c>
      <c r="G34" s="168">
        <v>0</v>
      </c>
      <c r="H34" s="168">
        <v>0</v>
      </c>
      <c r="I34" s="168">
        <v>0</v>
      </c>
      <c r="J34" s="168">
        <v>0</v>
      </c>
      <c r="K34" s="168">
        <v>0</v>
      </c>
      <c r="L34" s="168">
        <f>'RESULTADOS ASESOR TCMC'!L18</f>
        <v>1942745.8734385534</v>
      </c>
      <c r="M34" s="168">
        <f>'RESULTADOS ASESOR TCMC'!M18</f>
        <v>1942745.8734385534</v>
      </c>
    </row>
    <row r="35" spans="1:13" ht="15" customHeight="1" x14ac:dyDescent="0.2">
      <c r="A35" s="115" t="s">
        <v>748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</row>
    <row r="36" spans="1:13" ht="15" customHeight="1" x14ac:dyDescent="0.2">
      <c r="A36" s="113" t="s">
        <v>749</v>
      </c>
      <c r="B36" s="155">
        <f t="shared" ref="B36:L36" si="8">B21-B32</f>
        <v>276858.87315270933</v>
      </c>
      <c r="C36" s="155">
        <f t="shared" si="8"/>
        <v>967468.6173036684</v>
      </c>
      <c r="D36" s="155">
        <f t="shared" si="8"/>
        <v>1601449.5580699481</v>
      </c>
      <c r="E36" s="155">
        <f t="shared" si="8"/>
        <v>2261118.0856333785</v>
      </c>
      <c r="F36" s="155">
        <f t="shared" si="8"/>
        <v>3325778.1589119323</v>
      </c>
      <c r="G36" s="155">
        <f t="shared" si="8"/>
        <v>4414715.7027913425</v>
      </c>
      <c r="H36" s="155">
        <f t="shared" si="8"/>
        <v>5546363.2944164937</v>
      </c>
      <c r="I36" s="155">
        <f t="shared" si="8"/>
        <v>6722835.1873556105</v>
      </c>
      <c r="J36" s="155">
        <f t="shared" si="8"/>
        <v>6935671.1697341399</v>
      </c>
      <c r="K36" s="155">
        <f t="shared" si="8"/>
        <v>7204682.5262724422</v>
      </c>
      <c r="L36" s="155">
        <f t="shared" si="8"/>
        <v>1086997.5486090709</v>
      </c>
      <c r="M36" s="155">
        <f>SUM(B36:L36)</f>
        <v>40343938.722250737</v>
      </c>
    </row>
    <row r="37" spans="1:13" ht="15" customHeight="1" x14ac:dyDescent="0.2">
      <c r="A37" s="119" t="s">
        <v>750</v>
      </c>
      <c r="B37" s="172">
        <f t="shared" ref="B37:L37" si="9">IF(B44&gt;0,B36/B44,0)</f>
        <v>9.2286291050903108E-2</v>
      </c>
      <c r="C37" s="172">
        <f t="shared" si="9"/>
        <v>0.11688837904942474</v>
      </c>
      <c r="D37" s="172">
        <f t="shared" si="9"/>
        <v>0.11790814890147636</v>
      </c>
      <c r="E37" s="172">
        <f t="shared" si="9"/>
        <v>0.11840140795246196</v>
      </c>
      <c r="F37" s="172">
        <f t="shared" si="9"/>
        <v>0.11950159634513453</v>
      </c>
      <c r="G37" s="172">
        <f t="shared" si="9"/>
        <v>0.11954360114103724</v>
      </c>
      <c r="H37" s="172">
        <f t="shared" si="9"/>
        <v>0.11955923003103985</v>
      </c>
      <c r="I37" s="172">
        <f t="shared" si="9"/>
        <v>0.11956969136903221</v>
      </c>
      <c r="J37" s="172">
        <f t="shared" si="9"/>
        <v>0.11865977732263668</v>
      </c>
      <c r="K37" s="172">
        <f t="shared" si="9"/>
        <v>0.11867427011610794</v>
      </c>
      <c r="L37" s="172">
        <f t="shared" si="9"/>
        <v>1.7238160187458641E-2</v>
      </c>
      <c r="M37" s="150"/>
    </row>
    <row r="38" spans="1:13" ht="15" customHeight="1" x14ac:dyDescent="0.2">
      <c r="A38" s="211" t="s">
        <v>751</v>
      </c>
      <c r="B38" s="212">
        <f t="shared" ref="B38:L38" si="10">B76</f>
        <v>0</v>
      </c>
      <c r="C38" s="212">
        <f t="shared" si="10"/>
        <v>662148.70985221677</v>
      </c>
      <c r="D38" s="212">
        <f t="shared" si="10"/>
        <v>1086574.302448333</v>
      </c>
      <c r="E38" s="212">
        <f t="shared" si="10"/>
        <v>1527764.3228980622</v>
      </c>
      <c r="F38" s="212">
        <f t="shared" si="10"/>
        <v>2226432.6239168872</v>
      </c>
      <c r="G38" s="212">
        <f t="shared" si="10"/>
        <v>2954380.266716491</v>
      </c>
      <c r="H38" s="212">
        <f t="shared" si="10"/>
        <v>3711207.1016024793</v>
      </c>
      <c r="I38" s="212">
        <f t="shared" si="10"/>
        <v>4498019.5970276007</v>
      </c>
      <c r="J38" s="212">
        <f t="shared" si="10"/>
        <v>4676004.8442538409</v>
      </c>
      <c r="K38" s="212">
        <f t="shared" si="10"/>
        <v>4856778.1502922652</v>
      </c>
      <c r="L38" s="212">
        <f t="shared" si="10"/>
        <v>0</v>
      </c>
      <c r="M38" s="155">
        <f>SUM(B38:L38)</f>
        <v>26199309.91900818</v>
      </c>
    </row>
    <row r="39" spans="1:13" ht="15" customHeight="1" x14ac:dyDescent="0.2">
      <c r="A39" s="119" t="s">
        <v>752</v>
      </c>
      <c r="B39" s="155">
        <f t="shared" ref="B39:L39" si="11">B36-B38</f>
        <v>276858.87315270933</v>
      </c>
      <c r="C39" s="155">
        <f t="shared" si="11"/>
        <v>305319.90745145164</v>
      </c>
      <c r="D39" s="155">
        <f t="shared" si="11"/>
        <v>514875.2556216151</v>
      </c>
      <c r="E39" s="155">
        <f t="shared" si="11"/>
        <v>733353.7627353163</v>
      </c>
      <c r="F39" s="155">
        <f t="shared" si="11"/>
        <v>1099345.534995045</v>
      </c>
      <c r="G39" s="155">
        <f t="shared" si="11"/>
        <v>1460335.4360748515</v>
      </c>
      <c r="H39" s="155">
        <f t="shared" si="11"/>
        <v>1835156.1928140144</v>
      </c>
      <c r="I39" s="155">
        <f t="shared" si="11"/>
        <v>2224815.5903280098</v>
      </c>
      <c r="J39" s="155">
        <f t="shared" si="11"/>
        <v>2259666.3254802991</v>
      </c>
      <c r="K39" s="155">
        <f t="shared" si="11"/>
        <v>2347904.375980177</v>
      </c>
      <c r="L39" s="155">
        <f t="shared" si="11"/>
        <v>1086997.5486090709</v>
      </c>
      <c r="M39" s="155">
        <f>SUM(B39:L39)</f>
        <v>14144628.80324256</v>
      </c>
    </row>
    <row r="40" spans="1:13" ht="15.75" customHeight="1" x14ac:dyDescent="0.2"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</row>
    <row r="41" spans="1:13" ht="15" customHeight="1" x14ac:dyDescent="0.2">
      <c r="A41" s="115" t="s">
        <v>753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</row>
    <row r="42" spans="1:13" ht="15" customHeight="1" x14ac:dyDescent="0.2">
      <c r="A42" s="113" t="s">
        <v>754</v>
      </c>
      <c r="B42" s="173">
        <v>0</v>
      </c>
      <c r="C42" s="173">
        <v>5000000</v>
      </c>
      <c r="D42" s="173">
        <v>5000000</v>
      </c>
      <c r="E42" s="173">
        <v>5000000</v>
      </c>
      <c r="F42" s="173">
        <v>8000000</v>
      </c>
      <c r="G42" s="173">
        <v>8000000</v>
      </c>
      <c r="H42" s="173">
        <v>8000000</v>
      </c>
      <c r="I42" s="173">
        <v>8000000</v>
      </c>
      <c r="J42" s="173">
        <v>0</v>
      </c>
      <c r="K42" s="173">
        <v>0</v>
      </c>
      <c r="L42" s="173">
        <v>0</v>
      </c>
      <c r="M42" s="162">
        <f>SUM(B42:L42)</f>
        <v>47000000</v>
      </c>
    </row>
    <row r="43" spans="1:13" ht="15" customHeight="1" x14ac:dyDescent="0.2">
      <c r="A43" s="119" t="s">
        <v>755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</row>
    <row r="44" spans="1:13" ht="15" customHeight="1" x14ac:dyDescent="0.2">
      <c r="A44" s="119" t="s">
        <v>756</v>
      </c>
      <c r="B44" s="153">
        <f>SUPUESTOS!$B$6+B42</f>
        <v>3000000</v>
      </c>
      <c r="C44" s="155">
        <f t="shared" ref="C44:L44" si="12">B45-B38+C42</f>
        <v>8276858.8731527096</v>
      </c>
      <c r="D44" s="155">
        <f t="shared" si="12"/>
        <v>13582178.780604161</v>
      </c>
      <c r="E44" s="155">
        <f t="shared" si="12"/>
        <v>19097054.036225777</v>
      </c>
      <c r="F44" s="155">
        <f t="shared" si="12"/>
        <v>27830407.798961092</v>
      </c>
      <c r="G44" s="155">
        <f t="shared" si="12"/>
        <v>36929753.333956137</v>
      </c>
      <c r="H44" s="155">
        <f t="shared" si="12"/>
        <v>46390088.77003099</v>
      </c>
      <c r="I44" s="155">
        <f t="shared" si="12"/>
        <v>56225244.962845005</v>
      </c>
      <c r="J44" s="155">
        <f t="shared" si="12"/>
        <v>58450060.553173013</v>
      </c>
      <c r="K44" s="155">
        <f t="shared" si="12"/>
        <v>60709726.878653318</v>
      </c>
      <c r="L44" s="155">
        <f t="shared" si="12"/>
        <v>63057631.254633501</v>
      </c>
      <c r="M44" s="155"/>
    </row>
    <row r="45" spans="1:13" ht="15" customHeight="1" x14ac:dyDescent="0.2">
      <c r="A45" s="119" t="s">
        <v>757</v>
      </c>
      <c r="B45" s="155">
        <f t="shared" ref="B45:L45" si="13">B44+B36</f>
        <v>3276858.8731527096</v>
      </c>
      <c r="C45" s="155">
        <f t="shared" si="13"/>
        <v>9244327.4904563781</v>
      </c>
      <c r="D45" s="155">
        <f t="shared" si="13"/>
        <v>15183628.338674109</v>
      </c>
      <c r="E45" s="155">
        <f t="shared" si="13"/>
        <v>21358172.121859156</v>
      </c>
      <c r="F45" s="155">
        <f t="shared" si="13"/>
        <v>31156185.957873024</v>
      </c>
      <c r="G45" s="155">
        <f t="shared" si="13"/>
        <v>41344469.036747478</v>
      </c>
      <c r="H45" s="155">
        <f t="shared" si="13"/>
        <v>51936452.064447485</v>
      </c>
      <c r="I45" s="155">
        <f t="shared" si="13"/>
        <v>62948080.150200613</v>
      </c>
      <c r="J45" s="155">
        <f t="shared" si="13"/>
        <v>65385731.722907156</v>
      </c>
      <c r="K45" s="155">
        <f t="shared" si="13"/>
        <v>67914409.404925764</v>
      </c>
      <c r="L45" s="155">
        <f t="shared" si="13"/>
        <v>64144628.803242572</v>
      </c>
      <c r="M45" s="155"/>
    </row>
    <row r="46" spans="1:13" ht="15.75" customHeight="1" x14ac:dyDescent="0.2"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</row>
    <row r="47" spans="1:13" ht="15" customHeight="1" x14ac:dyDescent="0.2">
      <c r="A47" s="115" t="s">
        <v>837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</row>
    <row r="48" spans="1:13" ht="15" customHeight="1" x14ac:dyDescent="0.2">
      <c r="A48" s="119" t="s">
        <v>759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>
        <f>IF(L7=0,L6,0)</f>
        <v>21744010.777459826</v>
      </c>
      <c r="M48" s="155"/>
    </row>
    <row r="49" spans="1:13" ht="15" customHeight="1" x14ac:dyDescent="0.2">
      <c r="A49" s="119" t="s">
        <v>760</v>
      </c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>
        <f>L9</f>
        <v>41313620.477173671</v>
      </c>
      <c r="M49" s="155"/>
    </row>
    <row r="50" spans="1:13" ht="15" customHeight="1" x14ac:dyDescent="0.2">
      <c r="A50" s="119" t="s">
        <v>761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>
        <f>L49/(1+SUPUESTOS!$B$69)</f>
        <v>37902404.10749878</v>
      </c>
      <c r="M50" s="155"/>
    </row>
    <row r="51" spans="1:13" ht="15" customHeight="1" x14ac:dyDescent="0.2">
      <c r="A51" s="119" t="s">
        <v>762</v>
      </c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>
        <f>L14</f>
        <v>0</v>
      </c>
      <c r="M51" s="155"/>
    </row>
    <row r="52" spans="1:13" ht="15" customHeight="1" x14ac:dyDescent="0.2">
      <c r="A52" s="113" t="s">
        <v>763</v>
      </c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>
        <f>L48+L50-L51</f>
        <v>59646414.88495861</v>
      </c>
      <c r="M52" s="155"/>
    </row>
    <row r="53" spans="1:13" ht="15.75" customHeight="1" x14ac:dyDescent="0.2"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</row>
    <row r="54" spans="1:13" ht="15" customHeight="1" x14ac:dyDescent="0.2">
      <c r="A54" s="115" t="s">
        <v>764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</row>
    <row r="55" spans="1:13" ht="15" customHeight="1" x14ac:dyDescent="0.2">
      <c r="A55" s="119" t="s">
        <v>765</v>
      </c>
      <c r="B55" s="155">
        <f t="shared" ref="B55:L55" si="14">B79</f>
        <v>0</v>
      </c>
      <c r="C55" s="155">
        <f t="shared" si="14"/>
        <v>662148.70985221677</v>
      </c>
      <c r="D55" s="155">
        <f t="shared" si="14"/>
        <v>1086574.302448333</v>
      </c>
      <c r="E55" s="155">
        <f t="shared" si="14"/>
        <v>1527764.3228980622</v>
      </c>
      <c r="F55" s="155">
        <f t="shared" si="14"/>
        <v>2226432.6239168872</v>
      </c>
      <c r="G55" s="155">
        <f t="shared" si="14"/>
        <v>2954380.266716491</v>
      </c>
      <c r="H55" s="155">
        <f t="shared" si="14"/>
        <v>3711207.1016024793</v>
      </c>
      <c r="I55" s="155">
        <f t="shared" si="14"/>
        <v>4498019.5970276007</v>
      </c>
      <c r="J55" s="155">
        <f t="shared" si="14"/>
        <v>4676004.8442538409</v>
      </c>
      <c r="K55" s="155">
        <f t="shared" si="14"/>
        <v>4856778.1502922652</v>
      </c>
      <c r="L55" s="155">
        <f t="shared" si="14"/>
        <v>0</v>
      </c>
      <c r="M55" s="155">
        <f>SUM(B55:L55)</f>
        <v>26199309.91900818</v>
      </c>
    </row>
    <row r="56" spans="1:13" ht="15" customHeight="1" x14ac:dyDescent="0.2">
      <c r="A56" s="119" t="s">
        <v>766</v>
      </c>
      <c r="B56" s="155">
        <v>0</v>
      </c>
      <c r="C56" s="155">
        <v>0</v>
      </c>
      <c r="D56" s="155">
        <v>0</v>
      </c>
      <c r="E56" s="155">
        <v>0</v>
      </c>
      <c r="F56" s="155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  <c r="L56" s="155">
        <f>L52</f>
        <v>59646414.88495861</v>
      </c>
      <c r="M56" s="155">
        <f>SUM(B56:L56)</f>
        <v>59646414.88495861</v>
      </c>
    </row>
    <row r="57" spans="1:13" ht="15" customHeight="1" x14ac:dyDescent="0.2">
      <c r="A57" s="113" t="s">
        <v>767</v>
      </c>
      <c r="B57" s="155">
        <f t="shared" ref="B57:M57" si="15">B55+B56</f>
        <v>0</v>
      </c>
      <c r="C57" s="155">
        <f t="shared" si="15"/>
        <v>662148.70985221677</v>
      </c>
      <c r="D57" s="155">
        <f t="shared" si="15"/>
        <v>1086574.302448333</v>
      </c>
      <c r="E57" s="155">
        <f t="shared" si="15"/>
        <v>1527764.3228980622</v>
      </c>
      <c r="F57" s="155">
        <f t="shared" si="15"/>
        <v>2226432.6239168872</v>
      </c>
      <c r="G57" s="155">
        <f t="shared" si="15"/>
        <v>2954380.266716491</v>
      </c>
      <c r="H57" s="155">
        <f t="shared" si="15"/>
        <v>3711207.1016024793</v>
      </c>
      <c r="I57" s="155">
        <f t="shared" si="15"/>
        <v>4498019.5970276007</v>
      </c>
      <c r="J57" s="155">
        <f t="shared" si="15"/>
        <v>4676004.8442538409</v>
      </c>
      <c r="K57" s="155">
        <f t="shared" si="15"/>
        <v>4856778.1502922652</v>
      </c>
      <c r="L57" s="155">
        <f t="shared" si="15"/>
        <v>59646414.88495861</v>
      </c>
      <c r="M57" s="155">
        <f t="shared" si="15"/>
        <v>85845724.80396679</v>
      </c>
    </row>
    <row r="58" spans="1:13" ht="15" customHeight="1" x14ac:dyDescent="0.2">
      <c r="A58" s="119" t="s">
        <v>768</v>
      </c>
      <c r="B58" s="155">
        <f>B57</f>
        <v>0</v>
      </c>
      <c r="C58" s="155">
        <f t="shared" ref="C58:L58" si="16">B58+C57</f>
        <v>662148.70985221677</v>
      </c>
      <c r="D58" s="155">
        <f t="shared" si="16"/>
        <v>1748723.0123005498</v>
      </c>
      <c r="E58" s="155">
        <f t="shared" si="16"/>
        <v>3276487.335198612</v>
      </c>
      <c r="F58" s="155">
        <f t="shared" si="16"/>
        <v>5502919.9591154996</v>
      </c>
      <c r="G58" s="155">
        <f t="shared" si="16"/>
        <v>8457300.2258319911</v>
      </c>
      <c r="H58" s="155">
        <f t="shared" si="16"/>
        <v>12168507.327434471</v>
      </c>
      <c r="I58" s="155">
        <f t="shared" si="16"/>
        <v>16666526.924462073</v>
      </c>
      <c r="J58" s="155">
        <f t="shared" si="16"/>
        <v>21342531.768715914</v>
      </c>
      <c r="K58" s="155">
        <f t="shared" si="16"/>
        <v>26199309.91900818</v>
      </c>
      <c r="L58" s="155">
        <f t="shared" si="16"/>
        <v>85845724.80396679</v>
      </c>
      <c r="M58" s="155"/>
    </row>
    <row r="59" spans="1:13" ht="15.75" customHeight="1" x14ac:dyDescent="0.2"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</row>
    <row r="60" spans="1:13" ht="15" customHeight="1" x14ac:dyDescent="0.2">
      <c r="A60" s="213" t="s">
        <v>769</v>
      </c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5"/>
      <c r="M60" s="150"/>
    </row>
    <row r="61" spans="1:13" ht="15" customHeight="1" x14ac:dyDescent="0.2">
      <c r="A61" s="216" t="s">
        <v>838</v>
      </c>
      <c r="B61" s="155">
        <f>-SUPUESTOS!$B$6-B42-B57</f>
        <v>-3000000</v>
      </c>
      <c r="C61" s="155">
        <f t="shared" ref="C61:K61" si="17">C57-C42</f>
        <v>-4337851.2901477832</v>
      </c>
      <c r="D61" s="155">
        <f t="shared" si="17"/>
        <v>-3913425.6975516668</v>
      </c>
      <c r="E61" s="155">
        <f t="shared" si="17"/>
        <v>-3472235.6771019381</v>
      </c>
      <c r="F61" s="155">
        <f t="shared" si="17"/>
        <v>-5773567.3760831133</v>
      </c>
      <c r="G61" s="155">
        <f t="shared" si="17"/>
        <v>-5045619.7332835086</v>
      </c>
      <c r="H61" s="155">
        <f t="shared" si="17"/>
        <v>-4288792.8983975202</v>
      </c>
      <c r="I61" s="155">
        <f t="shared" si="17"/>
        <v>-3501980.4029723993</v>
      </c>
      <c r="J61" s="155">
        <f t="shared" si="17"/>
        <v>4676004.8442538409</v>
      </c>
      <c r="K61" s="155">
        <f t="shared" si="17"/>
        <v>4856778.1502922652</v>
      </c>
      <c r="L61" s="217">
        <f>K57-L42+L57</f>
        <v>64503193.035250872</v>
      </c>
      <c r="M61" s="155"/>
    </row>
    <row r="62" spans="1:13" ht="15" customHeight="1" x14ac:dyDescent="0.2">
      <c r="A62" s="218" t="s">
        <v>772</v>
      </c>
      <c r="B62" s="219">
        <f>IFERROR(IRR(B61:M61),"-")</f>
        <v>0.13181270190016892</v>
      </c>
      <c r="C62" s="150"/>
      <c r="D62" s="150"/>
      <c r="E62" s="150"/>
      <c r="F62" s="150"/>
      <c r="G62" s="150"/>
      <c r="H62" s="150"/>
      <c r="I62" s="150"/>
      <c r="J62" s="150"/>
      <c r="K62" s="150"/>
      <c r="L62" s="220"/>
      <c r="M62" s="150"/>
    </row>
    <row r="63" spans="1:13" ht="15" customHeight="1" x14ac:dyDescent="0.2">
      <c r="A63" s="221" t="s">
        <v>773</v>
      </c>
      <c r="B63" s="222">
        <f>IF((SUPUESTOS!$B$6+M42)&gt;0,M57/(SUPUESTOS!$B$6+M42),0)</f>
        <v>1.7169144960793359</v>
      </c>
      <c r="C63" s="223"/>
      <c r="D63" s="223"/>
      <c r="E63" s="223"/>
      <c r="F63" s="223"/>
      <c r="G63" s="223"/>
      <c r="H63" s="223"/>
      <c r="I63" s="223"/>
      <c r="J63" s="223"/>
      <c r="K63" s="223"/>
      <c r="L63" s="224"/>
      <c r="M63" s="150"/>
    </row>
    <row r="64" spans="1:13" ht="15.75" customHeight="1" x14ac:dyDescent="0.2"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</row>
    <row r="65" spans="1:13" ht="15" customHeight="1" x14ac:dyDescent="0.2">
      <c r="A65" s="182" t="s">
        <v>774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</row>
    <row r="66" spans="1:13" ht="15" customHeight="1" x14ac:dyDescent="0.2">
      <c r="A66" s="111" t="s">
        <v>839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</row>
    <row r="67" spans="1:13" ht="15.75" customHeight="1" x14ac:dyDescent="0.2"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</row>
    <row r="68" spans="1:13" ht="15.75" customHeight="1" x14ac:dyDescent="0.2"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</row>
    <row r="69" spans="1:13" ht="15" customHeight="1" x14ac:dyDescent="0.2">
      <c r="A69" s="149" t="s">
        <v>776</v>
      </c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</row>
    <row r="70" spans="1:13" ht="15" customHeight="1" x14ac:dyDescent="0.2">
      <c r="A70" s="144" t="s">
        <v>147</v>
      </c>
      <c r="B70" s="225">
        <v>2026</v>
      </c>
      <c r="C70" s="225">
        <v>2027</v>
      </c>
      <c r="D70" s="225">
        <v>2028</v>
      </c>
      <c r="E70" s="225">
        <v>2029</v>
      </c>
      <c r="F70" s="225">
        <v>2030</v>
      </c>
      <c r="G70" s="225">
        <v>2031</v>
      </c>
      <c r="H70" s="225">
        <v>2032</v>
      </c>
      <c r="I70" s="225">
        <v>2033</v>
      </c>
      <c r="J70" s="225">
        <v>2034</v>
      </c>
      <c r="K70" s="225">
        <v>2035</v>
      </c>
      <c r="L70" s="225">
        <v>2036</v>
      </c>
      <c r="M70" s="225" t="s">
        <v>99</v>
      </c>
    </row>
    <row r="71" spans="1:13" ht="15" customHeight="1" x14ac:dyDescent="0.2">
      <c r="A71" s="144" t="s">
        <v>777</v>
      </c>
      <c r="B71" s="155">
        <f t="shared" ref="B71:K71" si="18">MIN(B72, B44)</f>
        <v>0</v>
      </c>
      <c r="C71" s="155">
        <f t="shared" si="18"/>
        <v>0</v>
      </c>
      <c r="D71" s="155">
        <f t="shared" si="18"/>
        <v>0</v>
      </c>
      <c r="E71" s="155">
        <f t="shared" si="18"/>
        <v>0</v>
      </c>
      <c r="F71" s="155">
        <f t="shared" si="18"/>
        <v>0</v>
      </c>
      <c r="G71" s="155">
        <f t="shared" si="18"/>
        <v>0</v>
      </c>
      <c r="H71" s="155">
        <f t="shared" si="18"/>
        <v>0</v>
      </c>
      <c r="I71" s="155">
        <f t="shared" si="18"/>
        <v>0</v>
      </c>
      <c r="J71" s="155">
        <f t="shared" si="18"/>
        <v>0</v>
      </c>
      <c r="K71" s="155">
        <f t="shared" si="18"/>
        <v>0</v>
      </c>
      <c r="L71" s="155"/>
      <c r="M71" s="155">
        <f>SUM(B71:L71)</f>
        <v>0</v>
      </c>
    </row>
    <row r="72" spans="1:13" ht="15" customHeight="1" x14ac:dyDescent="0.2">
      <c r="A72" s="183" t="s">
        <v>778</v>
      </c>
      <c r="B72" s="184">
        <v>0</v>
      </c>
      <c r="C72" s="184">
        <v>0</v>
      </c>
      <c r="D72" s="184">
        <v>0</v>
      </c>
      <c r="E72" s="184">
        <v>0</v>
      </c>
      <c r="F72" s="184">
        <v>0</v>
      </c>
      <c r="G72" s="184">
        <v>0</v>
      </c>
      <c r="H72" s="184">
        <v>0</v>
      </c>
      <c r="I72" s="184">
        <v>0</v>
      </c>
      <c r="J72" s="184">
        <v>0</v>
      </c>
      <c r="K72" s="184">
        <v>0</v>
      </c>
      <c r="L72" s="184"/>
      <c r="M72" s="150"/>
    </row>
    <row r="73" spans="1:13" ht="15" customHeight="1" x14ac:dyDescent="0.2">
      <c r="A73" s="183" t="s">
        <v>779</v>
      </c>
      <c r="B73" s="185">
        <v>0</v>
      </c>
      <c r="C73" s="185">
        <v>0.08</v>
      </c>
      <c r="D73" s="185">
        <v>0.08</v>
      </c>
      <c r="E73" s="185">
        <v>0.08</v>
      </c>
      <c r="F73" s="185">
        <v>0.08</v>
      </c>
      <c r="G73" s="185">
        <v>0.08</v>
      </c>
      <c r="H73" s="185">
        <v>0.08</v>
      </c>
      <c r="I73" s="185">
        <v>0.08</v>
      </c>
      <c r="J73" s="185">
        <v>0.08</v>
      </c>
      <c r="K73" s="185">
        <v>0.08</v>
      </c>
      <c r="L73" s="185"/>
      <c r="M73" s="150"/>
    </row>
    <row r="74" spans="1:13" ht="15" customHeight="1" x14ac:dyDescent="0.2">
      <c r="A74" s="119" t="s">
        <v>780</v>
      </c>
      <c r="B74" s="155">
        <f>IF(1&gt;=SUPUESTOS!$B$58, B44*B73, 0)</f>
        <v>0</v>
      </c>
      <c r="C74" s="155">
        <f>IF(2&gt;=SUPUESTOS!$B$58, C44*C73, 0)</f>
        <v>662148.70985221677</v>
      </c>
      <c r="D74" s="155">
        <f>IF(3&gt;=SUPUESTOS!$B$58, D44*D73, 0)</f>
        <v>1086574.302448333</v>
      </c>
      <c r="E74" s="155">
        <f>IF(4&gt;=SUPUESTOS!$B$58, E44*E73, 0)</f>
        <v>1527764.3228980622</v>
      </c>
      <c r="F74" s="155">
        <f>IF(5&gt;=SUPUESTOS!$B$58, F44*F73, 0)</f>
        <v>2226432.6239168872</v>
      </c>
      <c r="G74" s="155">
        <f>IF(6&gt;=SUPUESTOS!$B$58, G44*G73, 0)</f>
        <v>2954380.266716491</v>
      </c>
      <c r="H74" s="155">
        <f>IF(7&gt;=SUPUESTOS!$B$58, H44*H73, 0)</f>
        <v>3711207.1016024793</v>
      </c>
      <c r="I74" s="155">
        <f>IF(8&gt;=SUPUESTOS!$B$58, I44*I73, 0)</f>
        <v>4498019.5970276007</v>
      </c>
      <c r="J74" s="155">
        <f>IF(9&gt;=SUPUESTOS!$B$58, J44*J73, 0)</f>
        <v>4676004.8442538409</v>
      </c>
      <c r="K74" s="155">
        <f>IF(10&gt;=SUPUESTOS!$B$58, K44*K73, 0)</f>
        <v>4856778.1502922652</v>
      </c>
      <c r="L74" s="155"/>
      <c r="M74" s="155">
        <f>SUM(B74:L74)</f>
        <v>26199309.91900818</v>
      </c>
    </row>
    <row r="75" spans="1:13" ht="15.75" customHeight="1" x14ac:dyDescent="0.2"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</row>
    <row r="76" spans="1:13" ht="15" customHeight="1" x14ac:dyDescent="0.2">
      <c r="A76" s="144" t="s">
        <v>781</v>
      </c>
      <c r="B76" s="186">
        <f t="shared" ref="B76:K76" si="19">B71+B74</f>
        <v>0</v>
      </c>
      <c r="C76" s="186">
        <f t="shared" si="19"/>
        <v>662148.70985221677</v>
      </c>
      <c r="D76" s="186">
        <f t="shared" si="19"/>
        <v>1086574.302448333</v>
      </c>
      <c r="E76" s="186">
        <f t="shared" si="19"/>
        <v>1527764.3228980622</v>
      </c>
      <c r="F76" s="186">
        <f t="shared" si="19"/>
        <v>2226432.6239168872</v>
      </c>
      <c r="G76" s="186">
        <f t="shared" si="19"/>
        <v>2954380.266716491</v>
      </c>
      <c r="H76" s="186">
        <f t="shared" si="19"/>
        <v>3711207.1016024793</v>
      </c>
      <c r="I76" s="186">
        <f t="shared" si="19"/>
        <v>4498019.5970276007</v>
      </c>
      <c r="J76" s="186">
        <f t="shared" si="19"/>
        <v>4676004.8442538409</v>
      </c>
      <c r="K76" s="186">
        <f t="shared" si="19"/>
        <v>4856778.1502922652</v>
      </c>
      <c r="L76" s="186"/>
      <c r="M76" s="186">
        <f>SUM(B76:L76)</f>
        <v>26199309.91900818</v>
      </c>
    </row>
    <row r="77" spans="1:13" ht="15" customHeight="1" x14ac:dyDescent="0.2">
      <c r="A77" s="119" t="s">
        <v>782</v>
      </c>
      <c r="B77" s="187">
        <f>SUPUESTOS!$B$59</f>
        <v>0</v>
      </c>
      <c r="C77" s="187">
        <f>SUPUESTOS!$B$59</f>
        <v>0</v>
      </c>
      <c r="D77" s="187">
        <f>SUPUESTOS!$B$59</f>
        <v>0</v>
      </c>
      <c r="E77" s="187">
        <f>SUPUESTOS!$B$59</f>
        <v>0</v>
      </c>
      <c r="F77" s="187">
        <f>SUPUESTOS!$B$59</f>
        <v>0</v>
      </c>
      <c r="G77" s="187">
        <f>SUPUESTOS!$B$59</f>
        <v>0</v>
      </c>
      <c r="H77" s="187">
        <f>SUPUESTOS!$B$59</f>
        <v>0</v>
      </c>
      <c r="I77" s="187">
        <f>SUPUESTOS!$B$59</f>
        <v>0</v>
      </c>
      <c r="J77" s="187">
        <f>SUPUESTOS!$B$59</f>
        <v>0</v>
      </c>
      <c r="K77" s="187">
        <f>SUPUESTOS!$B$59</f>
        <v>0</v>
      </c>
      <c r="L77" s="187"/>
      <c r="M77" s="150"/>
    </row>
    <row r="78" spans="1:13" ht="15" customHeight="1" x14ac:dyDescent="0.2">
      <c r="A78" s="119" t="s">
        <v>783</v>
      </c>
      <c r="B78" s="155">
        <f t="shared" ref="B78:K78" si="20">B76*B77</f>
        <v>0</v>
      </c>
      <c r="C78" s="155">
        <f t="shared" si="20"/>
        <v>0</v>
      </c>
      <c r="D78" s="155">
        <f t="shared" si="20"/>
        <v>0</v>
      </c>
      <c r="E78" s="155">
        <f t="shared" si="20"/>
        <v>0</v>
      </c>
      <c r="F78" s="155">
        <f t="shared" si="20"/>
        <v>0</v>
      </c>
      <c r="G78" s="155">
        <f t="shared" si="20"/>
        <v>0</v>
      </c>
      <c r="H78" s="155">
        <f t="shared" si="20"/>
        <v>0</v>
      </c>
      <c r="I78" s="155">
        <f t="shared" si="20"/>
        <v>0</v>
      </c>
      <c r="J78" s="155">
        <f t="shared" si="20"/>
        <v>0</v>
      </c>
      <c r="K78" s="155">
        <f t="shared" si="20"/>
        <v>0</v>
      </c>
      <c r="L78" s="155"/>
      <c r="M78" s="155">
        <f>SUM(B78:L78)</f>
        <v>0</v>
      </c>
    </row>
    <row r="79" spans="1:13" ht="15" customHeight="1" x14ac:dyDescent="0.2">
      <c r="A79" s="144" t="s">
        <v>784</v>
      </c>
      <c r="B79" s="186">
        <f t="shared" ref="B79:K79" si="21">B76-B78</f>
        <v>0</v>
      </c>
      <c r="C79" s="186">
        <f t="shared" si="21"/>
        <v>662148.70985221677</v>
      </c>
      <c r="D79" s="186">
        <f t="shared" si="21"/>
        <v>1086574.302448333</v>
      </c>
      <c r="E79" s="186">
        <f t="shared" si="21"/>
        <v>1527764.3228980622</v>
      </c>
      <c r="F79" s="186">
        <f t="shared" si="21"/>
        <v>2226432.6239168872</v>
      </c>
      <c r="G79" s="186">
        <f t="shared" si="21"/>
        <v>2954380.266716491</v>
      </c>
      <c r="H79" s="186">
        <f t="shared" si="21"/>
        <v>3711207.1016024793</v>
      </c>
      <c r="I79" s="186">
        <f t="shared" si="21"/>
        <v>4498019.5970276007</v>
      </c>
      <c r="J79" s="186">
        <f t="shared" si="21"/>
        <v>4676004.8442538409</v>
      </c>
      <c r="K79" s="186">
        <f t="shared" si="21"/>
        <v>4856778.1502922652</v>
      </c>
      <c r="L79" s="186"/>
      <c r="M79" s="186">
        <f>SUM(B79:L79)</f>
        <v>26199309.91900818</v>
      </c>
    </row>
    <row r="80" spans="1:13" ht="15" customHeight="1" x14ac:dyDescent="0.2">
      <c r="A80" s="119" t="s">
        <v>785</v>
      </c>
      <c r="B80" s="155">
        <f t="shared" ref="B80:K80" si="22">B76</f>
        <v>0</v>
      </c>
      <c r="C80" s="155">
        <f t="shared" si="22"/>
        <v>662148.70985221677</v>
      </c>
      <c r="D80" s="155">
        <f t="shared" si="22"/>
        <v>1086574.302448333</v>
      </c>
      <c r="E80" s="155">
        <f t="shared" si="22"/>
        <v>1527764.3228980622</v>
      </c>
      <c r="F80" s="155">
        <f t="shared" si="22"/>
        <v>2226432.6239168872</v>
      </c>
      <c r="G80" s="155">
        <f t="shared" si="22"/>
        <v>2954380.266716491</v>
      </c>
      <c r="H80" s="155">
        <f t="shared" si="22"/>
        <v>3711207.1016024793</v>
      </c>
      <c r="I80" s="155">
        <f t="shared" si="22"/>
        <v>4498019.5970276007</v>
      </c>
      <c r="J80" s="155">
        <f t="shared" si="22"/>
        <v>4676004.8442538409</v>
      </c>
      <c r="K80" s="155">
        <f t="shared" si="22"/>
        <v>4856778.1502922652</v>
      </c>
      <c r="L80" s="155"/>
      <c r="M80" s="150"/>
    </row>
    <row r="81" spans="1:13" ht="15" customHeight="1" x14ac:dyDescent="0.2">
      <c r="A81" s="119" t="s">
        <v>786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</row>
    <row r="82" spans="1:13" ht="15.75" customHeight="1" x14ac:dyDescent="0.2"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</row>
    <row r="83" spans="1:13" ht="15.75" customHeight="1" x14ac:dyDescent="0.2"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</row>
    <row r="84" spans="1:13" ht="15.75" customHeight="1" x14ac:dyDescent="0.2"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</row>
    <row r="85" spans="1:13" ht="15.75" customHeight="1" x14ac:dyDescent="0.2"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</row>
    <row r="86" spans="1:13" ht="15.75" customHeight="1" x14ac:dyDescent="0.2"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</row>
    <row r="87" spans="1:13" ht="15.75" customHeight="1" x14ac:dyDescent="0.2"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</row>
    <row r="88" spans="1:13" ht="15.75" customHeight="1" x14ac:dyDescent="0.2"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</row>
    <row r="89" spans="1:13" ht="15.75" customHeight="1" x14ac:dyDescent="0.2"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</row>
    <row r="90" spans="1:13" ht="15.75" customHeight="1" x14ac:dyDescent="0.2"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</row>
    <row r="91" spans="1:13" ht="15.75" customHeight="1" x14ac:dyDescent="0.2"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</row>
    <row r="92" spans="1:13" ht="15.75" customHeight="1" x14ac:dyDescent="0.2"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</row>
    <row r="93" spans="1:13" ht="15.75" customHeight="1" x14ac:dyDescent="0.2"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</row>
    <row r="94" spans="1:13" ht="15.75" customHeight="1" x14ac:dyDescent="0.2"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</row>
    <row r="95" spans="1:13" ht="15.75" customHeight="1" x14ac:dyDescent="0.2"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</row>
    <row r="96" spans="1:13" ht="15.75" customHeight="1" x14ac:dyDescent="0.2"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</row>
    <row r="97" spans="2:13" ht="15.75" customHeight="1" x14ac:dyDescent="0.2"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</row>
    <row r="98" spans="2:13" ht="15.75" customHeight="1" x14ac:dyDescent="0.2"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</row>
    <row r="99" spans="2:13" ht="15.75" customHeight="1" x14ac:dyDescent="0.2"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</row>
    <row r="100" spans="2:13" ht="15.75" customHeight="1" x14ac:dyDescent="0.2"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</row>
    <row r="101" spans="2:13" ht="15.75" customHeight="1" x14ac:dyDescent="0.2"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</row>
    <row r="102" spans="2:13" ht="15.75" customHeight="1" x14ac:dyDescent="0.2"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</row>
    <row r="103" spans="2:13" ht="15.75" customHeight="1" x14ac:dyDescent="0.2"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</row>
    <row r="104" spans="2:13" ht="15.75" customHeight="1" x14ac:dyDescent="0.2"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</row>
    <row r="105" spans="2:13" ht="15.75" customHeight="1" x14ac:dyDescent="0.2"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</row>
    <row r="106" spans="2:13" ht="15.75" customHeight="1" x14ac:dyDescent="0.2"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</row>
    <row r="107" spans="2:13" ht="15.75" customHeight="1" x14ac:dyDescent="0.2"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</row>
    <row r="108" spans="2:13" ht="15.75" customHeight="1" x14ac:dyDescent="0.2"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</row>
    <row r="109" spans="2:13" ht="15.75" customHeight="1" x14ac:dyDescent="0.2"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</row>
    <row r="110" spans="2:13" ht="15.75" customHeight="1" x14ac:dyDescent="0.2"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</row>
    <row r="111" spans="2:13" ht="15.75" customHeight="1" x14ac:dyDescent="0.2"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</row>
    <row r="112" spans="2:13" ht="15.75" customHeight="1" x14ac:dyDescent="0.2"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</row>
    <row r="113" spans="2:13" ht="15.75" customHeight="1" x14ac:dyDescent="0.2"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</row>
    <row r="114" spans="2:13" ht="15.75" customHeight="1" x14ac:dyDescent="0.2"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</row>
    <row r="115" spans="2:13" ht="15.75" customHeight="1" x14ac:dyDescent="0.2"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</row>
    <row r="116" spans="2:13" ht="15.75" customHeight="1" x14ac:dyDescent="0.2"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</row>
    <row r="117" spans="2:13" ht="15.75" customHeight="1" x14ac:dyDescent="0.2"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</row>
    <row r="118" spans="2:13" ht="15.75" customHeight="1" x14ac:dyDescent="0.2"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</row>
    <row r="119" spans="2:13" ht="15.75" customHeight="1" x14ac:dyDescent="0.2"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</row>
    <row r="120" spans="2:13" ht="15.75" customHeight="1" x14ac:dyDescent="0.2"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</row>
    <row r="121" spans="2:13" ht="15.75" customHeight="1" x14ac:dyDescent="0.2"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</row>
    <row r="122" spans="2:13" ht="15.75" customHeight="1" x14ac:dyDescent="0.2"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</row>
    <row r="123" spans="2:13" ht="15.75" customHeight="1" x14ac:dyDescent="0.2"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</row>
    <row r="124" spans="2:13" ht="15.75" customHeight="1" x14ac:dyDescent="0.2"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</row>
    <row r="125" spans="2:13" ht="15.75" customHeight="1" x14ac:dyDescent="0.2"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</row>
    <row r="126" spans="2:13" ht="15.75" customHeight="1" x14ac:dyDescent="0.2"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</row>
    <row r="127" spans="2:13" ht="15.75" customHeight="1" x14ac:dyDescent="0.2"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</row>
    <row r="128" spans="2:13" ht="15.75" customHeight="1" x14ac:dyDescent="0.2"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</row>
    <row r="129" spans="2:13" ht="15.75" customHeight="1" x14ac:dyDescent="0.2"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</row>
    <row r="130" spans="2:13" ht="15.75" customHeight="1" x14ac:dyDescent="0.2"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</row>
    <row r="131" spans="2:13" ht="15.75" customHeight="1" x14ac:dyDescent="0.2"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</row>
    <row r="132" spans="2:13" ht="15.75" customHeight="1" x14ac:dyDescent="0.2"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</row>
    <row r="133" spans="2:13" ht="15.75" customHeight="1" x14ac:dyDescent="0.2"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</row>
    <row r="134" spans="2:13" ht="15.75" customHeight="1" x14ac:dyDescent="0.2"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</row>
    <row r="135" spans="2:13" ht="15.75" customHeight="1" x14ac:dyDescent="0.2"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</row>
    <row r="136" spans="2:13" ht="15.75" customHeight="1" x14ac:dyDescent="0.2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</row>
    <row r="137" spans="2:13" ht="15.75" customHeight="1" x14ac:dyDescent="0.2"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</row>
    <row r="138" spans="2:13" ht="15.75" customHeight="1" x14ac:dyDescent="0.2"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</row>
    <row r="139" spans="2:13" ht="15.75" customHeight="1" x14ac:dyDescent="0.2"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</row>
    <row r="140" spans="2:13" ht="15.75" customHeight="1" x14ac:dyDescent="0.2"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</row>
    <row r="141" spans="2:13" ht="15.75" customHeight="1" x14ac:dyDescent="0.2"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</row>
    <row r="142" spans="2:13" ht="15.75" customHeight="1" x14ac:dyDescent="0.2"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</row>
    <row r="143" spans="2:13" ht="15.75" customHeight="1" x14ac:dyDescent="0.2"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</row>
    <row r="144" spans="2:13" ht="15.75" customHeight="1" x14ac:dyDescent="0.2"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</row>
    <row r="145" spans="2:13" ht="15.75" customHeight="1" x14ac:dyDescent="0.2"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</row>
    <row r="146" spans="2:13" ht="15.75" customHeight="1" x14ac:dyDescent="0.2"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</row>
    <row r="147" spans="2:13" ht="15.75" customHeight="1" x14ac:dyDescent="0.2"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</row>
    <row r="148" spans="2:13" ht="15.75" customHeight="1" x14ac:dyDescent="0.2"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</row>
    <row r="149" spans="2:13" ht="15.75" customHeight="1" x14ac:dyDescent="0.2"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</row>
    <row r="150" spans="2:13" ht="15.75" customHeight="1" x14ac:dyDescent="0.2"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</row>
    <row r="151" spans="2:13" ht="15.75" customHeight="1" x14ac:dyDescent="0.2"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</row>
    <row r="152" spans="2:13" ht="15.75" customHeight="1" x14ac:dyDescent="0.2"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</row>
    <row r="153" spans="2:13" ht="15.75" customHeight="1" x14ac:dyDescent="0.2"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</row>
    <row r="154" spans="2:13" ht="15.75" customHeight="1" x14ac:dyDescent="0.2"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</row>
    <row r="155" spans="2:13" ht="15.75" customHeight="1" x14ac:dyDescent="0.2"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</row>
    <row r="156" spans="2:13" ht="15.75" customHeight="1" x14ac:dyDescent="0.2"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</row>
    <row r="157" spans="2:13" ht="15.75" customHeight="1" x14ac:dyDescent="0.2"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</row>
    <row r="158" spans="2:13" ht="15.75" customHeight="1" x14ac:dyDescent="0.2"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</row>
    <row r="159" spans="2:13" ht="15.75" customHeight="1" x14ac:dyDescent="0.2"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</row>
    <row r="160" spans="2:13" ht="15.75" customHeight="1" x14ac:dyDescent="0.2"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</row>
    <row r="161" spans="2:13" ht="15.75" customHeight="1" x14ac:dyDescent="0.2"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</row>
    <row r="162" spans="2:13" ht="15.75" customHeight="1" x14ac:dyDescent="0.2"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</row>
    <row r="163" spans="2:13" ht="15.75" customHeight="1" x14ac:dyDescent="0.2"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</row>
    <row r="164" spans="2:13" ht="15.75" customHeight="1" x14ac:dyDescent="0.2"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</row>
    <row r="165" spans="2:13" ht="15.75" customHeight="1" x14ac:dyDescent="0.2"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</row>
    <row r="166" spans="2:13" ht="15.75" customHeight="1" x14ac:dyDescent="0.2"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</row>
    <row r="167" spans="2:13" ht="15.75" customHeight="1" x14ac:dyDescent="0.2"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</row>
    <row r="168" spans="2:13" ht="15.75" customHeight="1" x14ac:dyDescent="0.2"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</row>
    <row r="169" spans="2:13" ht="15.75" customHeight="1" x14ac:dyDescent="0.2"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</row>
    <row r="170" spans="2:13" ht="15.75" customHeight="1" x14ac:dyDescent="0.2"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</row>
    <row r="171" spans="2:13" ht="15.75" customHeight="1" x14ac:dyDescent="0.2"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</row>
    <row r="172" spans="2:13" ht="15.75" customHeight="1" x14ac:dyDescent="0.2"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</row>
    <row r="173" spans="2:13" ht="15.75" customHeight="1" x14ac:dyDescent="0.2"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</row>
    <row r="174" spans="2:13" ht="15.75" customHeight="1" x14ac:dyDescent="0.2"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</row>
    <row r="175" spans="2:13" ht="15.75" customHeight="1" x14ac:dyDescent="0.2"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</row>
    <row r="176" spans="2:13" ht="15.75" customHeight="1" x14ac:dyDescent="0.2"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</row>
    <row r="177" spans="2:13" ht="15.75" customHeight="1" x14ac:dyDescent="0.2"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</row>
    <row r="178" spans="2:13" ht="15.75" customHeight="1" x14ac:dyDescent="0.2"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</row>
    <row r="179" spans="2:13" ht="15.75" customHeight="1" x14ac:dyDescent="0.2"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</row>
    <row r="180" spans="2:13" ht="15.75" customHeight="1" x14ac:dyDescent="0.2"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</row>
    <row r="181" spans="2:13" ht="15.75" customHeight="1" x14ac:dyDescent="0.2"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</row>
    <row r="182" spans="2:13" ht="15.75" customHeight="1" x14ac:dyDescent="0.2"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</row>
    <row r="183" spans="2:13" ht="15.75" customHeight="1" x14ac:dyDescent="0.2"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</row>
    <row r="184" spans="2:13" ht="15.75" customHeight="1" x14ac:dyDescent="0.2"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</row>
    <row r="185" spans="2:13" ht="15.75" customHeight="1" x14ac:dyDescent="0.2"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</row>
    <row r="186" spans="2:13" ht="15.75" customHeight="1" x14ac:dyDescent="0.2"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</row>
    <row r="187" spans="2:13" ht="15.75" customHeight="1" x14ac:dyDescent="0.2"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</row>
    <row r="188" spans="2:13" ht="15.75" customHeight="1" x14ac:dyDescent="0.2"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</row>
    <row r="189" spans="2:13" ht="15.75" customHeight="1" x14ac:dyDescent="0.2"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</row>
    <row r="190" spans="2:13" ht="15.75" customHeight="1" x14ac:dyDescent="0.2"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</row>
    <row r="191" spans="2:13" ht="15.75" customHeight="1" x14ac:dyDescent="0.2"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</row>
    <row r="192" spans="2:13" ht="15.75" customHeight="1" x14ac:dyDescent="0.2"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</row>
    <row r="193" spans="2:13" ht="15.75" customHeight="1" x14ac:dyDescent="0.2"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</row>
    <row r="194" spans="2:13" ht="15.75" customHeight="1" x14ac:dyDescent="0.2"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</row>
    <row r="195" spans="2:13" ht="15.75" customHeight="1" x14ac:dyDescent="0.2"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</row>
    <row r="196" spans="2:13" ht="15.75" customHeight="1" x14ac:dyDescent="0.2"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</row>
    <row r="197" spans="2:13" ht="15.75" customHeight="1" x14ac:dyDescent="0.2"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</row>
    <row r="198" spans="2:13" ht="15.75" customHeight="1" x14ac:dyDescent="0.2"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</row>
    <row r="199" spans="2:13" ht="15.75" customHeight="1" x14ac:dyDescent="0.2"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</row>
    <row r="200" spans="2:13" ht="15.75" customHeight="1" x14ac:dyDescent="0.2"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</row>
    <row r="201" spans="2:13" ht="15.75" customHeight="1" x14ac:dyDescent="0.2"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</row>
    <row r="202" spans="2:13" ht="15.75" customHeight="1" x14ac:dyDescent="0.2"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</row>
    <row r="203" spans="2:13" ht="15.75" customHeight="1" x14ac:dyDescent="0.2"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</row>
    <row r="204" spans="2:13" ht="15.75" customHeight="1" x14ac:dyDescent="0.2"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</row>
    <row r="205" spans="2:13" ht="15.75" customHeight="1" x14ac:dyDescent="0.2"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</row>
    <row r="206" spans="2:13" ht="15.75" customHeight="1" x14ac:dyDescent="0.2"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</row>
    <row r="207" spans="2:13" ht="15.75" customHeight="1" x14ac:dyDescent="0.2"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</row>
    <row r="208" spans="2:13" ht="15.75" customHeight="1" x14ac:dyDescent="0.2"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</row>
    <row r="209" spans="2:13" ht="15.75" customHeight="1" x14ac:dyDescent="0.2"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</row>
    <row r="210" spans="2:13" ht="15.75" customHeight="1" x14ac:dyDescent="0.2"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</row>
    <row r="211" spans="2:13" ht="15.75" customHeight="1" x14ac:dyDescent="0.2"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</row>
    <row r="212" spans="2:13" ht="15.75" customHeight="1" x14ac:dyDescent="0.2"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</row>
    <row r="213" spans="2:13" ht="15.75" customHeight="1" x14ac:dyDescent="0.2"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</row>
    <row r="214" spans="2:13" ht="15.75" customHeight="1" x14ac:dyDescent="0.2"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</row>
    <row r="215" spans="2:13" ht="15.75" customHeight="1" x14ac:dyDescent="0.2"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</row>
    <row r="216" spans="2:13" ht="15.75" customHeight="1" x14ac:dyDescent="0.2"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</row>
    <row r="217" spans="2:13" ht="15.75" customHeight="1" x14ac:dyDescent="0.2"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</row>
    <row r="218" spans="2:13" ht="15.75" customHeight="1" x14ac:dyDescent="0.2"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</row>
    <row r="219" spans="2:13" ht="15.75" customHeight="1" x14ac:dyDescent="0.2"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</row>
    <row r="220" spans="2:13" ht="15.75" customHeight="1" x14ac:dyDescent="0.2"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</row>
    <row r="221" spans="2:13" ht="15.75" customHeight="1" x14ac:dyDescent="0.2"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</row>
    <row r="222" spans="2:13" ht="15.75" customHeight="1" x14ac:dyDescent="0.2"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</row>
    <row r="223" spans="2:13" ht="15.75" customHeight="1" x14ac:dyDescent="0.2"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</row>
    <row r="224" spans="2:13" ht="15.75" customHeight="1" x14ac:dyDescent="0.2"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</row>
    <row r="225" spans="2:13" ht="15.75" customHeight="1" x14ac:dyDescent="0.2"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</row>
    <row r="226" spans="2:13" ht="15.75" customHeight="1" x14ac:dyDescent="0.2"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</row>
    <row r="227" spans="2:13" ht="15.75" customHeight="1" x14ac:dyDescent="0.2"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</row>
    <row r="228" spans="2:13" ht="15.75" customHeight="1" x14ac:dyDescent="0.2"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</row>
    <row r="229" spans="2:13" ht="15.75" customHeight="1" x14ac:dyDescent="0.2"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</row>
    <row r="230" spans="2:13" ht="15.75" customHeight="1" x14ac:dyDescent="0.2"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</row>
    <row r="231" spans="2:13" ht="15.75" customHeight="1" x14ac:dyDescent="0.2"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</row>
    <row r="232" spans="2:13" ht="15.75" customHeight="1" x14ac:dyDescent="0.2"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</row>
    <row r="233" spans="2:13" ht="15.75" customHeight="1" x14ac:dyDescent="0.2"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</row>
    <row r="234" spans="2:13" ht="15.75" customHeight="1" x14ac:dyDescent="0.2"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</row>
    <row r="235" spans="2:13" ht="15.75" customHeight="1" x14ac:dyDescent="0.2"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</row>
    <row r="236" spans="2:13" ht="15.75" customHeight="1" x14ac:dyDescent="0.2"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</row>
    <row r="237" spans="2:13" ht="15.75" customHeight="1" x14ac:dyDescent="0.2"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</row>
    <row r="238" spans="2:13" ht="15.75" customHeight="1" x14ac:dyDescent="0.2"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</row>
    <row r="239" spans="2:13" ht="15.75" customHeight="1" x14ac:dyDescent="0.2"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</row>
    <row r="240" spans="2:13" ht="15.75" customHeight="1" x14ac:dyDescent="0.2"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</row>
    <row r="241" spans="2:13" ht="15.75" customHeight="1" x14ac:dyDescent="0.2"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</row>
    <row r="242" spans="2:13" ht="15.75" customHeight="1" x14ac:dyDescent="0.2"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</row>
    <row r="243" spans="2:13" ht="15.75" customHeight="1" x14ac:dyDescent="0.2"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</row>
    <row r="244" spans="2:13" ht="15.75" customHeight="1" x14ac:dyDescent="0.2"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</row>
    <row r="245" spans="2:13" ht="15.75" customHeight="1" x14ac:dyDescent="0.2"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</row>
    <row r="246" spans="2:13" ht="15.75" customHeight="1" x14ac:dyDescent="0.2"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</row>
    <row r="247" spans="2:13" ht="15.75" customHeight="1" x14ac:dyDescent="0.2"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</row>
    <row r="248" spans="2:13" ht="15.75" customHeight="1" x14ac:dyDescent="0.2"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</row>
    <row r="249" spans="2:13" ht="15.75" customHeight="1" x14ac:dyDescent="0.2"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</row>
    <row r="250" spans="2:13" ht="15.75" customHeight="1" x14ac:dyDescent="0.2"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</row>
    <row r="251" spans="2:13" ht="15.75" customHeight="1" x14ac:dyDescent="0.2"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</row>
    <row r="252" spans="2:13" ht="15.75" customHeight="1" x14ac:dyDescent="0.2"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</row>
    <row r="253" spans="2:13" ht="15.75" customHeight="1" x14ac:dyDescent="0.2"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</row>
    <row r="254" spans="2:13" ht="15.75" customHeight="1" x14ac:dyDescent="0.2"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</row>
    <row r="255" spans="2:13" ht="15.75" customHeight="1" x14ac:dyDescent="0.2"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</row>
    <row r="256" spans="2:13" ht="15.75" customHeight="1" x14ac:dyDescent="0.2"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</row>
    <row r="257" spans="2:13" ht="15.75" customHeight="1" x14ac:dyDescent="0.2"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</row>
    <row r="258" spans="2:13" ht="15.75" customHeight="1" x14ac:dyDescent="0.2"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</row>
    <row r="259" spans="2:13" ht="15.75" customHeight="1" x14ac:dyDescent="0.2"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</row>
    <row r="260" spans="2:13" ht="15.75" customHeight="1" x14ac:dyDescent="0.2"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</row>
    <row r="261" spans="2:13" ht="15.75" customHeight="1" x14ac:dyDescent="0.2"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</row>
    <row r="262" spans="2:13" ht="15.75" customHeight="1" x14ac:dyDescent="0.2"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</row>
    <row r="263" spans="2:13" ht="15.75" customHeight="1" x14ac:dyDescent="0.2"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</row>
    <row r="264" spans="2:13" ht="15.75" customHeight="1" x14ac:dyDescent="0.2"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</row>
    <row r="265" spans="2:13" ht="15.75" customHeight="1" x14ac:dyDescent="0.2"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</row>
    <row r="266" spans="2:13" ht="15.75" customHeight="1" x14ac:dyDescent="0.2"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</row>
    <row r="267" spans="2:13" ht="15.75" customHeight="1" x14ac:dyDescent="0.2"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</row>
    <row r="268" spans="2:13" ht="15.75" customHeight="1" x14ac:dyDescent="0.2"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</row>
    <row r="269" spans="2:13" ht="15.75" customHeight="1" x14ac:dyDescent="0.2"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</row>
    <row r="270" spans="2:13" ht="15.75" customHeight="1" x14ac:dyDescent="0.2"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</row>
    <row r="271" spans="2:13" ht="15.75" customHeight="1" x14ac:dyDescent="0.2"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</row>
    <row r="272" spans="2:13" ht="15.75" customHeight="1" x14ac:dyDescent="0.2"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</row>
    <row r="273" spans="2:13" ht="15.75" customHeight="1" x14ac:dyDescent="0.2"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</row>
    <row r="274" spans="2:13" ht="15.75" customHeight="1" x14ac:dyDescent="0.2"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</row>
    <row r="275" spans="2:13" ht="15.75" customHeight="1" x14ac:dyDescent="0.2"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</row>
    <row r="276" spans="2:13" ht="15.75" customHeight="1" x14ac:dyDescent="0.2"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</row>
    <row r="277" spans="2:13" ht="15.75" customHeight="1" x14ac:dyDescent="0.2"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</row>
    <row r="278" spans="2:13" ht="15.75" customHeight="1" x14ac:dyDescent="0.2"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</row>
    <row r="279" spans="2:13" ht="15.75" customHeight="1" x14ac:dyDescent="0.2"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</row>
    <row r="280" spans="2:13" ht="15.75" customHeight="1" x14ac:dyDescent="0.2"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</row>
    <row r="281" spans="2:13" ht="15.75" customHeight="1" x14ac:dyDescent="0.2"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</row>
    <row r="282" spans="2:13" ht="15.75" customHeight="1" x14ac:dyDescent="0.2"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</row>
    <row r="283" spans="2:13" ht="15.75" customHeight="1" x14ac:dyDescent="0.2"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</row>
    <row r="284" spans="2:13" ht="15.75" customHeight="1" x14ac:dyDescent="0.2"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</row>
    <row r="285" spans="2:13" ht="15.75" customHeight="1" x14ac:dyDescent="0.2"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</row>
    <row r="286" spans="2:13" ht="15.75" customHeight="1" x14ac:dyDescent="0.2"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</row>
    <row r="287" spans="2:13" ht="15.75" customHeight="1" x14ac:dyDescent="0.2"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</row>
    <row r="288" spans="2:13" ht="15.75" customHeight="1" x14ac:dyDescent="0.2"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</row>
    <row r="289" spans="2:13" ht="15.75" customHeight="1" x14ac:dyDescent="0.2"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</row>
    <row r="290" spans="2:13" ht="15.75" customHeight="1" x14ac:dyDescent="0.2"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</row>
    <row r="291" spans="2:13" ht="15.75" customHeight="1" x14ac:dyDescent="0.2"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</row>
    <row r="292" spans="2:13" ht="15.75" customHeight="1" x14ac:dyDescent="0.2"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</row>
    <row r="293" spans="2:13" ht="15.75" customHeight="1" x14ac:dyDescent="0.2"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</row>
    <row r="294" spans="2:13" ht="15.75" customHeight="1" x14ac:dyDescent="0.2"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</row>
    <row r="295" spans="2:13" ht="15.75" customHeight="1" x14ac:dyDescent="0.2"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</row>
    <row r="296" spans="2:13" ht="15.75" customHeight="1" x14ac:dyDescent="0.2"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</row>
    <row r="297" spans="2:13" ht="15.75" customHeight="1" x14ac:dyDescent="0.2"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</row>
    <row r="298" spans="2:13" ht="15.75" customHeight="1" x14ac:dyDescent="0.2"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</row>
    <row r="299" spans="2:13" ht="15.75" customHeight="1" x14ac:dyDescent="0.2"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</row>
    <row r="300" spans="2:13" ht="15.75" customHeight="1" x14ac:dyDescent="0.2"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</row>
    <row r="301" spans="2:13" ht="15.75" customHeight="1" x14ac:dyDescent="0.2"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</row>
    <row r="302" spans="2:13" ht="15.75" customHeight="1" x14ac:dyDescent="0.2"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</row>
    <row r="303" spans="2:13" ht="15.75" customHeight="1" x14ac:dyDescent="0.2"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</row>
    <row r="304" spans="2:13" ht="15.75" customHeight="1" x14ac:dyDescent="0.2"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</row>
    <row r="305" spans="2:13" ht="15.75" customHeight="1" x14ac:dyDescent="0.2"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</row>
    <row r="306" spans="2:13" ht="15.75" customHeight="1" x14ac:dyDescent="0.2"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</row>
    <row r="307" spans="2:13" ht="15.75" customHeight="1" x14ac:dyDescent="0.2"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</row>
    <row r="308" spans="2:13" ht="15.75" customHeight="1" x14ac:dyDescent="0.2"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</row>
    <row r="309" spans="2:13" ht="15.75" customHeight="1" x14ac:dyDescent="0.2"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</row>
    <row r="310" spans="2:13" ht="15.75" customHeight="1" x14ac:dyDescent="0.2"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</row>
    <row r="311" spans="2:13" ht="15.75" customHeight="1" x14ac:dyDescent="0.2"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</row>
    <row r="312" spans="2:13" ht="15.75" customHeight="1" x14ac:dyDescent="0.2"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</row>
    <row r="313" spans="2:13" ht="15.75" customHeight="1" x14ac:dyDescent="0.2"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</row>
    <row r="314" spans="2:13" ht="15.75" customHeight="1" x14ac:dyDescent="0.2"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</row>
    <row r="315" spans="2:13" ht="15.75" customHeight="1" x14ac:dyDescent="0.2"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</row>
    <row r="316" spans="2:13" ht="15.75" customHeight="1" x14ac:dyDescent="0.2"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</row>
    <row r="317" spans="2:13" ht="15.75" customHeight="1" x14ac:dyDescent="0.2"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</row>
    <row r="318" spans="2:13" ht="15.75" customHeight="1" x14ac:dyDescent="0.2"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</row>
    <row r="319" spans="2:13" ht="15.75" customHeight="1" x14ac:dyDescent="0.2"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</row>
    <row r="320" spans="2:13" ht="15.75" customHeight="1" x14ac:dyDescent="0.2"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</row>
    <row r="321" spans="2:13" ht="15.75" customHeight="1" x14ac:dyDescent="0.2"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</row>
    <row r="322" spans="2:13" ht="15.75" customHeight="1" x14ac:dyDescent="0.2"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</row>
    <row r="323" spans="2:13" ht="15.75" customHeight="1" x14ac:dyDescent="0.2"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</row>
    <row r="324" spans="2:13" ht="15.75" customHeight="1" x14ac:dyDescent="0.2"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</row>
    <row r="325" spans="2:13" ht="15.75" customHeight="1" x14ac:dyDescent="0.2"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</row>
    <row r="326" spans="2:13" ht="15.75" customHeight="1" x14ac:dyDescent="0.2"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</row>
    <row r="327" spans="2:13" ht="15.75" customHeight="1" x14ac:dyDescent="0.2"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</row>
    <row r="328" spans="2:13" ht="15.75" customHeight="1" x14ac:dyDescent="0.2"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</row>
    <row r="329" spans="2:13" ht="15.75" customHeight="1" x14ac:dyDescent="0.2"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</row>
    <row r="330" spans="2:13" ht="15.75" customHeight="1" x14ac:dyDescent="0.2"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</row>
    <row r="331" spans="2:13" ht="15.75" customHeight="1" x14ac:dyDescent="0.2"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</row>
    <row r="332" spans="2:13" ht="15.75" customHeight="1" x14ac:dyDescent="0.2"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</row>
    <row r="333" spans="2:13" ht="15.75" customHeight="1" x14ac:dyDescent="0.2"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</row>
    <row r="334" spans="2:13" ht="15.75" customHeight="1" x14ac:dyDescent="0.2"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</row>
    <row r="335" spans="2:13" ht="15.75" customHeight="1" x14ac:dyDescent="0.2"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</row>
    <row r="336" spans="2:13" ht="15.75" customHeight="1" x14ac:dyDescent="0.2"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</row>
    <row r="337" spans="2:13" ht="15.75" customHeight="1" x14ac:dyDescent="0.2"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</row>
    <row r="338" spans="2:13" ht="15.75" customHeight="1" x14ac:dyDescent="0.2"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</row>
    <row r="339" spans="2:13" ht="15.75" customHeight="1" x14ac:dyDescent="0.2"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</row>
    <row r="340" spans="2:13" ht="15.75" customHeight="1" x14ac:dyDescent="0.2"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</row>
    <row r="341" spans="2:13" ht="15.75" customHeight="1" x14ac:dyDescent="0.2"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</row>
    <row r="342" spans="2:13" ht="15.75" customHeight="1" x14ac:dyDescent="0.2"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</row>
    <row r="343" spans="2:13" ht="15.75" customHeight="1" x14ac:dyDescent="0.2"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</row>
    <row r="344" spans="2:13" ht="15.75" customHeight="1" x14ac:dyDescent="0.2"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</row>
    <row r="345" spans="2:13" ht="15.75" customHeight="1" x14ac:dyDescent="0.2"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</row>
    <row r="346" spans="2:13" ht="15.75" customHeight="1" x14ac:dyDescent="0.2"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</row>
    <row r="347" spans="2:13" ht="15.75" customHeight="1" x14ac:dyDescent="0.2"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</row>
    <row r="348" spans="2:13" ht="15.75" customHeight="1" x14ac:dyDescent="0.2"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</row>
    <row r="349" spans="2:13" ht="15.75" customHeight="1" x14ac:dyDescent="0.2"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</row>
    <row r="350" spans="2:13" ht="15.75" customHeight="1" x14ac:dyDescent="0.2"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</row>
    <row r="351" spans="2:13" ht="15.75" customHeight="1" x14ac:dyDescent="0.2"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</row>
    <row r="352" spans="2:13" ht="15.75" customHeight="1" x14ac:dyDescent="0.2"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</row>
    <row r="353" spans="2:13" ht="15.75" customHeight="1" x14ac:dyDescent="0.2"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</row>
    <row r="354" spans="2:13" ht="15.75" customHeight="1" x14ac:dyDescent="0.2"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</row>
    <row r="355" spans="2:13" ht="15.75" customHeight="1" x14ac:dyDescent="0.2"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</row>
    <row r="356" spans="2:13" ht="15.75" customHeight="1" x14ac:dyDescent="0.2"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</row>
    <row r="357" spans="2:13" ht="15.75" customHeight="1" x14ac:dyDescent="0.2"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</row>
    <row r="358" spans="2:13" ht="15.75" customHeight="1" x14ac:dyDescent="0.2"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</row>
    <row r="359" spans="2:13" ht="15.75" customHeight="1" x14ac:dyDescent="0.2"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</row>
    <row r="360" spans="2:13" ht="15.75" customHeight="1" x14ac:dyDescent="0.2"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</row>
    <row r="361" spans="2:13" ht="15.75" customHeight="1" x14ac:dyDescent="0.2"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</row>
    <row r="362" spans="2:13" ht="15.75" customHeight="1" x14ac:dyDescent="0.2"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</row>
    <row r="363" spans="2:13" ht="15.75" customHeight="1" x14ac:dyDescent="0.2"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</row>
    <row r="364" spans="2:13" ht="15.75" customHeight="1" x14ac:dyDescent="0.2"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</row>
    <row r="365" spans="2:13" ht="15.75" customHeight="1" x14ac:dyDescent="0.2"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</row>
    <row r="366" spans="2:13" ht="15.75" customHeight="1" x14ac:dyDescent="0.2"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</row>
    <row r="367" spans="2:13" ht="15.75" customHeight="1" x14ac:dyDescent="0.2"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</row>
    <row r="368" spans="2:13" ht="15.75" customHeight="1" x14ac:dyDescent="0.2"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</row>
    <row r="369" spans="2:13" ht="15.75" customHeight="1" x14ac:dyDescent="0.2"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</row>
    <row r="370" spans="2:13" ht="15.75" customHeight="1" x14ac:dyDescent="0.2"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</row>
    <row r="371" spans="2:13" ht="15.75" customHeight="1" x14ac:dyDescent="0.2"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</row>
    <row r="372" spans="2:13" ht="15.75" customHeight="1" x14ac:dyDescent="0.2"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</row>
    <row r="373" spans="2:13" ht="15.75" customHeight="1" x14ac:dyDescent="0.2"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</row>
    <row r="374" spans="2:13" ht="15.75" customHeight="1" x14ac:dyDescent="0.2"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</row>
    <row r="375" spans="2:13" ht="15.75" customHeight="1" x14ac:dyDescent="0.2"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</row>
    <row r="376" spans="2:13" ht="15.75" customHeight="1" x14ac:dyDescent="0.2"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</row>
    <row r="377" spans="2:13" ht="15.75" customHeight="1" x14ac:dyDescent="0.2"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</row>
    <row r="378" spans="2:13" ht="15.75" customHeight="1" x14ac:dyDescent="0.2"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</row>
    <row r="379" spans="2:13" ht="15.75" customHeight="1" x14ac:dyDescent="0.2"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</row>
    <row r="380" spans="2:13" ht="15.75" customHeight="1" x14ac:dyDescent="0.2"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</row>
    <row r="381" spans="2:13" ht="15.75" customHeight="1" x14ac:dyDescent="0.2"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</row>
    <row r="382" spans="2:13" ht="15.75" customHeight="1" x14ac:dyDescent="0.2"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</row>
    <row r="383" spans="2:13" ht="15.75" customHeight="1" x14ac:dyDescent="0.2"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</row>
    <row r="384" spans="2:13" ht="15.75" customHeight="1" x14ac:dyDescent="0.2"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</row>
    <row r="385" spans="2:13" ht="15.75" customHeight="1" x14ac:dyDescent="0.2"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</row>
    <row r="386" spans="2:13" ht="15.75" customHeight="1" x14ac:dyDescent="0.2"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</row>
    <row r="387" spans="2:13" ht="15.75" customHeight="1" x14ac:dyDescent="0.2"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</row>
    <row r="388" spans="2:13" ht="15.75" customHeight="1" x14ac:dyDescent="0.2"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</row>
    <row r="389" spans="2:13" ht="15.75" customHeight="1" x14ac:dyDescent="0.2"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</row>
    <row r="390" spans="2:13" ht="15.75" customHeight="1" x14ac:dyDescent="0.2"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</row>
    <row r="391" spans="2:13" ht="15.75" customHeight="1" x14ac:dyDescent="0.2"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</row>
    <row r="392" spans="2:13" ht="15.75" customHeight="1" x14ac:dyDescent="0.2"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</row>
    <row r="393" spans="2:13" ht="15.75" customHeight="1" x14ac:dyDescent="0.2"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</row>
    <row r="394" spans="2:13" ht="15.75" customHeight="1" x14ac:dyDescent="0.2"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</row>
    <row r="395" spans="2:13" ht="15.75" customHeight="1" x14ac:dyDescent="0.2"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</row>
    <row r="396" spans="2:13" ht="15.75" customHeight="1" x14ac:dyDescent="0.2"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</row>
    <row r="397" spans="2:13" ht="15.75" customHeight="1" x14ac:dyDescent="0.2"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</row>
    <row r="398" spans="2:13" ht="15.75" customHeight="1" x14ac:dyDescent="0.2"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</row>
    <row r="399" spans="2:13" ht="15.75" customHeight="1" x14ac:dyDescent="0.2"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</row>
    <row r="400" spans="2:13" ht="15.75" customHeight="1" x14ac:dyDescent="0.2"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</row>
    <row r="401" spans="2:13" ht="15.75" customHeight="1" x14ac:dyDescent="0.2"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</row>
    <row r="402" spans="2:13" ht="15.75" customHeight="1" x14ac:dyDescent="0.2"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</row>
    <row r="403" spans="2:13" ht="15.75" customHeight="1" x14ac:dyDescent="0.2"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</row>
    <row r="404" spans="2:13" ht="15.75" customHeight="1" x14ac:dyDescent="0.2"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</row>
    <row r="405" spans="2:13" ht="15.75" customHeight="1" x14ac:dyDescent="0.2"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</row>
    <row r="406" spans="2:13" ht="15.75" customHeight="1" x14ac:dyDescent="0.2"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</row>
    <row r="407" spans="2:13" ht="15.75" customHeight="1" x14ac:dyDescent="0.2"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</row>
    <row r="408" spans="2:13" ht="15.75" customHeight="1" x14ac:dyDescent="0.2"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</row>
    <row r="409" spans="2:13" ht="15.75" customHeight="1" x14ac:dyDescent="0.2"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</row>
    <row r="410" spans="2:13" ht="15.75" customHeight="1" x14ac:dyDescent="0.2"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</row>
    <row r="411" spans="2:13" ht="15.75" customHeight="1" x14ac:dyDescent="0.2"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</row>
    <row r="412" spans="2:13" ht="15.75" customHeight="1" x14ac:dyDescent="0.2"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</row>
    <row r="413" spans="2:13" ht="15.75" customHeight="1" x14ac:dyDescent="0.2"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</row>
    <row r="414" spans="2:13" ht="15.75" customHeight="1" x14ac:dyDescent="0.2"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</row>
    <row r="415" spans="2:13" ht="15.75" customHeight="1" x14ac:dyDescent="0.2"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</row>
    <row r="416" spans="2:13" ht="15.75" customHeight="1" x14ac:dyDescent="0.2"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</row>
    <row r="417" spans="2:13" ht="15.75" customHeight="1" x14ac:dyDescent="0.2"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</row>
    <row r="418" spans="2:13" ht="15.75" customHeight="1" x14ac:dyDescent="0.2"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</row>
    <row r="419" spans="2:13" ht="15.75" customHeight="1" x14ac:dyDescent="0.2"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</row>
    <row r="420" spans="2:13" ht="15.75" customHeight="1" x14ac:dyDescent="0.2"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</row>
    <row r="421" spans="2:13" ht="15.75" customHeight="1" x14ac:dyDescent="0.2"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</row>
    <row r="422" spans="2:13" ht="15.75" customHeight="1" x14ac:dyDescent="0.2"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</row>
    <row r="423" spans="2:13" ht="15.75" customHeight="1" x14ac:dyDescent="0.2"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</row>
    <row r="424" spans="2:13" ht="15.75" customHeight="1" x14ac:dyDescent="0.2"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</row>
    <row r="425" spans="2:13" ht="15.75" customHeight="1" x14ac:dyDescent="0.2"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</row>
    <row r="426" spans="2:13" ht="15.75" customHeight="1" x14ac:dyDescent="0.2"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</row>
    <row r="427" spans="2:13" ht="15.75" customHeight="1" x14ac:dyDescent="0.2"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</row>
    <row r="428" spans="2:13" ht="15.75" customHeight="1" x14ac:dyDescent="0.2"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</row>
    <row r="429" spans="2:13" ht="15.75" customHeight="1" x14ac:dyDescent="0.2"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</row>
    <row r="430" spans="2:13" ht="15.75" customHeight="1" x14ac:dyDescent="0.2"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</row>
    <row r="431" spans="2:13" ht="15.75" customHeight="1" x14ac:dyDescent="0.2"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</row>
    <row r="432" spans="2:13" ht="15.75" customHeight="1" x14ac:dyDescent="0.2"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</row>
    <row r="433" spans="2:13" ht="15.75" customHeight="1" x14ac:dyDescent="0.2"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</row>
    <row r="434" spans="2:13" ht="15.75" customHeight="1" x14ac:dyDescent="0.2"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</row>
    <row r="435" spans="2:13" ht="15.75" customHeight="1" x14ac:dyDescent="0.2"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</row>
    <row r="436" spans="2:13" ht="15.75" customHeight="1" x14ac:dyDescent="0.2"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</row>
    <row r="437" spans="2:13" ht="15.75" customHeight="1" x14ac:dyDescent="0.2"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</row>
    <row r="438" spans="2:13" ht="15.75" customHeight="1" x14ac:dyDescent="0.2"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</row>
    <row r="439" spans="2:13" ht="15.75" customHeight="1" x14ac:dyDescent="0.2"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</row>
    <row r="440" spans="2:13" ht="15.75" customHeight="1" x14ac:dyDescent="0.2"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</row>
    <row r="441" spans="2:13" ht="15.75" customHeight="1" x14ac:dyDescent="0.2"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</row>
    <row r="442" spans="2:13" ht="15.75" customHeight="1" x14ac:dyDescent="0.2"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</row>
    <row r="443" spans="2:13" ht="15.75" customHeight="1" x14ac:dyDescent="0.2"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</row>
    <row r="444" spans="2:13" ht="15.75" customHeight="1" x14ac:dyDescent="0.2"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</row>
    <row r="445" spans="2:13" ht="15.75" customHeight="1" x14ac:dyDescent="0.2"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</row>
    <row r="446" spans="2:13" ht="15.75" customHeight="1" x14ac:dyDescent="0.2"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</row>
    <row r="447" spans="2:13" ht="15.75" customHeight="1" x14ac:dyDescent="0.2"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</row>
    <row r="448" spans="2:13" ht="15.75" customHeight="1" x14ac:dyDescent="0.2"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</row>
    <row r="449" spans="2:13" ht="15.75" customHeight="1" x14ac:dyDescent="0.2"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</row>
    <row r="450" spans="2:13" ht="15.75" customHeight="1" x14ac:dyDescent="0.2"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</row>
    <row r="451" spans="2:13" ht="15.75" customHeight="1" x14ac:dyDescent="0.2"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</row>
    <row r="452" spans="2:13" ht="15.75" customHeight="1" x14ac:dyDescent="0.2"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</row>
    <row r="453" spans="2:13" ht="15.75" customHeight="1" x14ac:dyDescent="0.2"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</row>
    <row r="454" spans="2:13" ht="15.75" customHeight="1" x14ac:dyDescent="0.2"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</row>
    <row r="455" spans="2:13" ht="15.75" customHeight="1" x14ac:dyDescent="0.2"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</row>
    <row r="456" spans="2:13" ht="15.75" customHeight="1" x14ac:dyDescent="0.2"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</row>
    <row r="457" spans="2:13" ht="15.75" customHeight="1" x14ac:dyDescent="0.2"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</row>
    <row r="458" spans="2:13" ht="15.75" customHeight="1" x14ac:dyDescent="0.2"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</row>
    <row r="459" spans="2:13" ht="15.75" customHeight="1" x14ac:dyDescent="0.2"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</row>
    <row r="460" spans="2:13" ht="15.75" customHeight="1" x14ac:dyDescent="0.2"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</row>
    <row r="461" spans="2:13" ht="15.75" customHeight="1" x14ac:dyDescent="0.2"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</row>
    <row r="462" spans="2:13" ht="15.75" customHeight="1" x14ac:dyDescent="0.2"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</row>
    <row r="463" spans="2:13" ht="15.75" customHeight="1" x14ac:dyDescent="0.2"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</row>
    <row r="464" spans="2:13" ht="15.75" customHeight="1" x14ac:dyDescent="0.2"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</row>
    <row r="465" spans="2:13" ht="15.75" customHeight="1" x14ac:dyDescent="0.2"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</row>
    <row r="466" spans="2:13" ht="15.75" customHeight="1" x14ac:dyDescent="0.2"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</row>
    <row r="467" spans="2:13" ht="15.75" customHeight="1" x14ac:dyDescent="0.2"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</row>
    <row r="468" spans="2:13" ht="15.75" customHeight="1" x14ac:dyDescent="0.2"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</row>
    <row r="469" spans="2:13" ht="15.75" customHeight="1" x14ac:dyDescent="0.2"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</row>
    <row r="470" spans="2:13" ht="15.75" customHeight="1" x14ac:dyDescent="0.2"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</row>
    <row r="471" spans="2:13" ht="15.75" customHeight="1" x14ac:dyDescent="0.2"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</row>
    <row r="472" spans="2:13" ht="15.75" customHeight="1" x14ac:dyDescent="0.2"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</row>
    <row r="473" spans="2:13" ht="15.75" customHeight="1" x14ac:dyDescent="0.2"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</row>
    <row r="474" spans="2:13" ht="15.75" customHeight="1" x14ac:dyDescent="0.2"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</row>
    <row r="475" spans="2:13" ht="15.75" customHeight="1" x14ac:dyDescent="0.2"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</row>
    <row r="476" spans="2:13" ht="15.75" customHeight="1" x14ac:dyDescent="0.2"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</row>
    <row r="477" spans="2:13" ht="15.75" customHeight="1" x14ac:dyDescent="0.2"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</row>
    <row r="478" spans="2:13" ht="15.75" customHeight="1" x14ac:dyDescent="0.2"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</row>
    <row r="479" spans="2:13" ht="15.75" customHeight="1" x14ac:dyDescent="0.2"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</row>
    <row r="480" spans="2:13" ht="15.75" customHeight="1" x14ac:dyDescent="0.2"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</row>
    <row r="481" spans="2:13" ht="15.75" customHeight="1" x14ac:dyDescent="0.2"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</row>
    <row r="482" spans="2:13" ht="15.75" customHeight="1" x14ac:dyDescent="0.2"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</row>
    <row r="483" spans="2:13" ht="15.75" customHeight="1" x14ac:dyDescent="0.2"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</row>
    <row r="484" spans="2:13" ht="15.75" customHeight="1" x14ac:dyDescent="0.2"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</row>
    <row r="485" spans="2:13" ht="15.75" customHeight="1" x14ac:dyDescent="0.2"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</row>
    <row r="486" spans="2:13" ht="15.75" customHeight="1" x14ac:dyDescent="0.2"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</row>
    <row r="487" spans="2:13" ht="15.75" customHeight="1" x14ac:dyDescent="0.2"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</row>
    <row r="488" spans="2:13" ht="15.75" customHeight="1" x14ac:dyDescent="0.2"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</row>
    <row r="489" spans="2:13" ht="15.75" customHeight="1" x14ac:dyDescent="0.2"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</row>
    <row r="490" spans="2:13" ht="15.75" customHeight="1" x14ac:dyDescent="0.2"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</row>
    <row r="491" spans="2:13" ht="15.75" customHeight="1" x14ac:dyDescent="0.2"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</row>
    <row r="492" spans="2:13" ht="15.75" customHeight="1" x14ac:dyDescent="0.2"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</row>
    <row r="493" spans="2:13" ht="15.75" customHeight="1" x14ac:dyDescent="0.2"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</row>
    <row r="494" spans="2:13" ht="15.75" customHeight="1" x14ac:dyDescent="0.2"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</row>
    <row r="495" spans="2:13" ht="15.75" customHeight="1" x14ac:dyDescent="0.2"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</row>
    <row r="496" spans="2:13" ht="15.75" customHeight="1" x14ac:dyDescent="0.2"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</row>
    <row r="497" spans="2:13" ht="15.75" customHeight="1" x14ac:dyDescent="0.2"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</row>
    <row r="498" spans="2:13" ht="15.75" customHeight="1" x14ac:dyDescent="0.2"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</row>
    <row r="499" spans="2:13" ht="15.75" customHeight="1" x14ac:dyDescent="0.2"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</row>
    <row r="500" spans="2:13" ht="15.75" customHeight="1" x14ac:dyDescent="0.2"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</row>
    <row r="501" spans="2:13" ht="15.75" customHeight="1" x14ac:dyDescent="0.2"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</row>
    <row r="502" spans="2:13" ht="15.75" customHeight="1" x14ac:dyDescent="0.2"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</row>
    <row r="503" spans="2:13" ht="15.75" customHeight="1" x14ac:dyDescent="0.2"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</row>
    <row r="504" spans="2:13" ht="15.75" customHeight="1" x14ac:dyDescent="0.2"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</row>
    <row r="505" spans="2:13" ht="15.75" customHeight="1" x14ac:dyDescent="0.2"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</row>
    <row r="506" spans="2:13" ht="15.75" customHeight="1" x14ac:dyDescent="0.2"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</row>
    <row r="507" spans="2:13" ht="15.75" customHeight="1" x14ac:dyDescent="0.2"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</row>
    <row r="508" spans="2:13" ht="15.75" customHeight="1" x14ac:dyDescent="0.2"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</row>
    <row r="509" spans="2:13" ht="15.75" customHeight="1" x14ac:dyDescent="0.2"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</row>
    <row r="510" spans="2:13" ht="15.75" customHeight="1" x14ac:dyDescent="0.2"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</row>
    <row r="511" spans="2:13" ht="15.75" customHeight="1" x14ac:dyDescent="0.2"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</row>
    <row r="512" spans="2:13" ht="15.75" customHeight="1" x14ac:dyDescent="0.2"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</row>
    <row r="513" spans="2:13" ht="15.75" customHeight="1" x14ac:dyDescent="0.2"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</row>
    <row r="514" spans="2:13" ht="15.75" customHeight="1" x14ac:dyDescent="0.2"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</row>
    <row r="515" spans="2:13" ht="15.75" customHeight="1" x14ac:dyDescent="0.2"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</row>
    <row r="516" spans="2:13" ht="15.75" customHeight="1" x14ac:dyDescent="0.2"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</row>
    <row r="517" spans="2:13" ht="15.75" customHeight="1" x14ac:dyDescent="0.2"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</row>
    <row r="518" spans="2:13" ht="15.75" customHeight="1" x14ac:dyDescent="0.2"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</row>
    <row r="519" spans="2:13" ht="15.75" customHeight="1" x14ac:dyDescent="0.2"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</row>
    <row r="520" spans="2:13" ht="15.75" customHeight="1" x14ac:dyDescent="0.2"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</row>
    <row r="521" spans="2:13" ht="15.75" customHeight="1" x14ac:dyDescent="0.2"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</row>
    <row r="522" spans="2:13" ht="15.75" customHeight="1" x14ac:dyDescent="0.2"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</row>
    <row r="523" spans="2:13" ht="15.75" customHeight="1" x14ac:dyDescent="0.2"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</row>
    <row r="524" spans="2:13" ht="15.75" customHeight="1" x14ac:dyDescent="0.2"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</row>
    <row r="525" spans="2:13" ht="15.75" customHeight="1" x14ac:dyDescent="0.2"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</row>
    <row r="526" spans="2:13" ht="15.75" customHeight="1" x14ac:dyDescent="0.2"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</row>
    <row r="527" spans="2:13" ht="15.75" customHeight="1" x14ac:dyDescent="0.2"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</row>
    <row r="528" spans="2:13" ht="15.75" customHeight="1" x14ac:dyDescent="0.2"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</row>
    <row r="529" spans="2:13" ht="15.75" customHeight="1" x14ac:dyDescent="0.2"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</row>
    <row r="530" spans="2:13" ht="15.75" customHeight="1" x14ac:dyDescent="0.2"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</row>
    <row r="531" spans="2:13" ht="15.75" customHeight="1" x14ac:dyDescent="0.2"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</row>
    <row r="532" spans="2:13" ht="15.75" customHeight="1" x14ac:dyDescent="0.2"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</row>
    <row r="533" spans="2:13" ht="15.75" customHeight="1" x14ac:dyDescent="0.2"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</row>
    <row r="534" spans="2:13" ht="15.75" customHeight="1" x14ac:dyDescent="0.2"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</row>
    <row r="535" spans="2:13" ht="15.75" customHeight="1" x14ac:dyDescent="0.2"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</row>
    <row r="536" spans="2:13" ht="15.75" customHeight="1" x14ac:dyDescent="0.2"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</row>
    <row r="537" spans="2:13" ht="15.75" customHeight="1" x14ac:dyDescent="0.2"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</row>
    <row r="538" spans="2:13" ht="15.75" customHeight="1" x14ac:dyDescent="0.2"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</row>
    <row r="539" spans="2:13" ht="15.75" customHeight="1" x14ac:dyDescent="0.2"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</row>
    <row r="540" spans="2:13" ht="15.75" customHeight="1" x14ac:dyDescent="0.2"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</row>
    <row r="541" spans="2:13" ht="15.75" customHeight="1" x14ac:dyDescent="0.2"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</row>
    <row r="542" spans="2:13" ht="15.75" customHeight="1" x14ac:dyDescent="0.2"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</row>
    <row r="543" spans="2:13" ht="15.75" customHeight="1" x14ac:dyDescent="0.2"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</row>
    <row r="544" spans="2:13" ht="15.75" customHeight="1" x14ac:dyDescent="0.2"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</row>
    <row r="545" spans="2:13" ht="15.75" customHeight="1" x14ac:dyDescent="0.2"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</row>
    <row r="546" spans="2:13" ht="15.75" customHeight="1" x14ac:dyDescent="0.2"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</row>
    <row r="547" spans="2:13" ht="15.75" customHeight="1" x14ac:dyDescent="0.2"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</row>
    <row r="548" spans="2:13" ht="15.75" customHeight="1" x14ac:dyDescent="0.2"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</row>
    <row r="549" spans="2:13" ht="15.75" customHeight="1" x14ac:dyDescent="0.2"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</row>
    <row r="550" spans="2:13" ht="15.75" customHeight="1" x14ac:dyDescent="0.2"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</row>
    <row r="551" spans="2:13" ht="15.75" customHeight="1" x14ac:dyDescent="0.2"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</row>
    <row r="552" spans="2:13" ht="15.75" customHeight="1" x14ac:dyDescent="0.2"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</row>
    <row r="553" spans="2:13" ht="15.75" customHeight="1" x14ac:dyDescent="0.2"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</row>
    <row r="554" spans="2:13" ht="15.75" customHeight="1" x14ac:dyDescent="0.2"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</row>
    <row r="555" spans="2:13" ht="15.75" customHeight="1" x14ac:dyDescent="0.2"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</row>
    <row r="556" spans="2:13" ht="15.75" customHeight="1" x14ac:dyDescent="0.2"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</row>
    <row r="557" spans="2:13" ht="15.75" customHeight="1" x14ac:dyDescent="0.2"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</row>
    <row r="558" spans="2:13" ht="15.75" customHeight="1" x14ac:dyDescent="0.2"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</row>
    <row r="559" spans="2:13" ht="15.75" customHeight="1" x14ac:dyDescent="0.2"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</row>
    <row r="560" spans="2:13" ht="15.75" customHeight="1" x14ac:dyDescent="0.2"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</row>
    <row r="561" spans="2:13" ht="15.75" customHeight="1" x14ac:dyDescent="0.2"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</row>
    <row r="562" spans="2:13" ht="15.75" customHeight="1" x14ac:dyDescent="0.2"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</row>
    <row r="563" spans="2:13" ht="15.75" customHeight="1" x14ac:dyDescent="0.2"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</row>
    <row r="564" spans="2:13" ht="15.75" customHeight="1" x14ac:dyDescent="0.2"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</row>
    <row r="565" spans="2:13" ht="15.75" customHeight="1" x14ac:dyDescent="0.2"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</row>
    <row r="566" spans="2:13" ht="15.75" customHeight="1" x14ac:dyDescent="0.2"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</row>
    <row r="567" spans="2:13" ht="15.75" customHeight="1" x14ac:dyDescent="0.2"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</row>
    <row r="568" spans="2:13" ht="15.75" customHeight="1" x14ac:dyDescent="0.2"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</row>
    <row r="569" spans="2:13" ht="15.75" customHeight="1" x14ac:dyDescent="0.2"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</row>
    <row r="570" spans="2:13" ht="15.75" customHeight="1" x14ac:dyDescent="0.2"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</row>
    <row r="571" spans="2:13" ht="15.75" customHeight="1" x14ac:dyDescent="0.2"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</row>
    <row r="572" spans="2:13" ht="15.75" customHeight="1" x14ac:dyDescent="0.2"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</row>
    <row r="573" spans="2:13" ht="15.75" customHeight="1" x14ac:dyDescent="0.2"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</row>
    <row r="574" spans="2:13" ht="15.75" customHeight="1" x14ac:dyDescent="0.2"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</row>
    <row r="575" spans="2:13" ht="15.75" customHeight="1" x14ac:dyDescent="0.2"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</row>
    <row r="576" spans="2:13" ht="15.75" customHeight="1" x14ac:dyDescent="0.2"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</row>
    <row r="577" spans="2:13" ht="15.75" customHeight="1" x14ac:dyDescent="0.2"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</row>
    <row r="578" spans="2:13" ht="15.75" customHeight="1" x14ac:dyDescent="0.2"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</row>
    <row r="579" spans="2:13" ht="15.75" customHeight="1" x14ac:dyDescent="0.2"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</row>
    <row r="580" spans="2:13" ht="15.75" customHeight="1" x14ac:dyDescent="0.2"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</row>
    <row r="581" spans="2:13" ht="15.75" customHeight="1" x14ac:dyDescent="0.2"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</row>
    <row r="582" spans="2:13" ht="15.75" customHeight="1" x14ac:dyDescent="0.2"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</row>
    <row r="583" spans="2:13" ht="15.75" customHeight="1" x14ac:dyDescent="0.2"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</row>
    <row r="584" spans="2:13" ht="15.75" customHeight="1" x14ac:dyDescent="0.2"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</row>
    <row r="585" spans="2:13" ht="15.75" customHeight="1" x14ac:dyDescent="0.2"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</row>
    <row r="586" spans="2:13" ht="15.75" customHeight="1" x14ac:dyDescent="0.2"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</row>
    <row r="587" spans="2:13" ht="15.75" customHeight="1" x14ac:dyDescent="0.2"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</row>
    <row r="588" spans="2:13" ht="15.75" customHeight="1" x14ac:dyDescent="0.2"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</row>
    <row r="589" spans="2:13" ht="15.75" customHeight="1" x14ac:dyDescent="0.2"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</row>
    <row r="590" spans="2:13" ht="15.75" customHeight="1" x14ac:dyDescent="0.2"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</row>
    <row r="591" spans="2:13" ht="15.75" customHeight="1" x14ac:dyDescent="0.2"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</row>
    <row r="592" spans="2:13" ht="15.75" customHeight="1" x14ac:dyDescent="0.2"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</row>
    <row r="593" spans="2:13" ht="15.75" customHeight="1" x14ac:dyDescent="0.2"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</row>
    <row r="594" spans="2:13" ht="15.75" customHeight="1" x14ac:dyDescent="0.2"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</row>
    <row r="595" spans="2:13" ht="15.75" customHeight="1" x14ac:dyDescent="0.2"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</row>
    <row r="596" spans="2:13" ht="15.75" customHeight="1" x14ac:dyDescent="0.2"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</row>
    <row r="597" spans="2:13" ht="15.75" customHeight="1" x14ac:dyDescent="0.2"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</row>
    <row r="598" spans="2:13" ht="15.75" customHeight="1" x14ac:dyDescent="0.2"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</row>
    <row r="599" spans="2:13" ht="15.75" customHeight="1" x14ac:dyDescent="0.2"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</row>
    <row r="600" spans="2:13" ht="15.75" customHeight="1" x14ac:dyDescent="0.2"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</row>
    <row r="601" spans="2:13" ht="15.75" customHeight="1" x14ac:dyDescent="0.2"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</row>
    <row r="602" spans="2:13" ht="15.75" customHeight="1" x14ac:dyDescent="0.2"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</row>
    <row r="603" spans="2:13" ht="15.75" customHeight="1" x14ac:dyDescent="0.2"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</row>
    <row r="604" spans="2:13" ht="15.75" customHeight="1" x14ac:dyDescent="0.2"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</row>
    <row r="605" spans="2:13" ht="15.75" customHeight="1" x14ac:dyDescent="0.2"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</row>
    <row r="606" spans="2:13" ht="15.75" customHeight="1" x14ac:dyDescent="0.2"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</row>
    <row r="607" spans="2:13" ht="15.75" customHeight="1" x14ac:dyDescent="0.2"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</row>
    <row r="608" spans="2:13" ht="15.75" customHeight="1" x14ac:dyDescent="0.2"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</row>
    <row r="609" spans="2:13" ht="15.75" customHeight="1" x14ac:dyDescent="0.2"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</row>
    <row r="610" spans="2:13" ht="15.75" customHeight="1" x14ac:dyDescent="0.2"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</row>
    <row r="611" spans="2:13" ht="15.75" customHeight="1" x14ac:dyDescent="0.2"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</row>
    <row r="612" spans="2:13" ht="15.75" customHeight="1" x14ac:dyDescent="0.2"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</row>
    <row r="613" spans="2:13" ht="15.75" customHeight="1" x14ac:dyDescent="0.2"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</row>
    <row r="614" spans="2:13" ht="15.75" customHeight="1" x14ac:dyDescent="0.2"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</row>
    <row r="615" spans="2:13" ht="15.75" customHeight="1" x14ac:dyDescent="0.2"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</row>
    <row r="616" spans="2:13" ht="15.75" customHeight="1" x14ac:dyDescent="0.2"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</row>
    <row r="617" spans="2:13" ht="15.75" customHeight="1" x14ac:dyDescent="0.2"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</row>
    <row r="618" spans="2:13" ht="15.75" customHeight="1" x14ac:dyDescent="0.2"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</row>
    <row r="619" spans="2:13" ht="15.75" customHeight="1" x14ac:dyDescent="0.2"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</row>
    <row r="620" spans="2:13" ht="15.75" customHeight="1" x14ac:dyDescent="0.2"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</row>
    <row r="621" spans="2:13" ht="15.75" customHeight="1" x14ac:dyDescent="0.2"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</row>
    <row r="622" spans="2:13" ht="15.75" customHeight="1" x14ac:dyDescent="0.2"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</row>
    <row r="623" spans="2:13" ht="15.75" customHeight="1" x14ac:dyDescent="0.2"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</row>
    <row r="624" spans="2:13" ht="15.75" customHeight="1" x14ac:dyDescent="0.2"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</row>
    <row r="625" spans="2:13" ht="15.75" customHeight="1" x14ac:dyDescent="0.2"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</row>
    <row r="626" spans="2:13" ht="15.75" customHeight="1" x14ac:dyDescent="0.2"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</row>
    <row r="627" spans="2:13" ht="15.75" customHeight="1" x14ac:dyDescent="0.2"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</row>
    <row r="628" spans="2:13" ht="15.75" customHeight="1" x14ac:dyDescent="0.2"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</row>
    <row r="629" spans="2:13" ht="15.75" customHeight="1" x14ac:dyDescent="0.2"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</row>
    <row r="630" spans="2:13" ht="15.75" customHeight="1" x14ac:dyDescent="0.2"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</row>
    <row r="631" spans="2:13" ht="15.75" customHeight="1" x14ac:dyDescent="0.2"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</row>
    <row r="632" spans="2:13" ht="15.75" customHeight="1" x14ac:dyDescent="0.2"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</row>
    <row r="633" spans="2:13" ht="15.75" customHeight="1" x14ac:dyDescent="0.2"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</row>
    <row r="634" spans="2:13" ht="15.75" customHeight="1" x14ac:dyDescent="0.2"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</row>
    <row r="635" spans="2:13" ht="15.75" customHeight="1" x14ac:dyDescent="0.2"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</row>
    <row r="636" spans="2:13" ht="15.75" customHeight="1" x14ac:dyDescent="0.2"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</row>
    <row r="637" spans="2:13" ht="15.75" customHeight="1" x14ac:dyDescent="0.2"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</row>
    <row r="638" spans="2:13" ht="15.75" customHeight="1" x14ac:dyDescent="0.2"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</row>
    <row r="639" spans="2:13" ht="15.75" customHeight="1" x14ac:dyDescent="0.2"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</row>
    <row r="640" spans="2:13" ht="15.75" customHeight="1" x14ac:dyDescent="0.2"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</row>
    <row r="641" spans="2:13" ht="15.75" customHeight="1" x14ac:dyDescent="0.2"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</row>
    <row r="642" spans="2:13" ht="15.75" customHeight="1" x14ac:dyDescent="0.2"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</row>
    <row r="643" spans="2:13" ht="15.75" customHeight="1" x14ac:dyDescent="0.2"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</row>
    <row r="644" spans="2:13" ht="15.75" customHeight="1" x14ac:dyDescent="0.2"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</row>
    <row r="645" spans="2:13" ht="15.75" customHeight="1" x14ac:dyDescent="0.2"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</row>
    <row r="646" spans="2:13" ht="15.75" customHeight="1" x14ac:dyDescent="0.2"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</row>
    <row r="647" spans="2:13" ht="15.75" customHeight="1" x14ac:dyDescent="0.2"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</row>
    <row r="648" spans="2:13" ht="15.75" customHeight="1" x14ac:dyDescent="0.2"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</row>
    <row r="649" spans="2:13" ht="15.75" customHeight="1" x14ac:dyDescent="0.2"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</row>
    <row r="650" spans="2:13" ht="15.75" customHeight="1" x14ac:dyDescent="0.2"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</row>
    <row r="651" spans="2:13" ht="15.75" customHeight="1" x14ac:dyDescent="0.2"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</row>
    <row r="652" spans="2:13" ht="15.75" customHeight="1" x14ac:dyDescent="0.2"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</row>
    <row r="653" spans="2:13" ht="15.75" customHeight="1" x14ac:dyDescent="0.2"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</row>
    <row r="654" spans="2:13" ht="15.75" customHeight="1" x14ac:dyDescent="0.2"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</row>
    <row r="655" spans="2:13" ht="15.75" customHeight="1" x14ac:dyDescent="0.2"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</row>
    <row r="656" spans="2:13" ht="15.75" customHeight="1" x14ac:dyDescent="0.2"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</row>
    <row r="657" spans="2:13" ht="15.75" customHeight="1" x14ac:dyDescent="0.2"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</row>
    <row r="658" spans="2:13" ht="15.75" customHeight="1" x14ac:dyDescent="0.2"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</row>
    <row r="659" spans="2:13" ht="15.75" customHeight="1" x14ac:dyDescent="0.2"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</row>
    <row r="660" spans="2:13" ht="15.75" customHeight="1" x14ac:dyDescent="0.2"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</row>
    <row r="661" spans="2:13" ht="15.75" customHeight="1" x14ac:dyDescent="0.2"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</row>
    <row r="662" spans="2:13" ht="15.75" customHeight="1" x14ac:dyDescent="0.2"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</row>
    <row r="663" spans="2:13" ht="15.75" customHeight="1" x14ac:dyDescent="0.2"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</row>
    <row r="664" spans="2:13" ht="15.75" customHeight="1" x14ac:dyDescent="0.2"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</row>
    <row r="665" spans="2:13" ht="15.75" customHeight="1" x14ac:dyDescent="0.2"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</row>
    <row r="666" spans="2:13" ht="15.75" customHeight="1" x14ac:dyDescent="0.2"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</row>
    <row r="667" spans="2:13" ht="15.75" customHeight="1" x14ac:dyDescent="0.2"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</row>
    <row r="668" spans="2:13" ht="15.75" customHeight="1" x14ac:dyDescent="0.2"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</row>
    <row r="669" spans="2:13" ht="15.75" customHeight="1" x14ac:dyDescent="0.2"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</row>
    <row r="670" spans="2:13" ht="15.75" customHeight="1" x14ac:dyDescent="0.2"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</row>
    <row r="671" spans="2:13" ht="15.75" customHeight="1" x14ac:dyDescent="0.2"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</row>
    <row r="672" spans="2:13" ht="15.75" customHeight="1" x14ac:dyDescent="0.2"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</row>
    <row r="673" spans="2:13" ht="15.75" customHeight="1" x14ac:dyDescent="0.2"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</row>
    <row r="674" spans="2:13" ht="15.75" customHeight="1" x14ac:dyDescent="0.2"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</row>
    <row r="675" spans="2:13" ht="15.75" customHeight="1" x14ac:dyDescent="0.2"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</row>
    <row r="676" spans="2:13" ht="15.75" customHeight="1" x14ac:dyDescent="0.2"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</row>
    <row r="677" spans="2:13" ht="15.75" customHeight="1" x14ac:dyDescent="0.2"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</row>
    <row r="678" spans="2:13" ht="15.75" customHeight="1" x14ac:dyDescent="0.2"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</row>
    <row r="679" spans="2:13" ht="15.75" customHeight="1" x14ac:dyDescent="0.2"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</row>
    <row r="680" spans="2:13" ht="15.75" customHeight="1" x14ac:dyDescent="0.2"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</row>
    <row r="681" spans="2:13" ht="15.75" customHeight="1" x14ac:dyDescent="0.2"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</row>
    <row r="682" spans="2:13" ht="15.75" customHeight="1" x14ac:dyDescent="0.2"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</row>
    <row r="683" spans="2:13" ht="15.75" customHeight="1" x14ac:dyDescent="0.2"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</row>
    <row r="684" spans="2:13" ht="15.75" customHeight="1" x14ac:dyDescent="0.2"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</row>
    <row r="685" spans="2:13" ht="15.75" customHeight="1" x14ac:dyDescent="0.2"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</row>
    <row r="686" spans="2:13" ht="15.75" customHeight="1" x14ac:dyDescent="0.2"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</row>
    <row r="687" spans="2:13" ht="15.75" customHeight="1" x14ac:dyDescent="0.2"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</row>
    <row r="688" spans="2:13" ht="15.75" customHeight="1" x14ac:dyDescent="0.2"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</row>
    <row r="689" spans="2:13" ht="15.75" customHeight="1" x14ac:dyDescent="0.2"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</row>
    <row r="690" spans="2:13" ht="15.75" customHeight="1" x14ac:dyDescent="0.2"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</row>
    <row r="691" spans="2:13" ht="15.75" customHeight="1" x14ac:dyDescent="0.2"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</row>
    <row r="692" spans="2:13" ht="15.75" customHeight="1" x14ac:dyDescent="0.2"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</row>
    <row r="693" spans="2:13" ht="15.75" customHeight="1" x14ac:dyDescent="0.2"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</row>
    <row r="694" spans="2:13" ht="15.75" customHeight="1" x14ac:dyDescent="0.2"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</row>
    <row r="695" spans="2:13" ht="15.75" customHeight="1" x14ac:dyDescent="0.2"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</row>
    <row r="696" spans="2:13" ht="15.75" customHeight="1" x14ac:dyDescent="0.2"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</row>
    <row r="697" spans="2:13" ht="15.75" customHeight="1" x14ac:dyDescent="0.2"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</row>
    <row r="698" spans="2:13" ht="15.75" customHeight="1" x14ac:dyDescent="0.2"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</row>
    <row r="699" spans="2:13" ht="15.75" customHeight="1" x14ac:dyDescent="0.2"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</row>
    <row r="700" spans="2:13" ht="15.75" customHeight="1" x14ac:dyDescent="0.2"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</row>
    <row r="701" spans="2:13" ht="15.75" customHeight="1" x14ac:dyDescent="0.2"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</row>
    <row r="702" spans="2:13" ht="15.75" customHeight="1" x14ac:dyDescent="0.2"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</row>
    <row r="703" spans="2:13" ht="15.75" customHeight="1" x14ac:dyDescent="0.2"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</row>
    <row r="704" spans="2:13" ht="15.75" customHeight="1" x14ac:dyDescent="0.2"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</row>
    <row r="705" spans="2:13" ht="15.75" customHeight="1" x14ac:dyDescent="0.2"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</row>
    <row r="706" spans="2:13" ht="15.75" customHeight="1" x14ac:dyDescent="0.2"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</row>
    <row r="707" spans="2:13" ht="15.75" customHeight="1" x14ac:dyDescent="0.2"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</row>
    <row r="708" spans="2:13" ht="15.75" customHeight="1" x14ac:dyDescent="0.2"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</row>
    <row r="709" spans="2:13" ht="15.75" customHeight="1" x14ac:dyDescent="0.2"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</row>
    <row r="710" spans="2:13" ht="15.75" customHeight="1" x14ac:dyDescent="0.2"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</row>
    <row r="711" spans="2:13" ht="15.75" customHeight="1" x14ac:dyDescent="0.2"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</row>
    <row r="712" spans="2:13" ht="15.75" customHeight="1" x14ac:dyDescent="0.2"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</row>
    <row r="713" spans="2:13" ht="15.75" customHeight="1" x14ac:dyDescent="0.2"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</row>
    <row r="714" spans="2:13" ht="15.75" customHeight="1" x14ac:dyDescent="0.2"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</row>
    <row r="715" spans="2:13" ht="15.75" customHeight="1" x14ac:dyDescent="0.2"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</row>
    <row r="716" spans="2:13" ht="15.75" customHeight="1" x14ac:dyDescent="0.2"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</row>
    <row r="717" spans="2:13" ht="15.75" customHeight="1" x14ac:dyDescent="0.2"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</row>
    <row r="718" spans="2:13" ht="15.75" customHeight="1" x14ac:dyDescent="0.2"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</row>
    <row r="719" spans="2:13" ht="15.75" customHeight="1" x14ac:dyDescent="0.2"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</row>
    <row r="720" spans="2:13" ht="15.75" customHeight="1" x14ac:dyDescent="0.2"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</row>
    <row r="721" spans="2:13" ht="15.75" customHeight="1" x14ac:dyDescent="0.2"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</row>
    <row r="722" spans="2:13" ht="15.75" customHeight="1" x14ac:dyDescent="0.2"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</row>
    <row r="723" spans="2:13" ht="15.75" customHeight="1" x14ac:dyDescent="0.2"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</row>
    <row r="724" spans="2:13" ht="15.75" customHeight="1" x14ac:dyDescent="0.2"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</row>
    <row r="725" spans="2:13" ht="15.75" customHeight="1" x14ac:dyDescent="0.2"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</row>
    <row r="726" spans="2:13" ht="15.75" customHeight="1" x14ac:dyDescent="0.2"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</row>
    <row r="727" spans="2:13" ht="15.75" customHeight="1" x14ac:dyDescent="0.2"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</row>
    <row r="728" spans="2:13" ht="15.75" customHeight="1" x14ac:dyDescent="0.2"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</row>
    <row r="729" spans="2:13" ht="15.75" customHeight="1" x14ac:dyDescent="0.2"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</row>
    <row r="730" spans="2:13" ht="15.75" customHeight="1" x14ac:dyDescent="0.2"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</row>
    <row r="731" spans="2:13" ht="15.75" customHeight="1" x14ac:dyDescent="0.2"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</row>
    <row r="732" spans="2:13" ht="15.75" customHeight="1" x14ac:dyDescent="0.2"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</row>
    <row r="733" spans="2:13" ht="15.75" customHeight="1" x14ac:dyDescent="0.2"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</row>
    <row r="734" spans="2:13" ht="15.75" customHeight="1" x14ac:dyDescent="0.2"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</row>
    <row r="735" spans="2:13" ht="15.75" customHeight="1" x14ac:dyDescent="0.2"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</row>
    <row r="736" spans="2:13" ht="15.75" customHeight="1" x14ac:dyDescent="0.2"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</row>
    <row r="737" spans="2:13" ht="15.75" customHeight="1" x14ac:dyDescent="0.2"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</row>
    <row r="738" spans="2:13" ht="15.75" customHeight="1" x14ac:dyDescent="0.2"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</row>
    <row r="739" spans="2:13" ht="15.75" customHeight="1" x14ac:dyDescent="0.2"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</row>
    <row r="740" spans="2:13" ht="15.75" customHeight="1" x14ac:dyDescent="0.2"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</row>
    <row r="741" spans="2:13" ht="15.75" customHeight="1" x14ac:dyDescent="0.2"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</row>
    <row r="742" spans="2:13" ht="15.75" customHeight="1" x14ac:dyDescent="0.2"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</row>
    <row r="743" spans="2:13" ht="15.75" customHeight="1" x14ac:dyDescent="0.2"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</row>
    <row r="744" spans="2:13" ht="15.75" customHeight="1" x14ac:dyDescent="0.2"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</row>
    <row r="745" spans="2:13" ht="15.75" customHeight="1" x14ac:dyDescent="0.2"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</row>
    <row r="746" spans="2:13" ht="15.75" customHeight="1" x14ac:dyDescent="0.2"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</row>
    <row r="747" spans="2:13" ht="15.75" customHeight="1" x14ac:dyDescent="0.2"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</row>
    <row r="748" spans="2:13" ht="15.75" customHeight="1" x14ac:dyDescent="0.2"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</row>
    <row r="749" spans="2:13" ht="15.75" customHeight="1" x14ac:dyDescent="0.2"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</row>
    <row r="750" spans="2:13" ht="15.75" customHeight="1" x14ac:dyDescent="0.2"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</row>
    <row r="751" spans="2:13" ht="15.75" customHeight="1" x14ac:dyDescent="0.2"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</row>
    <row r="752" spans="2:13" ht="15.75" customHeight="1" x14ac:dyDescent="0.2"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</row>
    <row r="753" spans="2:13" ht="15.75" customHeight="1" x14ac:dyDescent="0.2"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</row>
    <row r="754" spans="2:13" ht="15.75" customHeight="1" x14ac:dyDescent="0.2"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</row>
    <row r="755" spans="2:13" ht="15.75" customHeight="1" x14ac:dyDescent="0.2"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</row>
    <row r="756" spans="2:13" ht="15.75" customHeight="1" x14ac:dyDescent="0.2"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</row>
    <row r="757" spans="2:13" ht="15.75" customHeight="1" x14ac:dyDescent="0.2"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</row>
    <row r="758" spans="2:13" ht="15.75" customHeight="1" x14ac:dyDescent="0.2"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</row>
    <row r="759" spans="2:13" ht="15.75" customHeight="1" x14ac:dyDescent="0.2"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</row>
    <row r="760" spans="2:13" ht="15.75" customHeight="1" x14ac:dyDescent="0.2"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</row>
    <row r="761" spans="2:13" ht="15.75" customHeight="1" x14ac:dyDescent="0.2"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</row>
    <row r="762" spans="2:13" ht="15.75" customHeight="1" x14ac:dyDescent="0.2"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</row>
    <row r="763" spans="2:13" ht="15.75" customHeight="1" x14ac:dyDescent="0.2"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</row>
    <row r="764" spans="2:13" ht="15.75" customHeight="1" x14ac:dyDescent="0.2"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</row>
    <row r="765" spans="2:13" ht="15.75" customHeight="1" x14ac:dyDescent="0.2"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</row>
    <row r="766" spans="2:13" ht="15.75" customHeight="1" x14ac:dyDescent="0.2"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</row>
    <row r="767" spans="2:13" ht="15.75" customHeight="1" x14ac:dyDescent="0.2"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</row>
    <row r="768" spans="2:13" ht="15.75" customHeight="1" x14ac:dyDescent="0.2"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</row>
    <row r="769" spans="2:13" ht="15.75" customHeight="1" x14ac:dyDescent="0.2"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</row>
    <row r="770" spans="2:13" ht="15.75" customHeight="1" x14ac:dyDescent="0.2"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</row>
    <row r="771" spans="2:13" ht="15.75" customHeight="1" x14ac:dyDescent="0.2"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</row>
    <row r="772" spans="2:13" ht="15.75" customHeight="1" x14ac:dyDescent="0.2"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</row>
    <row r="773" spans="2:13" ht="15.75" customHeight="1" x14ac:dyDescent="0.2"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</row>
    <row r="774" spans="2:13" ht="15.75" customHeight="1" x14ac:dyDescent="0.2"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</row>
    <row r="775" spans="2:13" ht="15.75" customHeight="1" x14ac:dyDescent="0.2"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</row>
    <row r="776" spans="2:13" ht="15.75" customHeight="1" x14ac:dyDescent="0.2"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</row>
    <row r="777" spans="2:13" ht="15.75" customHeight="1" x14ac:dyDescent="0.2"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</row>
    <row r="778" spans="2:13" ht="15.75" customHeight="1" x14ac:dyDescent="0.2"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</row>
    <row r="779" spans="2:13" ht="15.75" customHeight="1" x14ac:dyDescent="0.2"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</row>
    <row r="780" spans="2:13" ht="15.75" customHeight="1" x14ac:dyDescent="0.2"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</row>
    <row r="781" spans="2:13" ht="15.75" customHeight="1" x14ac:dyDescent="0.2"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</row>
    <row r="782" spans="2:13" ht="15.75" customHeight="1" x14ac:dyDescent="0.2"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</row>
    <row r="783" spans="2:13" ht="15.75" customHeight="1" x14ac:dyDescent="0.2"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</row>
    <row r="784" spans="2:13" ht="15.75" customHeight="1" x14ac:dyDescent="0.2"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</row>
    <row r="785" spans="2:13" ht="15.75" customHeight="1" x14ac:dyDescent="0.2"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</row>
    <row r="786" spans="2:13" ht="15.75" customHeight="1" x14ac:dyDescent="0.2"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</row>
    <row r="787" spans="2:13" ht="15.75" customHeight="1" x14ac:dyDescent="0.2"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</row>
    <row r="788" spans="2:13" ht="15.75" customHeight="1" x14ac:dyDescent="0.2"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</row>
    <row r="789" spans="2:13" ht="15.75" customHeight="1" x14ac:dyDescent="0.2"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</row>
    <row r="790" spans="2:13" ht="15.75" customHeight="1" x14ac:dyDescent="0.2"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</row>
    <row r="791" spans="2:13" ht="15.75" customHeight="1" x14ac:dyDescent="0.2"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</row>
    <row r="792" spans="2:13" ht="15.75" customHeight="1" x14ac:dyDescent="0.2"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</row>
    <row r="793" spans="2:13" ht="15.75" customHeight="1" x14ac:dyDescent="0.2"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</row>
    <row r="794" spans="2:13" ht="15.75" customHeight="1" x14ac:dyDescent="0.2"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</row>
    <row r="795" spans="2:13" ht="15.75" customHeight="1" x14ac:dyDescent="0.2"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</row>
    <row r="796" spans="2:13" ht="15.75" customHeight="1" x14ac:dyDescent="0.2"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</row>
    <row r="797" spans="2:13" ht="15.75" customHeight="1" x14ac:dyDescent="0.2"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</row>
    <row r="798" spans="2:13" ht="15.75" customHeight="1" x14ac:dyDescent="0.2"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</row>
    <row r="799" spans="2:13" ht="15.75" customHeight="1" x14ac:dyDescent="0.2"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</row>
    <row r="800" spans="2:13" ht="15.75" customHeight="1" x14ac:dyDescent="0.2"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</row>
    <row r="801" spans="2:13" ht="15.75" customHeight="1" x14ac:dyDescent="0.2"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</row>
    <row r="802" spans="2:13" ht="15.75" customHeight="1" x14ac:dyDescent="0.2"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</row>
    <row r="803" spans="2:13" ht="15.75" customHeight="1" x14ac:dyDescent="0.2"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</row>
    <row r="804" spans="2:13" ht="15.75" customHeight="1" x14ac:dyDescent="0.2"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</row>
    <row r="805" spans="2:13" ht="15.75" customHeight="1" x14ac:dyDescent="0.2"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</row>
    <row r="806" spans="2:13" ht="15.75" customHeight="1" x14ac:dyDescent="0.2"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</row>
    <row r="807" spans="2:13" ht="15.75" customHeight="1" x14ac:dyDescent="0.2"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</row>
    <row r="808" spans="2:13" ht="15.75" customHeight="1" x14ac:dyDescent="0.2"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</row>
    <row r="809" spans="2:13" ht="15.75" customHeight="1" x14ac:dyDescent="0.2"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</row>
    <row r="810" spans="2:13" ht="15.75" customHeight="1" x14ac:dyDescent="0.2"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</row>
    <row r="811" spans="2:13" ht="15.75" customHeight="1" x14ac:dyDescent="0.2"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</row>
    <row r="812" spans="2:13" ht="15.75" customHeight="1" x14ac:dyDescent="0.2"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</row>
    <row r="813" spans="2:13" ht="15.75" customHeight="1" x14ac:dyDescent="0.2"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</row>
    <row r="814" spans="2:13" ht="15.75" customHeight="1" x14ac:dyDescent="0.2"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</row>
    <row r="815" spans="2:13" ht="15.75" customHeight="1" x14ac:dyDescent="0.2"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</row>
    <row r="816" spans="2:13" ht="15.75" customHeight="1" x14ac:dyDescent="0.2"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</row>
    <row r="817" spans="2:13" ht="15.75" customHeight="1" x14ac:dyDescent="0.2"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</row>
    <row r="818" spans="2:13" ht="15.75" customHeight="1" x14ac:dyDescent="0.2"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</row>
    <row r="819" spans="2:13" ht="15.75" customHeight="1" x14ac:dyDescent="0.2"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</row>
    <row r="820" spans="2:13" ht="15.75" customHeight="1" x14ac:dyDescent="0.2"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</row>
    <row r="821" spans="2:13" ht="15.75" customHeight="1" x14ac:dyDescent="0.2"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</row>
    <row r="822" spans="2:13" ht="15.75" customHeight="1" x14ac:dyDescent="0.2"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</row>
    <row r="823" spans="2:13" ht="15.75" customHeight="1" x14ac:dyDescent="0.2"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</row>
    <row r="824" spans="2:13" ht="15.75" customHeight="1" x14ac:dyDescent="0.2"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</row>
    <row r="825" spans="2:13" ht="15.75" customHeight="1" x14ac:dyDescent="0.2"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</row>
    <row r="826" spans="2:13" ht="15.75" customHeight="1" x14ac:dyDescent="0.2"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</row>
    <row r="827" spans="2:13" ht="15.75" customHeight="1" x14ac:dyDescent="0.2"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</row>
    <row r="828" spans="2:13" ht="15.75" customHeight="1" x14ac:dyDescent="0.2"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</row>
    <row r="829" spans="2:13" ht="15.75" customHeight="1" x14ac:dyDescent="0.2"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</row>
    <row r="830" spans="2:13" ht="15.75" customHeight="1" x14ac:dyDescent="0.2"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</row>
    <row r="831" spans="2:13" ht="15.75" customHeight="1" x14ac:dyDescent="0.2"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</row>
    <row r="832" spans="2:13" ht="15.75" customHeight="1" x14ac:dyDescent="0.2"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</row>
    <row r="833" spans="2:13" ht="15.75" customHeight="1" x14ac:dyDescent="0.2"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</row>
    <row r="834" spans="2:13" ht="15.75" customHeight="1" x14ac:dyDescent="0.2"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</row>
    <row r="835" spans="2:13" ht="15.75" customHeight="1" x14ac:dyDescent="0.2"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</row>
    <row r="836" spans="2:13" ht="15.75" customHeight="1" x14ac:dyDescent="0.2"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</row>
    <row r="837" spans="2:13" ht="15.75" customHeight="1" x14ac:dyDescent="0.2"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</row>
    <row r="838" spans="2:13" ht="15.75" customHeight="1" x14ac:dyDescent="0.2"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</row>
    <row r="839" spans="2:13" ht="15.75" customHeight="1" x14ac:dyDescent="0.2"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</row>
    <row r="840" spans="2:13" ht="15.75" customHeight="1" x14ac:dyDescent="0.2"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</row>
    <row r="841" spans="2:13" ht="15.75" customHeight="1" x14ac:dyDescent="0.2"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</row>
    <row r="842" spans="2:13" ht="15.75" customHeight="1" x14ac:dyDescent="0.2"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</row>
    <row r="843" spans="2:13" ht="15.75" customHeight="1" x14ac:dyDescent="0.2"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</row>
    <row r="844" spans="2:13" ht="15.75" customHeight="1" x14ac:dyDescent="0.2"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</row>
    <row r="845" spans="2:13" ht="15.75" customHeight="1" x14ac:dyDescent="0.2"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</row>
    <row r="846" spans="2:13" ht="15.75" customHeight="1" x14ac:dyDescent="0.2"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</row>
    <row r="847" spans="2:13" ht="15.75" customHeight="1" x14ac:dyDescent="0.2"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</row>
    <row r="848" spans="2:13" ht="15.75" customHeight="1" x14ac:dyDescent="0.2"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</row>
    <row r="849" spans="2:13" ht="15.75" customHeight="1" x14ac:dyDescent="0.2"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</row>
    <row r="850" spans="2:13" ht="15.75" customHeight="1" x14ac:dyDescent="0.2"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</row>
    <row r="851" spans="2:13" ht="15.75" customHeight="1" x14ac:dyDescent="0.2"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</row>
    <row r="852" spans="2:13" ht="15.75" customHeight="1" x14ac:dyDescent="0.2"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</row>
    <row r="853" spans="2:13" ht="15.75" customHeight="1" x14ac:dyDescent="0.2"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</row>
    <row r="854" spans="2:13" ht="15.75" customHeight="1" x14ac:dyDescent="0.2"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</row>
    <row r="855" spans="2:13" ht="15.75" customHeight="1" x14ac:dyDescent="0.2"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</row>
    <row r="856" spans="2:13" ht="15.75" customHeight="1" x14ac:dyDescent="0.2"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</row>
    <row r="857" spans="2:13" ht="15.75" customHeight="1" x14ac:dyDescent="0.2"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</row>
    <row r="858" spans="2:13" ht="15.75" customHeight="1" x14ac:dyDescent="0.2"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</row>
    <row r="859" spans="2:13" ht="15.75" customHeight="1" x14ac:dyDescent="0.2"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</row>
    <row r="860" spans="2:13" ht="15.75" customHeight="1" x14ac:dyDescent="0.2"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</row>
    <row r="861" spans="2:13" ht="15.75" customHeight="1" x14ac:dyDescent="0.2"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</row>
    <row r="862" spans="2:13" ht="15.75" customHeight="1" x14ac:dyDescent="0.2"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</row>
    <row r="863" spans="2:13" ht="15.75" customHeight="1" x14ac:dyDescent="0.2"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</row>
    <row r="864" spans="2:13" ht="15.75" customHeight="1" x14ac:dyDescent="0.2"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</row>
    <row r="865" spans="2:13" ht="15.75" customHeight="1" x14ac:dyDescent="0.2"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</row>
    <row r="866" spans="2:13" ht="15.75" customHeight="1" x14ac:dyDescent="0.2"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</row>
    <row r="867" spans="2:13" ht="15.75" customHeight="1" x14ac:dyDescent="0.2"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</row>
    <row r="868" spans="2:13" ht="15.75" customHeight="1" x14ac:dyDescent="0.2"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</row>
    <row r="869" spans="2:13" ht="15.75" customHeight="1" x14ac:dyDescent="0.2"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</row>
    <row r="870" spans="2:13" ht="15.75" customHeight="1" x14ac:dyDescent="0.2"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</row>
    <row r="871" spans="2:13" ht="15.75" customHeight="1" x14ac:dyDescent="0.2"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</row>
    <row r="872" spans="2:13" ht="15.75" customHeight="1" x14ac:dyDescent="0.2"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</row>
    <row r="873" spans="2:13" ht="15.75" customHeight="1" x14ac:dyDescent="0.2"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</row>
    <row r="874" spans="2:13" ht="15.75" customHeight="1" x14ac:dyDescent="0.2"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</row>
    <row r="875" spans="2:13" ht="15.75" customHeight="1" x14ac:dyDescent="0.2"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</row>
    <row r="876" spans="2:13" ht="15.75" customHeight="1" x14ac:dyDescent="0.2"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</row>
    <row r="877" spans="2:13" ht="15.75" customHeight="1" x14ac:dyDescent="0.2"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</row>
    <row r="878" spans="2:13" ht="15.75" customHeight="1" x14ac:dyDescent="0.2"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</row>
    <row r="879" spans="2:13" ht="15.75" customHeight="1" x14ac:dyDescent="0.2"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</row>
    <row r="880" spans="2:13" ht="15.75" customHeight="1" x14ac:dyDescent="0.2"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</row>
    <row r="881" spans="2:13" ht="15.75" customHeight="1" x14ac:dyDescent="0.2"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</row>
    <row r="882" spans="2:13" ht="15.75" customHeight="1" x14ac:dyDescent="0.2"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</row>
    <row r="883" spans="2:13" ht="15.75" customHeight="1" x14ac:dyDescent="0.2"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</row>
    <row r="884" spans="2:13" ht="15.75" customHeight="1" x14ac:dyDescent="0.2"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</row>
    <row r="885" spans="2:13" ht="15.75" customHeight="1" x14ac:dyDescent="0.2"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</row>
    <row r="886" spans="2:13" ht="15.75" customHeight="1" x14ac:dyDescent="0.2"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</row>
    <row r="887" spans="2:13" ht="15.75" customHeight="1" x14ac:dyDescent="0.2"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</row>
    <row r="888" spans="2:13" ht="15.75" customHeight="1" x14ac:dyDescent="0.2"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</row>
    <row r="889" spans="2:13" ht="15.75" customHeight="1" x14ac:dyDescent="0.2"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</row>
    <row r="890" spans="2:13" ht="15.75" customHeight="1" x14ac:dyDescent="0.2"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</row>
    <row r="891" spans="2:13" ht="15.75" customHeight="1" x14ac:dyDescent="0.2"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</row>
    <row r="892" spans="2:13" ht="15.75" customHeight="1" x14ac:dyDescent="0.2"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</row>
    <row r="893" spans="2:13" ht="15.75" customHeight="1" x14ac:dyDescent="0.2"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</row>
    <row r="894" spans="2:13" ht="15.75" customHeight="1" x14ac:dyDescent="0.2"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</row>
    <row r="895" spans="2:13" ht="15.75" customHeight="1" x14ac:dyDescent="0.2"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</row>
    <row r="896" spans="2:13" ht="15.75" customHeight="1" x14ac:dyDescent="0.2"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</row>
    <row r="897" spans="2:13" ht="15.75" customHeight="1" x14ac:dyDescent="0.2"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</row>
    <row r="898" spans="2:13" ht="15.75" customHeight="1" x14ac:dyDescent="0.2"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</row>
    <row r="899" spans="2:13" ht="15.75" customHeight="1" x14ac:dyDescent="0.2"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</row>
    <row r="900" spans="2:13" ht="15.75" customHeight="1" x14ac:dyDescent="0.2"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</row>
    <row r="901" spans="2:13" ht="15.75" customHeight="1" x14ac:dyDescent="0.2"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</row>
    <row r="902" spans="2:13" ht="15.75" customHeight="1" x14ac:dyDescent="0.2"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</row>
    <row r="903" spans="2:13" ht="15.75" customHeight="1" x14ac:dyDescent="0.2"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</row>
    <row r="904" spans="2:13" ht="15.75" customHeight="1" x14ac:dyDescent="0.2"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</row>
    <row r="905" spans="2:13" ht="15.75" customHeight="1" x14ac:dyDescent="0.2"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</row>
    <row r="906" spans="2:13" ht="15.75" customHeight="1" x14ac:dyDescent="0.2"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</row>
    <row r="907" spans="2:13" ht="15.75" customHeight="1" x14ac:dyDescent="0.2"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</row>
    <row r="908" spans="2:13" ht="15.75" customHeight="1" x14ac:dyDescent="0.2"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</row>
    <row r="909" spans="2:13" ht="15.75" customHeight="1" x14ac:dyDescent="0.2"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</row>
    <row r="910" spans="2:13" ht="15.75" customHeight="1" x14ac:dyDescent="0.2"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</row>
    <row r="911" spans="2:13" ht="15.75" customHeight="1" x14ac:dyDescent="0.2"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</row>
    <row r="912" spans="2:13" ht="15.75" customHeight="1" x14ac:dyDescent="0.2"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</row>
    <row r="913" spans="2:13" ht="15.75" customHeight="1" x14ac:dyDescent="0.2"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</row>
    <row r="914" spans="2:13" ht="15.75" customHeight="1" x14ac:dyDescent="0.2"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</row>
    <row r="915" spans="2:13" ht="15.75" customHeight="1" x14ac:dyDescent="0.2"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</row>
    <row r="916" spans="2:13" ht="15.75" customHeight="1" x14ac:dyDescent="0.2"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</row>
    <row r="917" spans="2:13" ht="15.75" customHeight="1" x14ac:dyDescent="0.2"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</row>
    <row r="918" spans="2:13" ht="15.75" customHeight="1" x14ac:dyDescent="0.2"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</row>
    <row r="919" spans="2:13" ht="15.75" customHeight="1" x14ac:dyDescent="0.2"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</row>
    <row r="920" spans="2:13" ht="15.75" customHeight="1" x14ac:dyDescent="0.2"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</row>
    <row r="921" spans="2:13" ht="15.75" customHeight="1" x14ac:dyDescent="0.2"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</row>
    <row r="922" spans="2:13" ht="15.75" customHeight="1" x14ac:dyDescent="0.2"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</row>
    <row r="923" spans="2:13" ht="15.75" customHeight="1" x14ac:dyDescent="0.2"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</row>
    <row r="924" spans="2:13" ht="15.75" customHeight="1" x14ac:dyDescent="0.2"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</row>
    <row r="925" spans="2:13" ht="15.75" customHeight="1" x14ac:dyDescent="0.2"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</row>
    <row r="926" spans="2:13" ht="15.75" customHeight="1" x14ac:dyDescent="0.2"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</row>
    <row r="927" spans="2:13" ht="15.75" customHeight="1" x14ac:dyDescent="0.2"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</row>
    <row r="928" spans="2:13" ht="15.75" customHeight="1" x14ac:dyDescent="0.2"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</row>
    <row r="929" spans="2:13" ht="15.75" customHeight="1" x14ac:dyDescent="0.2"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</row>
    <row r="930" spans="2:13" ht="15.75" customHeight="1" x14ac:dyDescent="0.2"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</row>
    <row r="931" spans="2:13" ht="15.75" customHeight="1" x14ac:dyDescent="0.2"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</row>
    <row r="932" spans="2:13" ht="15.75" customHeight="1" x14ac:dyDescent="0.2"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</row>
    <row r="933" spans="2:13" ht="15.75" customHeight="1" x14ac:dyDescent="0.2"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</row>
    <row r="934" spans="2:13" ht="15.75" customHeight="1" x14ac:dyDescent="0.2"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</row>
    <row r="935" spans="2:13" ht="15.75" customHeight="1" x14ac:dyDescent="0.2"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</row>
    <row r="936" spans="2:13" ht="15.75" customHeight="1" x14ac:dyDescent="0.2"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</row>
    <row r="937" spans="2:13" ht="15.75" customHeight="1" x14ac:dyDescent="0.2"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</row>
    <row r="938" spans="2:13" ht="15.75" customHeight="1" x14ac:dyDescent="0.2"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</row>
    <row r="939" spans="2:13" ht="15.75" customHeight="1" x14ac:dyDescent="0.2"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</row>
    <row r="940" spans="2:13" ht="15.75" customHeight="1" x14ac:dyDescent="0.2"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</row>
    <row r="941" spans="2:13" ht="15.75" customHeight="1" x14ac:dyDescent="0.2"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</row>
    <row r="942" spans="2:13" ht="15.75" customHeight="1" x14ac:dyDescent="0.2"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</row>
    <row r="943" spans="2:13" ht="15.75" customHeight="1" x14ac:dyDescent="0.2"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</row>
    <row r="944" spans="2:13" ht="15.75" customHeight="1" x14ac:dyDescent="0.2"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</row>
    <row r="945" spans="2:13" ht="15.75" customHeight="1" x14ac:dyDescent="0.2"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</row>
    <row r="946" spans="2:13" ht="15.75" customHeight="1" x14ac:dyDescent="0.2"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</row>
    <row r="947" spans="2:13" ht="15.75" customHeight="1" x14ac:dyDescent="0.2"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</row>
    <row r="948" spans="2:13" ht="15.75" customHeight="1" x14ac:dyDescent="0.2"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</row>
    <row r="949" spans="2:13" ht="15.75" customHeight="1" x14ac:dyDescent="0.2"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</row>
    <row r="950" spans="2:13" ht="15.75" customHeight="1" x14ac:dyDescent="0.2"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</row>
    <row r="951" spans="2:13" ht="15.75" customHeight="1" x14ac:dyDescent="0.2"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</row>
    <row r="952" spans="2:13" ht="15.75" customHeight="1" x14ac:dyDescent="0.2"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</row>
    <row r="953" spans="2:13" ht="15.75" customHeight="1" x14ac:dyDescent="0.2"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</row>
    <row r="954" spans="2:13" ht="15.75" customHeight="1" x14ac:dyDescent="0.2"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</row>
    <row r="955" spans="2:13" ht="15.75" customHeight="1" x14ac:dyDescent="0.2"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</row>
    <row r="956" spans="2:13" ht="15.75" customHeight="1" x14ac:dyDescent="0.2"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</row>
    <row r="957" spans="2:13" ht="15.75" customHeight="1" x14ac:dyDescent="0.2"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</row>
    <row r="958" spans="2:13" ht="15.75" customHeight="1" x14ac:dyDescent="0.2"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</row>
    <row r="959" spans="2:13" ht="15.75" customHeight="1" x14ac:dyDescent="0.2"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</row>
    <row r="960" spans="2:13" ht="15.75" customHeight="1" x14ac:dyDescent="0.2"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</row>
    <row r="961" spans="2:13" ht="15.75" customHeight="1" x14ac:dyDescent="0.2"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</row>
    <row r="962" spans="2:13" ht="15.75" customHeight="1" x14ac:dyDescent="0.2"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</row>
    <row r="963" spans="2:13" ht="15.75" customHeight="1" x14ac:dyDescent="0.2"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</row>
    <row r="964" spans="2:13" ht="15.75" customHeight="1" x14ac:dyDescent="0.2"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</row>
    <row r="965" spans="2:13" ht="15.75" customHeight="1" x14ac:dyDescent="0.2"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</row>
    <row r="966" spans="2:13" ht="15.75" customHeight="1" x14ac:dyDescent="0.2"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</row>
    <row r="967" spans="2:13" ht="15.75" customHeight="1" x14ac:dyDescent="0.2"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</row>
    <row r="968" spans="2:13" ht="15.75" customHeight="1" x14ac:dyDescent="0.2"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</row>
    <row r="969" spans="2:13" ht="15.75" customHeight="1" x14ac:dyDescent="0.2"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</row>
    <row r="970" spans="2:13" ht="15.75" customHeight="1" x14ac:dyDescent="0.2"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</row>
    <row r="971" spans="2:13" ht="15.75" customHeight="1" x14ac:dyDescent="0.2"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</row>
    <row r="972" spans="2:13" ht="15.75" customHeight="1" x14ac:dyDescent="0.2"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</row>
    <row r="973" spans="2:13" ht="15.75" customHeight="1" x14ac:dyDescent="0.2"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</row>
    <row r="974" spans="2:13" ht="15.75" customHeight="1" x14ac:dyDescent="0.2"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</row>
    <row r="975" spans="2:13" ht="15.75" customHeight="1" x14ac:dyDescent="0.2"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</row>
    <row r="976" spans="2:13" ht="15.75" customHeight="1" x14ac:dyDescent="0.2"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</row>
    <row r="977" spans="2:13" ht="15.75" customHeight="1" x14ac:dyDescent="0.2"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</row>
    <row r="978" spans="2:13" ht="15.75" customHeight="1" x14ac:dyDescent="0.2"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</row>
    <row r="979" spans="2:13" ht="15.75" customHeight="1" x14ac:dyDescent="0.2"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</row>
    <row r="980" spans="2:13" ht="15.75" customHeight="1" x14ac:dyDescent="0.2"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</row>
    <row r="981" spans="2:13" ht="15.75" customHeight="1" x14ac:dyDescent="0.2"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</row>
    <row r="982" spans="2:13" ht="15.75" customHeight="1" x14ac:dyDescent="0.2"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</row>
    <row r="983" spans="2:13" ht="15.75" customHeight="1" x14ac:dyDescent="0.2"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</row>
    <row r="984" spans="2:13" ht="15.75" customHeight="1" x14ac:dyDescent="0.2"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</row>
    <row r="985" spans="2:13" ht="15.75" customHeight="1" x14ac:dyDescent="0.2"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</row>
    <row r="986" spans="2:13" ht="15.75" customHeight="1" x14ac:dyDescent="0.2"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</row>
    <row r="987" spans="2:13" ht="15.75" customHeight="1" x14ac:dyDescent="0.2"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</row>
    <row r="988" spans="2:13" ht="15.75" customHeight="1" x14ac:dyDescent="0.2"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</row>
    <row r="989" spans="2:13" ht="15.75" customHeight="1" x14ac:dyDescent="0.2"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</row>
    <row r="990" spans="2:13" ht="15.75" customHeight="1" x14ac:dyDescent="0.2"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</row>
    <row r="991" spans="2:13" ht="15.75" customHeight="1" x14ac:dyDescent="0.2"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</row>
    <row r="992" spans="2:13" ht="15.75" customHeight="1" x14ac:dyDescent="0.2"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</row>
    <row r="993" spans="2:13" ht="15.75" customHeight="1" x14ac:dyDescent="0.2"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</row>
    <row r="994" spans="2:13" ht="15.75" customHeight="1" x14ac:dyDescent="0.2"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</row>
    <row r="995" spans="2:13" ht="15.75" customHeight="1" x14ac:dyDescent="0.2"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</row>
    <row r="996" spans="2:13" ht="15.75" customHeight="1" x14ac:dyDescent="0.2"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</row>
    <row r="997" spans="2:13" ht="15.75" customHeight="1" x14ac:dyDescent="0.2"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</row>
    <row r="998" spans="2:13" ht="15.75" customHeight="1" x14ac:dyDescent="0.2"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</row>
    <row r="999" spans="2:13" ht="15.75" customHeight="1" x14ac:dyDescent="0.2"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</row>
    <row r="1000" spans="2:13" ht="15.75" customHeight="1" x14ac:dyDescent="0.2"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</row>
  </sheetData>
  <conditionalFormatting sqref="B34:L34">
    <cfRule type="cellIs" dxfId="6" priority="2" operator="lessThan">
      <formula>B33</formula>
    </cfRule>
    <cfRule type="cellIs" dxfId="5" priority="3" operator="greaterThanOrEqual">
      <formula>B33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000"/>
  <sheetViews>
    <sheetView showGridLines="0" zoomScaleNormal="100" workbookViewId="0"/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7.6640625" customWidth="1"/>
    <col min="4" max="4" width="12" customWidth="1"/>
    <col min="5" max="5" width="20" customWidth="1"/>
    <col min="6" max="6" width="5" customWidth="1"/>
    <col min="7" max="7" width="13.6640625" customWidth="1"/>
    <col min="8" max="9" width="15" customWidth="1"/>
    <col min="10" max="14" width="8.1640625" customWidth="1"/>
    <col min="15" max="15" width="15" customWidth="1"/>
    <col min="16" max="16" width="13.5" customWidth="1"/>
    <col min="17" max="17" width="12" customWidth="1"/>
    <col min="18" max="19" width="13" customWidth="1"/>
    <col min="20" max="22" width="12.6640625" customWidth="1"/>
    <col min="23" max="24" width="14" customWidth="1"/>
    <col min="25" max="53" width="12.6640625" customWidth="1"/>
  </cols>
  <sheetData>
    <row r="1" spans="1:53" ht="30" customHeight="1" x14ac:dyDescent="0.2">
      <c r="A1" s="308" t="s">
        <v>840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</row>
    <row r="2" spans="1:53" ht="19.5" customHeight="1" x14ac:dyDescent="0.2">
      <c r="A2" s="129"/>
      <c r="B2" s="226">
        <v>12</v>
      </c>
      <c r="C2" s="227" t="s">
        <v>841</v>
      </c>
      <c r="D2" s="228"/>
      <c r="E2" s="229"/>
      <c r="F2" s="229"/>
      <c r="G2" s="229"/>
      <c r="H2" s="229"/>
      <c r="I2" s="229"/>
      <c r="J2" s="230"/>
      <c r="K2" s="231" t="s">
        <v>45</v>
      </c>
      <c r="L2" s="232" t="s">
        <v>842</v>
      </c>
      <c r="M2" s="129"/>
      <c r="N2" s="233" t="s">
        <v>843</v>
      </c>
      <c r="O2" s="233" t="s">
        <v>844</v>
      </c>
      <c r="P2" s="233" t="s">
        <v>845</v>
      </c>
      <c r="Q2" s="233" t="s">
        <v>846</v>
      </c>
      <c r="R2" s="233" t="s">
        <v>847</v>
      </c>
      <c r="S2" s="233" t="s">
        <v>848</v>
      </c>
      <c r="T2" s="234" t="s">
        <v>848</v>
      </c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</row>
    <row r="3" spans="1:53" ht="15.75" customHeight="1" x14ac:dyDescent="0.2">
      <c r="A3" s="129"/>
      <c r="B3" s="235"/>
      <c r="C3" s="236" t="s">
        <v>849</v>
      </c>
      <c r="D3" s="237"/>
      <c r="E3" s="232"/>
      <c r="F3" s="232"/>
      <c r="G3" s="232"/>
      <c r="H3" s="232"/>
      <c r="I3" s="232"/>
      <c r="J3" s="238"/>
      <c r="K3" s="129"/>
      <c r="L3" s="232">
        <v>12</v>
      </c>
      <c r="M3" s="239">
        <v>9.5000000000000001E-2</v>
      </c>
      <c r="N3" s="129"/>
      <c r="O3" s="240">
        <v>1</v>
      </c>
      <c r="P3" s="241">
        <f>H4</f>
        <v>294750</v>
      </c>
      <c r="Q3" s="241">
        <f t="shared" ref="Q3:Q14" si="0">P3*(H$5/H$6)</f>
        <v>2579.0624999999995</v>
      </c>
      <c r="R3" s="241">
        <f t="shared" ref="R3:R14" si="1">S3-Q3</f>
        <v>23402.738203079007</v>
      </c>
      <c r="S3" s="241">
        <f t="shared" ref="S3:S14" si="2">$H$7</f>
        <v>25981.800703079007</v>
      </c>
      <c r="T3" s="242">
        <f t="shared" ref="T3:T14" si="3">P3-R3</f>
        <v>271347.26179692097</v>
      </c>
      <c r="U3" s="129"/>
      <c r="V3" s="129">
        <v>1</v>
      </c>
      <c r="W3" s="243">
        <f>H7</f>
        <v>25981.800703079007</v>
      </c>
      <c r="X3" s="244">
        <f>D5</f>
        <v>294750</v>
      </c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</row>
    <row r="4" spans="1:53" ht="15.75" customHeight="1" x14ac:dyDescent="0.2">
      <c r="A4" s="129"/>
      <c r="B4" s="235"/>
      <c r="C4" s="236" t="s">
        <v>850</v>
      </c>
      <c r="D4" s="245">
        <f>('FLUJO 5 AÑOS (5Y)'!$B$5)/(1+(E8*(1+E7)))*SUPUESTOS!$C$14</f>
        <v>277934.93635077792</v>
      </c>
      <c r="E4" s="178" t="s">
        <v>851</v>
      </c>
      <c r="F4" s="232"/>
      <c r="G4" s="246" t="s">
        <v>846</v>
      </c>
      <c r="H4" s="245">
        <f>D5</f>
        <v>294750</v>
      </c>
      <c r="I4" s="232"/>
      <c r="J4" s="238"/>
      <c r="K4" s="129"/>
      <c r="L4" s="232">
        <v>24</v>
      </c>
      <c r="M4" s="239">
        <v>0.105</v>
      </c>
      <c r="N4" s="129"/>
      <c r="O4" s="240">
        <v>2</v>
      </c>
      <c r="P4" s="241">
        <f t="shared" ref="P4:P14" si="4">T3</f>
        <v>271347.26179692097</v>
      </c>
      <c r="Q4" s="241">
        <f t="shared" si="0"/>
        <v>2374.2885407230583</v>
      </c>
      <c r="R4" s="241">
        <f t="shared" si="1"/>
        <v>23607.51216235595</v>
      </c>
      <c r="S4" s="241">
        <f t="shared" si="2"/>
        <v>25981.800703079007</v>
      </c>
      <c r="T4" s="242">
        <f t="shared" si="3"/>
        <v>247739.74963456503</v>
      </c>
      <c r="U4" s="129"/>
      <c r="V4" s="129">
        <v>2</v>
      </c>
      <c r="W4" s="243">
        <f>H18</f>
        <v>34515.457335714331</v>
      </c>
      <c r="X4" s="244">
        <f>D16</f>
        <v>736875</v>
      </c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</row>
    <row r="5" spans="1:53" ht="15.75" customHeight="1" x14ac:dyDescent="0.2">
      <c r="A5" s="129"/>
      <c r="B5" s="235"/>
      <c r="C5" s="236" t="s">
        <v>852</v>
      </c>
      <c r="D5" s="247">
        <f>D4*(1+(E8*(1+E7)))</f>
        <v>294750</v>
      </c>
      <c r="E5" s="232"/>
      <c r="F5" s="232"/>
      <c r="G5" s="246" t="s">
        <v>845</v>
      </c>
      <c r="H5" s="248">
        <f>SUPUESTOS!$B$14</f>
        <v>0.105</v>
      </c>
      <c r="I5" s="232"/>
      <c r="J5" s="238"/>
      <c r="K5" s="129"/>
      <c r="L5" s="232">
        <v>36</v>
      </c>
      <c r="M5" s="239">
        <v>0.115</v>
      </c>
      <c r="N5" s="129"/>
      <c r="O5" s="240">
        <v>3</v>
      </c>
      <c r="P5" s="241">
        <f t="shared" si="4"/>
        <v>247739.74963456503</v>
      </c>
      <c r="Q5" s="241">
        <f t="shared" si="0"/>
        <v>2167.7228093024437</v>
      </c>
      <c r="R5" s="241">
        <f t="shared" si="1"/>
        <v>23814.077893776564</v>
      </c>
      <c r="S5" s="241">
        <f t="shared" si="2"/>
        <v>25981.800703079007</v>
      </c>
      <c r="T5" s="242">
        <f t="shared" si="3"/>
        <v>223925.67174078847</v>
      </c>
      <c r="U5" s="129"/>
      <c r="V5" s="129">
        <v>3</v>
      </c>
      <c r="W5" s="243">
        <f>H29</f>
        <v>39441.824554948784</v>
      </c>
      <c r="X5" s="244">
        <f>D27</f>
        <v>1179000</v>
      </c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</row>
    <row r="6" spans="1:53" ht="15.75" customHeight="1" x14ac:dyDescent="0.2">
      <c r="A6" s="129"/>
      <c r="B6" s="235"/>
      <c r="C6" s="236" t="s">
        <v>668</v>
      </c>
      <c r="D6" s="247">
        <f>D5-D4</f>
        <v>16815.06364922208</v>
      </c>
      <c r="E6" s="232"/>
      <c r="F6" s="232"/>
      <c r="G6" s="246" t="s">
        <v>853</v>
      </c>
      <c r="H6" s="249">
        <f>B2</f>
        <v>12</v>
      </c>
      <c r="I6" s="232"/>
      <c r="J6" s="238"/>
      <c r="K6" s="129"/>
      <c r="L6" s="232">
        <v>48</v>
      </c>
      <c r="M6" s="239">
        <v>0.125</v>
      </c>
      <c r="N6" s="129"/>
      <c r="O6" s="240">
        <v>4</v>
      </c>
      <c r="P6" s="241">
        <f t="shared" si="4"/>
        <v>223925.67174078847</v>
      </c>
      <c r="Q6" s="241">
        <f t="shared" si="0"/>
        <v>1959.3496277318989</v>
      </c>
      <c r="R6" s="241">
        <f t="shared" si="1"/>
        <v>24022.451075347108</v>
      </c>
      <c r="S6" s="241">
        <f t="shared" si="2"/>
        <v>25981.800703079007</v>
      </c>
      <c r="T6" s="242">
        <f t="shared" si="3"/>
        <v>199903.22066544136</v>
      </c>
      <c r="U6" s="129"/>
      <c r="V6" s="129">
        <v>4</v>
      </c>
      <c r="W6" s="243">
        <f>H40</f>
        <v>11971.11928583836</v>
      </c>
      <c r="X6" s="244">
        <f>D38</f>
        <v>442125</v>
      </c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</row>
    <row r="7" spans="1:53" ht="15.75" customHeight="1" x14ac:dyDescent="0.2">
      <c r="A7" s="129"/>
      <c r="B7" s="235"/>
      <c r="C7" s="236" t="s">
        <v>575</v>
      </c>
      <c r="D7" s="247">
        <f>D6-D8</f>
        <v>2918.3168316831707</v>
      </c>
      <c r="E7" s="250">
        <v>0.21</v>
      </c>
      <c r="F7" s="232"/>
      <c r="G7" s="246" t="s">
        <v>854</v>
      </c>
      <c r="H7" s="251">
        <f>-PMT((H5/12),H6,H4)</f>
        <v>25981.800703079007</v>
      </c>
      <c r="I7" s="232"/>
      <c r="J7" s="238"/>
      <c r="K7" s="129"/>
      <c r="L7" s="232">
        <v>60</v>
      </c>
      <c r="M7" s="239">
        <v>0.13500000000000001</v>
      </c>
      <c r="N7" s="129"/>
      <c r="O7" s="240">
        <v>5</v>
      </c>
      <c r="P7" s="241">
        <f t="shared" si="4"/>
        <v>199903.22066544136</v>
      </c>
      <c r="Q7" s="241">
        <f t="shared" si="0"/>
        <v>1749.1531808226118</v>
      </c>
      <c r="R7" s="241">
        <f t="shared" si="1"/>
        <v>24232.647522256397</v>
      </c>
      <c r="S7" s="241">
        <f t="shared" si="2"/>
        <v>25981.800703079007</v>
      </c>
      <c r="T7" s="242">
        <f t="shared" si="3"/>
        <v>175670.57314318497</v>
      </c>
      <c r="U7" s="129"/>
      <c r="V7" s="129">
        <v>5</v>
      </c>
      <c r="W7" s="243">
        <f>H51</f>
        <v>6934.9608485829149</v>
      </c>
      <c r="X7" s="244">
        <f>D49</f>
        <v>294750</v>
      </c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</row>
    <row r="8" spans="1:53" ht="15.75" customHeight="1" x14ac:dyDescent="0.2">
      <c r="A8" s="129"/>
      <c r="B8" s="235"/>
      <c r="C8" s="236" t="s">
        <v>855</v>
      </c>
      <c r="D8" s="245">
        <f>D6/(1+E7)</f>
        <v>13896.746817538909</v>
      </c>
      <c r="E8" s="250">
        <v>0.05</v>
      </c>
      <c r="F8" s="232"/>
      <c r="G8" s="232"/>
      <c r="H8" s="232"/>
      <c r="I8" s="232"/>
      <c r="J8" s="238"/>
      <c r="K8" s="129"/>
      <c r="L8" s="129"/>
      <c r="M8" s="129"/>
      <c r="N8" s="129"/>
      <c r="O8" s="240">
        <v>6</v>
      </c>
      <c r="P8" s="241">
        <f t="shared" si="4"/>
        <v>175670.57314318497</v>
      </c>
      <c r="Q8" s="241">
        <f t="shared" si="0"/>
        <v>1537.1175150028682</v>
      </c>
      <c r="R8" s="241">
        <f t="shared" si="1"/>
        <v>24444.683188076138</v>
      </c>
      <c r="S8" s="241">
        <f t="shared" si="2"/>
        <v>25981.800703079007</v>
      </c>
      <c r="T8" s="242">
        <f t="shared" si="3"/>
        <v>151225.88995510884</v>
      </c>
      <c r="U8" s="129"/>
      <c r="V8" s="129" t="s">
        <v>856</v>
      </c>
      <c r="W8" s="243">
        <f>SUM(W3:W7)</f>
        <v>118845.16272816338</v>
      </c>
      <c r="X8" s="243">
        <f>SUM(X3:X7)</f>
        <v>2947500</v>
      </c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</row>
    <row r="9" spans="1:53" ht="15.75" customHeight="1" x14ac:dyDescent="0.2">
      <c r="A9" s="129"/>
      <c r="B9" s="235"/>
      <c r="C9" s="232"/>
      <c r="D9" s="232"/>
      <c r="E9" s="232"/>
      <c r="F9" s="232"/>
      <c r="G9" s="246" t="s">
        <v>99</v>
      </c>
      <c r="H9" s="252">
        <f>H7*B2</f>
        <v>311781.6084369481</v>
      </c>
      <c r="I9" s="253"/>
      <c r="J9" s="238"/>
      <c r="K9" s="129"/>
      <c r="L9" s="129"/>
      <c r="M9" s="129"/>
      <c r="N9" s="129"/>
      <c r="O9" s="240">
        <v>7</v>
      </c>
      <c r="P9" s="241">
        <f t="shared" si="4"/>
        <v>151225.88995510884</v>
      </c>
      <c r="Q9" s="241">
        <f t="shared" si="0"/>
        <v>1323.2265371072021</v>
      </c>
      <c r="R9" s="241">
        <f t="shared" si="1"/>
        <v>24658.574165971804</v>
      </c>
      <c r="S9" s="241">
        <f t="shared" si="2"/>
        <v>25981.800703079007</v>
      </c>
      <c r="T9" s="242">
        <f t="shared" si="3"/>
        <v>126567.31578913704</v>
      </c>
      <c r="U9" s="129"/>
      <c r="V9" s="254" t="s">
        <v>580</v>
      </c>
      <c r="W9" s="255">
        <f>W8*12</f>
        <v>1426141.9527379605</v>
      </c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</row>
    <row r="10" spans="1:53" ht="15.75" customHeight="1" x14ac:dyDescent="0.2">
      <c r="A10" s="129"/>
      <c r="B10" s="235"/>
      <c r="C10" s="232"/>
      <c r="D10" s="237"/>
      <c r="E10" s="232"/>
      <c r="F10" s="232"/>
      <c r="G10" s="246" t="s">
        <v>857</v>
      </c>
      <c r="H10" s="239">
        <f>H9/D4-1</f>
        <v>0.12177912043217454</v>
      </c>
      <c r="I10" s="232"/>
      <c r="J10" s="238"/>
      <c r="K10" s="129"/>
      <c r="L10" s="129"/>
      <c r="M10" s="129"/>
      <c r="N10" s="129"/>
      <c r="O10" s="240">
        <v>8</v>
      </c>
      <c r="P10" s="241">
        <f t="shared" si="4"/>
        <v>126567.31578913704</v>
      </c>
      <c r="Q10" s="241">
        <f t="shared" si="0"/>
        <v>1107.464013154949</v>
      </c>
      <c r="R10" s="241">
        <f t="shared" si="1"/>
        <v>24874.336689924057</v>
      </c>
      <c r="S10" s="241">
        <f t="shared" si="2"/>
        <v>25981.800703079007</v>
      </c>
      <c r="T10" s="242">
        <f t="shared" si="3"/>
        <v>101692.97909921297</v>
      </c>
      <c r="U10" s="129"/>
      <c r="V10" s="129"/>
      <c r="W10" s="256">
        <f>'FLUJO 5 AÑOS (5Y)'!B6</f>
        <v>1016379.3103448275</v>
      </c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</row>
    <row r="11" spans="1:53" ht="15.75" customHeight="1" x14ac:dyDescent="0.2">
      <c r="A11" s="129"/>
      <c r="B11" s="235"/>
      <c r="C11" s="232"/>
      <c r="D11" s="237"/>
      <c r="E11" s="232"/>
      <c r="F11" s="232"/>
      <c r="G11" s="246" t="s">
        <v>858</v>
      </c>
      <c r="H11" s="239">
        <f>((1+H10)^(12/B2))-1</f>
        <v>0.12177912043217454</v>
      </c>
      <c r="I11" s="239"/>
      <c r="J11" s="238"/>
      <c r="K11" s="129"/>
      <c r="L11" s="129"/>
      <c r="M11" s="129"/>
      <c r="N11" s="129"/>
      <c r="O11" s="240">
        <v>9</v>
      </c>
      <c r="P11" s="241">
        <f t="shared" si="4"/>
        <v>101692.97909921297</v>
      </c>
      <c r="Q11" s="241">
        <f t="shared" si="0"/>
        <v>889.81356711811338</v>
      </c>
      <c r="R11" s="241">
        <f t="shared" si="1"/>
        <v>25091.987135960895</v>
      </c>
      <c r="S11" s="241">
        <f t="shared" si="2"/>
        <v>25981.800703079007</v>
      </c>
      <c r="T11" s="242">
        <f t="shared" si="3"/>
        <v>76600.991963252076</v>
      </c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</row>
    <row r="12" spans="1:53" ht="15.75" customHeight="1" x14ac:dyDescent="0.2">
      <c r="A12" s="129"/>
      <c r="B12" s="257"/>
      <c r="C12" s="258"/>
      <c r="D12" s="258"/>
      <c r="E12" s="258"/>
      <c r="F12" s="258"/>
      <c r="G12" s="258"/>
      <c r="H12" s="258"/>
      <c r="I12" s="258"/>
      <c r="J12" s="259"/>
      <c r="K12" s="129"/>
      <c r="L12" s="129"/>
      <c r="M12" s="129"/>
      <c r="N12" s="129"/>
      <c r="O12" s="240">
        <v>10</v>
      </c>
      <c r="P12" s="241">
        <f t="shared" si="4"/>
        <v>76600.991963252076</v>
      </c>
      <c r="Q12" s="241">
        <f t="shared" si="0"/>
        <v>670.25867967845556</v>
      </c>
      <c r="R12" s="241">
        <f t="shared" si="1"/>
        <v>25311.542023400551</v>
      </c>
      <c r="S12" s="241">
        <f t="shared" si="2"/>
        <v>25981.800703079007</v>
      </c>
      <c r="T12" s="242">
        <f t="shared" si="3"/>
        <v>51289.449939851525</v>
      </c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</row>
    <row r="13" spans="1:53" ht="19.5" customHeight="1" x14ac:dyDescent="0.2">
      <c r="A13" s="129"/>
      <c r="B13" s="226">
        <v>24</v>
      </c>
      <c r="C13" s="227" t="s">
        <v>859</v>
      </c>
      <c r="D13" s="228"/>
      <c r="E13" s="229"/>
      <c r="F13" s="229"/>
      <c r="G13" s="229"/>
      <c r="H13" s="229"/>
      <c r="I13" s="229"/>
      <c r="J13" s="230"/>
      <c r="K13" s="129"/>
      <c r="L13" s="129"/>
      <c r="M13" s="129"/>
      <c r="N13" s="129"/>
      <c r="O13" s="240">
        <v>11</v>
      </c>
      <c r="P13" s="241">
        <f t="shared" si="4"/>
        <v>51289.449939851525</v>
      </c>
      <c r="Q13" s="241">
        <f t="shared" si="0"/>
        <v>448.78268697370078</v>
      </c>
      <c r="R13" s="241">
        <f t="shared" si="1"/>
        <v>25533.018016105307</v>
      </c>
      <c r="S13" s="241">
        <f t="shared" si="2"/>
        <v>25981.800703079007</v>
      </c>
      <c r="T13" s="242">
        <f t="shared" si="3"/>
        <v>25756.431923746219</v>
      </c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</row>
    <row r="14" spans="1:53" ht="15.75" customHeight="1" x14ac:dyDescent="0.2">
      <c r="A14" s="129"/>
      <c r="B14" s="235"/>
      <c r="C14" s="236" t="s">
        <v>849</v>
      </c>
      <c r="D14" s="237"/>
      <c r="E14" s="232"/>
      <c r="F14" s="232"/>
      <c r="G14" s="232"/>
      <c r="H14" s="232"/>
      <c r="I14" s="232"/>
      <c r="J14" s="238"/>
      <c r="K14" s="129"/>
      <c r="L14" s="129"/>
      <c r="M14" s="129"/>
      <c r="N14" s="129"/>
      <c r="O14" s="240">
        <v>12</v>
      </c>
      <c r="P14" s="241">
        <f t="shared" si="4"/>
        <v>25756.431923746219</v>
      </c>
      <c r="Q14" s="241">
        <f t="shared" si="0"/>
        <v>225.36877933277938</v>
      </c>
      <c r="R14" s="241">
        <f t="shared" si="1"/>
        <v>25756.431923746226</v>
      </c>
      <c r="S14" s="241">
        <f t="shared" si="2"/>
        <v>25981.800703079007</v>
      </c>
      <c r="T14" s="242">
        <f t="shared" si="3"/>
        <v>0</v>
      </c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</row>
    <row r="15" spans="1:53" ht="15.75" customHeight="1" x14ac:dyDescent="0.2">
      <c r="A15" s="129"/>
      <c r="B15" s="235"/>
      <c r="C15" s="236" t="s">
        <v>850</v>
      </c>
      <c r="D15" s="245">
        <f>('FLUJO 5 AÑOS (5Y)'!$B$5)/(1+(E19*(1+E18)))*SUPUESTOS!$C$15</f>
        <v>694837.34087694483</v>
      </c>
      <c r="E15" s="178" t="s">
        <v>851</v>
      </c>
      <c r="F15" s="232"/>
      <c r="G15" s="246" t="s">
        <v>846</v>
      </c>
      <c r="H15" s="245">
        <f>D16</f>
        <v>736875</v>
      </c>
      <c r="I15" s="232"/>
      <c r="J15" s="238"/>
      <c r="K15" s="129"/>
      <c r="L15" s="129"/>
      <c r="M15" s="129"/>
      <c r="N15" s="129"/>
      <c r="O15" s="260" t="s">
        <v>860</v>
      </c>
      <c r="P15" s="261"/>
      <c r="Q15" s="241">
        <f>SUM(Q3:Q14)</f>
        <v>17031.608436948085</v>
      </c>
      <c r="R15" s="241">
        <f>SUM(R3:R14)</f>
        <v>294750</v>
      </c>
      <c r="S15" s="241">
        <f>SUM(S3:S14)</f>
        <v>311781.6084369481</v>
      </c>
      <c r="T15" s="261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</row>
    <row r="16" spans="1:53" ht="15.75" customHeight="1" x14ac:dyDescent="0.2">
      <c r="A16" s="129"/>
      <c r="B16" s="235"/>
      <c r="C16" s="236" t="s">
        <v>852</v>
      </c>
      <c r="D16" s="247">
        <f>D15*(1+(E19*(1+E18)))</f>
        <v>736875</v>
      </c>
      <c r="E16" s="232"/>
      <c r="F16" s="232"/>
      <c r="G16" s="246" t="s">
        <v>845</v>
      </c>
      <c r="H16" s="248">
        <f>SUPUESTOS!$B$15</f>
        <v>0.115</v>
      </c>
      <c r="I16" s="232"/>
      <c r="J16" s="238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</row>
    <row r="17" spans="1:53" ht="15.75" customHeight="1" x14ac:dyDescent="0.2">
      <c r="A17" s="129"/>
      <c r="B17" s="235"/>
      <c r="C17" s="236" t="s">
        <v>668</v>
      </c>
      <c r="D17" s="247">
        <f>D16-D15</f>
        <v>42037.659123055171</v>
      </c>
      <c r="E17" s="232"/>
      <c r="F17" s="232"/>
      <c r="G17" s="246" t="s">
        <v>853</v>
      </c>
      <c r="H17" s="249">
        <f>B13</f>
        <v>24</v>
      </c>
      <c r="I17" s="232"/>
      <c r="J17" s="238"/>
      <c r="K17" s="129"/>
      <c r="L17" s="129"/>
      <c r="M17" s="129"/>
      <c r="N17" s="129"/>
      <c r="O17" s="129"/>
      <c r="P17" s="241" t="s">
        <v>861</v>
      </c>
      <c r="Q17" s="262">
        <f>Q15/D4</f>
        <v>6.1279120432174539E-2</v>
      </c>
      <c r="R17" s="263"/>
      <c r="S17" s="263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</row>
    <row r="18" spans="1:53" ht="15.75" customHeight="1" x14ac:dyDescent="0.2">
      <c r="A18" s="129"/>
      <c r="B18" s="235"/>
      <c r="C18" s="236" t="s">
        <v>575</v>
      </c>
      <c r="D18" s="247">
        <f>D17-D19</f>
        <v>7295.792079207924</v>
      </c>
      <c r="E18" s="250">
        <v>0.21</v>
      </c>
      <c r="F18" s="232"/>
      <c r="G18" s="246" t="s">
        <v>854</v>
      </c>
      <c r="H18" s="251">
        <f>-PMT((H16/12),H17,H15)</f>
        <v>34515.457335714331</v>
      </c>
      <c r="I18" s="232"/>
      <c r="J18" s="238"/>
      <c r="K18" s="129"/>
      <c r="L18" s="129"/>
      <c r="M18" s="129"/>
      <c r="N18" s="129"/>
      <c r="O18" s="129"/>
      <c r="P18" s="241" t="s">
        <v>862</v>
      </c>
      <c r="Q18" s="262">
        <f>E8*1.21</f>
        <v>6.0499999999999998E-2</v>
      </c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</row>
    <row r="19" spans="1:53" ht="15.75" customHeight="1" x14ac:dyDescent="0.2">
      <c r="A19" s="129"/>
      <c r="B19" s="235"/>
      <c r="C19" s="236" t="s">
        <v>855</v>
      </c>
      <c r="D19" s="245">
        <f>D17/(1+E18)</f>
        <v>34741.867043847247</v>
      </c>
      <c r="E19" s="250">
        <v>0.05</v>
      </c>
      <c r="F19" s="232"/>
      <c r="G19" s="232"/>
      <c r="H19" s="232"/>
      <c r="I19" s="232"/>
      <c r="J19" s="238"/>
      <c r="K19" s="129"/>
      <c r="L19" s="129"/>
      <c r="M19" s="129"/>
      <c r="N19" s="129"/>
      <c r="O19" s="129"/>
      <c r="P19" s="241" t="s">
        <v>863</v>
      </c>
      <c r="Q19" s="262">
        <f>Q18+Q17</f>
        <v>0.12177912043217454</v>
      </c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</row>
    <row r="20" spans="1:53" ht="15.75" customHeight="1" x14ac:dyDescent="0.2">
      <c r="A20" s="129"/>
      <c r="B20" s="235"/>
      <c r="C20" s="232"/>
      <c r="D20" s="232"/>
      <c r="E20" s="232"/>
      <c r="F20" s="232"/>
      <c r="G20" s="246" t="s">
        <v>99</v>
      </c>
      <c r="H20" s="252">
        <f>H18*B13</f>
        <v>828370.97605714388</v>
      </c>
      <c r="I20" s="232"/>
      <c r="J20" s="238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</row>
    <row r="21" spans="1:53" ht="15.75" customHeight="1" x14ac:dyDescent="0.2">
      <c r="A21" s="129"/>
      <c r="B21" s="235"/>
      <c r="C21" s="232"/>
      <c r="D21" s="237"/>
      <c r="E21" s="232"/>
      <c r="F21" s="232"/>
      <c r="G21" s="246" t="s">
        <v>857</v>
      </c>
      <c r="H21" s="239">
        <f>H20/D15-1</f>
        <v>0.19217970498198622</v>
      </c>
      <c r="I21" s="232"/>
      <c r="J21" s="238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</row>
    <row r="22" spans="1:53" ht="15.75" customHeight="1" x14ac:dyDescent="0.2">
      <c r="A22" s="129"/>
      <c r="B22" s="235"/>
      <c r="C22" s="232"/>
      <c r="D22" s="237"/>
      <c r="E22" s="232"/>
      <c r="F22" s="232"/>
      <c r="G22" s="246" t="s">
        <v>858</v>
      </c>
      <c r="H22" s="239">
        <f>((1+H21)^(12/B13))-1</f>
        <v>9.1869820528979629E-2</v>
      </c>
      <c r="I22" s="239"/>
      <c r="J22" s="238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</row>
    <row r="23" spans="1:53" ht="15.75" customHeight="1" x14ac:dyDescent="0.2">
      <c r="A23" s="129"/>
      <c r="B23" s="257"/>
      <c r="C23" s="258"/>
      <c r="D23" s="258"/>
      <c r="E23" s="258"/>
      <c r="F23" s="258"/>
      <c r="G23" s="258"/>
      <c r="H23" s="258"/>
      <c r="I23" s="258"/>
      <c r="J23" s="25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</row>
    <row r="24" spans="1:53" ht="19.5" customHeight="1" x14ac:dyDescent="0.2">
      <c r="A24" s="129"/>
      <c r="B24" s="226">
        <v>36</v>
      </c>
      <c r="C24" s="227" t="s">
        <v>864</v>
      </c>
      <c r="D24" s="228"/>
      <c r="E24" s="229"/>
      <c r="F24" s="229"/>
      <c r="G24" s="229"/>
      <c r="H24" s="229"/>
      <c r="I24" s="229"/>
      <c r="J24" s="230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</row>
    <row r="25" spans="1:53" ht="15.75" customHeight="1" x14ac:dyDescent="0.2">
      <c r="A25" s="129"/>
      <c r="B25" s="235"/>
      <c r="C25" s="236" t="s">
        <v>849</v>
      </c>
      <c r="D25" s="237"/>
      <c r="E25" s="232"/>
      <c r="F25" s="232"/>
      <c r="G25" s="232"/>
      <c r="H25" s="232"/>
      <c r="I25" s="232"/>
      <c r="J25" s="238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</row>
    <row r="26" spans="1:53" ht="15.75" customHeight="1" x14ac:dyDescent="0.2">
      <c r="A26" s="129"/>
      <c r="B26" s="235"/>
      <c r="C26" s="236" t="s">
        <v>850</v>
      </c>
      <c r="D26" s="245">
        <f>('FLUJO 5 AÑOS (5Y)'!$B$5)/(1+(E30*(1+E29)))*SUPUESTOS!$C$16</f>
        <v>1111739.7454031117</v>
      </c>
      <c r="E26" s="178" t="s">
        <v>851</v>
      </c>
      <c r="F26" s="232"/>
      <c r="G26" s="246" t="s">
        <v>846</v>
      </c>
      <c r="H26" s="245">
        <f>D27</f>
        <v>1179000</v>
      </c>
      <c r="I26" s="232"/>
      <c r="J26" s="238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</row>
    <row r="27" spans="1:53" ht="15.75" customHeight="1" x14ac:dyDescent="0.2">
      <c r="A27" s="129"/>
      <c r="B27" s="235"/>
      <c r="C27" s="236" t="s">
        <v>852</v>
      </c>
      <c r="D27" s="247">
        <f>D26*(1+(E30*(1+E29)))</f>
        <v>1179000</v>
      </c>
      <c r="E27" s="232"/>
      <c r="F27" s="232"/>
      <c r="G27" s="246" t="s">
        <v>845</v>
      </c>
      <c r="H27" s="248">
        <f>SUPUESTOS!$B$16</f>
        <v>0.125</v>
      </c>
      <c r="I27" s="232"/>
      <c r="J27" s="238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</row>
    <row r="28" spans="1:53" ht="15.75" customHeight="1" x14ac:dyDescent="0.2">
      <c r="A28" s="129"/>
      <c r="B28" s="235"/>
      <c r="C28" s="236" t="s">
        <v>668</v>
      </c>
      <c r="D28" s="247">
        <f>D27-D26</f>
        <v>67260.254596888321</v>
      </c>
      <c r="E28" s="232"/>
      <c r="F28" s="232"/>
      <c r="G28" s="246" t="s">
        <v>853</v>
      </c>
      <c r="H28" s="249">
        <f>B24</f>
        <v>36</v>
      </c>
      <c r="I28" s="232"/>
      <c r="J28" s="238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</row>
    <row r="29" spans="1:53" ht="15.75" customHeight="1" x14ac:dyDescent="0.2">
      <c r="A29" s="129"/>
      <c r="B29" s="235"/>
      <c r="C29" s="236" t="s">
        <v>575</v>
      </c>
      <c r="D29" s="247">
        <f>D28-D30</f>
        <v>11673.267326732683</v>
      </c>
      <c r="E29" s="250">
        <v>0.21</v>
      </c>
      <c r="F29" s="232"/>
      <c r="G29" s="246" t="s">
        <v>854</v>
      </c>
      <c r="H29" s="251">
        <f>-PMT((H27/12),H28,H26)</f>
        <v>39441.824554948784</v>
      </c>
      <c r="I29" s="232"/>
      <c r="J29" s="238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</row>
    <row r="30" spans="1:53" ht="15.75" customHeight="1" x14ac:dyDescent="0.2">
      <c r="A30" s="129"/>
      <c r="B30" s="235"/>
      <c r="C30" s="236" t="s">
        <v>855</v>
      </c>
      <c r="D30" s="245">
        <f>D28/(1+E29)</f>
        <v>55586.987270155638</v>
      </c>
      <c r="E30" s="250">
        <v>0.05</v>
      </c>
      <c r="F30" s="232"/>
      <c r="G30" s="232"/>
      <c r="H30" s="232"/>
      <c r="I30" s="232"/>
      <c r="J30" s="238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</row>
    <row r="31" spans="1:53" ht="15.75" customHeight="1" x14ac:dyDescent="0.2">
      <c r="A31" s="129"/>
      <c r="B31" s="235"/>
      <c r="C31" s="232"/>
      <c r="D31" s="232"/>
      <c r="E31" s="232"/>
      <c r="F31" s="232"/>
      <c r="G31" s="246" t="s">
        <v>99</v>
      </c>
      <c r="H31" s="252">
        <f>H29*B24</f>
        <v>1419905.6839781562</v>
      </c>
      <c r="I31" s="232"/>
      <c r="J31" s="238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</row>
    <row r="32" spans="1:53" ht="15.75" customHeight="1" x14ac:dyDescent="0.2">
      <c r="A32" s="129"/>
      <c r="B32" s="235"/>
      <c r="C32" s="232"/>
      <c r="D32" s="237"/>
      <c r="E32" s="232"/>
      <c r="F32" s="232"/>
      <c r="G32" s="246" t="s">
        <v>857</v>
      </c>
      <c r="H32" s="239">
        <f>H31/D26-1</f>
        <v>0.27719251726788352</v>
      </c>
      <c r="I32" s="232"/>
      <c r="J32" s="238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</row>
    <row r="33" spans="1:53" ht="15.75" customHeight="1" x14ac:dyDescent="0.2">
      <c r="A33" s="129"/>
      <c r="B33" s="235"/>
      <c r="C33" s="232"/>
      <c r="D33" s="237"/>
      <c r="E33" s="232"/>
      <c r="F33" s="232"/>
      <c r="G33" s="246" t="s">
        <v>858</v>
      </c>
      <c r="H33" s="239">
        <f>((1+H32)^(12/B24))-1</f>
        <v>8.4972644660717744E-2</v>
      </c>
      <c r="I33" s="239"/>
      <c r="J33" s="238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</row>
    <row r="34" spans="1:53" ht="15.75" customHeight="1" x14ac:dyDescent="0.2">
      <c r="A34" s="129"/>
      <c r="B34" s="257"/>
      <c r="C34" s="258"/>
      <c r="D34" s="258"/>
      <c r="E34" s="258"/>
      <c r="F34" s="258"/>
      <c r="G34" s="258"/>
      <c r="H34" s="258"/>
      <c r="I34" s="258"/>
      <c r="J34" s="25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</row>
    <row r="35" spans="1:53" ht="19.5" customHeight="1" x14ac:dyDescent="0.2">
      <c r="A35" s="129"/>
      <c r="B35" s="226">
        <v>48</v>
      </c>
      <c r="C35" s="227" t="s">
        <v>865</v>
      </c>
      <c r="D35" s="228"/>
      <c r="E35" s="229"/>
      <c r="F35" s="229"/>
      <c r="G35" s="229"/>
      <c r="H35" s="229"/>
      <c r="I35" s="229"/>
      <c r="J35" s="230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</row>
    <row r="36" spans="1:53" ht="15.75" customHeight="1" x14ac:dyDescent="0.2">
      <c r="A36" s="129"/>
      <c r="B36" s="235"/>
      <c r="C36" s="236" t="s">
        <v>849</v>
      </c>
      <c r="D36" s="237"/>
      <c r="E36" s="232"/>
      <c r="F36" s="232"/>
      <c r="G36" s="232"/>
      <c r="H36" s="232"/>
      <c r="I36" s="232"/>
      <c r="J36" s="238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</row>
    <row r="37" spans="1:53" ht="15.75" customHeight="1" x14ac:dyDescent="0.2">
      <c r="A37" s="129"/>
      <c r="B37" s="235"/>
      <c r="C37" s="236" t="s">
        <v>850</v>
      </c>
      <c r="D37" s="245">
        <f>('FLUJO 5 AÑOS (5Y)'!$B$5)/(1+(E41*(1+E40)))*SUPUESTOS!$C$17</f>
        <v>416902.40452616691</v>
      </c>
      <c r="E37" s="178" t="s">
        <v>851</v>
      </c>
      <c r="F37" s="232"/>
      <c r="G37" s="246" t="s">
        <v>846</v>
      </c>
      <c r="H37" s="245">
        <f>D38</f>
        <v>442125</v>
      </c>
      <c r="I37" s="232"/>
      <c r="J37" s="238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</row>
    <row r="38" spans="1:53" ht="15.75" customHeight="1" x14ac:dyDescent="0.2">
      <c r="A38" s="129"/>
      <c r="B38" s="235"/>
      <c r="C38" s="236" t="s">
        <v>852</v>
      </c>
      <c r="D38" s="247">
        <f>D37*(1+(E41*(1+E40)))</f>
        <v>442125</v>
      </c>
      <c r="E38" s="232"/>
      <c r="F38" s="232"/>
      <c r="G38" s="246" t="s">
        <v>845</v>
      </c>
      <c r="H38" s="248">
        <f>SUPUESTOS!$B$17</f>
        <v>0.13500000000000001</v>
      </c>
      <c r="I38" s="232"/>
      <c r="J38" s="238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</row>
    <row r="39" spans="1:53" ht="15.75" customHeight="1" x14ac:dyDescent="0.2">
      <c r="A39" s="129"/>
      <c r="B39" s="235"/>
      <c r="C39" s="236" t="s">
        <v>668</v>
      </c>
      <c r="D39" s="247">
        <f>D38-D37</f>
        <v>25222.595473833091</v>
      </c>
      <c r="E39" s="232"/>
      <c r="F39" s="232"/>
      <c r="G39" s="246" t="s">
        <v>853</v>
      </c>
      <c r="H39" s="249">
        <f>B35</f>
        <v>48</v>
      </c>
      <c r="I39" s="232"/>
      <c r="J39" s="238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</row>
    <row r="40" spans="1:53" ht="15.75" customHeight="1" x14ac:dyDescent="0.2">
      <c r="A40" s="129"/>
      <c r="B40" s="235"/>
      <c r="C40" s="236" t="s">
        <v>575</v>
      </c>
      <c r="D40" s="247">
        <f>D39-D41</f>
        <v>4377.4752475247515</v>
      </c>
      <c r="E40" s="250">
        <v>0.21</v>
      </c>
      <c r="F40" s="232"/>
      <c r="G40" s="246" t="s">
        <v>854</v>
      </c>
      <c r="H40" s="251">
        <f>-PMT((H38/12),H39,H37)</f>
        <v>11971.11928583836</v>
      </c>
      <c r="I40" s="232"/>
      <c r="J40" s="238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</row>
    <row r="41" spans="1:53" ht="15.75" customHeight="1" x14ac:dyDescent="0.2">
      <c r="A41" s="129"/>
      <c r="B41" s="235"/>
      <c r="C41" s="236" t="s">
        <v>855</v>
      </c>
      <c r="D41" s="245">
        <f>D39/(1+E40)</f>
        <v>20845.12022630834</v>
      </c>
      <c r="E41" s="250">
        <v>0.05</v>
      </c>
      <c r="F41" s="232"/>
      <c r="G41" s="232"/>
      <c r="H41" s="232"/>
      <c r="I41" s="232"/>
      <c r="J41" s="238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</row>
    <row r="42" spans="1:53" ht="15.75" customHeight="1" x14ac:dyDescent="0.2">
      <c r="A42" s="129"/>
      <c r="B42" s="235"/>
      <c r="C42" s="232"/>
      <c r="D42" s="232"/>
      <c r="E42" s="232"/>
      <c r="F42" s="232"/>
      <c r="G42" s="246" t="s">
        <v>99</v>
      </c>
      <c r="H42" s="252">
        <f>H40*B35</f>
        <v>574613.72572024132</v>
      </c>
      <c r="I42" s="232"/>
      <c r="J42" s="238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</row>
    <row r="43" spans="1:53" ht="15.75" customHeight="1" x14ac:dyDescent="0.2">
      <c r="A43" s="129"/>
      <c r="B43" s="235"/>
      <c r="C43" s="232"/>
      <c r="D43" s="237"/>
      <c r="E43" s="232"/>
      <c r="F43" s="232"/>
      <c r="G43" s="246" t="s">
        <v>866</v>
      </c>
      <c r="H43" s="239">
        <f>H42/D37-1</f>
        <v>0.37829314362751698</v>
      </c>
      <c r="I43" s="232"/>
      <c r="J43" s="238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</row>
    <row r="44" spans="1:53" ht="15.75" customHeight="1" x14ac:dyDescent="0.2">
      <c r="A44" s="129"/>
      <c r="B44" s="235"/>
      <c r="C44" s="232"/>
      <c r="D44" s="237"/>
      <c r="E44" s="232"/>
      <c r="F44" s="232"/>
      <c r="G44" s="246" t="s">
        <v>858</v>
      </c>
      <c r="H44" s="239">
        <f>((1+H43)^(12/B35))-1</f>
        <v>8.3516174937816601E-2</v>
      </c>
      <c r="I44" s="232"/>
      <c r="J44" s="238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</row>
    <row r="45" spans="1:53" ht="15.75" customHeight="1" x14ac:dyDescent="0.2">
      <c r="A45" s="129"/>
      <c r="B45" s="257"/>
      <c r="C45" s="258"/>
      <c r="D45" s="258"/>
      <c r="E45" s="258"/>
      <c r="F45" s="258"/>
      <c r="G45" s="258"/>
      <c r="H45" s="258"/>
      <c r="I45" s="258"/>
      <c r="J45" s="25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</row>
    <row r="46" spans="1:53" ht="19.5" customHeight="1" x14ac:dyDescent="0.2">
      <c r="A46" s="129"/>
      <c r="B46" s="226">
        <v>60</v>
      </c>
      <c r="C46" s="227" t="s">
        <v>867</v>
      </c>
      <c r="D46" s="228"/>
      <c r="E46" s="229"/>
      <c r="F46" s="229"/>
      <c r="G46" s="229"/>
      <c r="H46" s="229"/>
      <c r="I46" s="229"/>
      <c r="J46" s="230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</row>
    <row r="47" spans="1:53" ht="15.75" customHeight="1" x14ac:dyDescent="0.2">
      <c r="A47" s="129"/>
      <c r="B47" s="235"/>
      <c r="C47" s="236" t="s">
        <v>849</v>
      </c>
      <c r="D47" s="237"/>
      <c r="E47" s="232"/>
      <c r="F47" s="232"/>
      <c r="G47" s="232"/>
      <c r="H47" s="232"/>
      <c r="I47" s="232"/>
      <c r="J47" s="238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</row>
    <row r="48" spans="1:53" ht="15.75" customHeight="1" x14ac:dyDescent="0.2">
      <c r="A48" s="129"/>
      <c r="B48" s="235"/>
      <c r="C48" s="236" t="s">
        <v>850</v>
      </c>
      <c r="D48" s="245">
        <f>('FLUJO 5 AÑOS (5Y)'!$B$5)/(1+(E52*(1+E51)))*SUPUESTOS!$C$18</f>
        <v>277934.93635077792</v>
      </c>
      <c r="E48" s="178" t="s">
        <v>851</v>
      </c>
      <c r="F48" s="232"/>
      <c r="G48" s="246" t="s">
        <v>846</v>
      </c>
      <c r="H48" s="245">
        <f>D49</f>
        <v>294750</v>
      </c>
      <c r="I48" s="232"/>
      <c r="J48" s="238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</row>
    <row r="49" spans="1:53" ht="15.75" customHeight="1" x14ac:dyDescent="0.2">
      <c r="A49" s="129"/>
      <c r="B49" s="235"/>
      <c r="C49" s="236" t="s">
        <v>852</v>
      </c>
      <c r="D49" s="247">
        <f>D48*(1+(E52*(1+E51)))</f>
        <v>294750</v>
      </c>
      <c r="E49" s="232"/>
      <c r="F49" s="232"/>
      <c r="G49" s="246" t="s">
        <v>845</v>
      </c>
      <c r="H49" s="248">
        <f>SUPUESTOS!$B$18</f>
        <v>0.14499999999999999</v>
      </c>
      <c r="I49" s="232"/>
      <c r="J49" s="238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</row>
    <row r="50" spans="1:53" ht="15.75" customHeight="1" x14ac:dyDescent="0.2">
      <c r="A50" s="129"/>
      <c r="B50" s="235"/>
      <c r="C50" s="236" t="s">
        <v>668</v>
      </c>
      <c r="D50" s="247">
        <f>D49-D48</f>
        <v>16815.06364922208</v>
      </c>
      <c r="E50" s="232"/>
      <c r="F50" s="232"/>
      <c r="G50" s="246" t="s">
        <v>853</v>
      </c>
      <c r="H50" s="249">
        <f>B46</f>
        <v>60</v>
      </c>
      <c r="I50" s="232"/>
      <c r="J50" s="238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</row>
    <row r="51" spans="1:53" ht="15.75" customHeight="1" x14ac:dyDescent="0.2">
      <c r="A51" s="129"/>
      <c r="B51" s="235"/>
      <c r="C51" s="236" t="s">
        <v>575</v>
      </c>
      <c r="D51" s="247">
        <f>D50-D52</f>
        <v>2918.3168316831707</v>
      </c>
      <c r="E51" s="250">
        <v>0.21</v>
      </c>
      <c r="F51" s="232"/>
      <c r="G51" s="246" t="s">
        <v>854</v>
      </c>
      <c r="H51" s="251">
        <f>-PMT((H49/12),H50,H48)</f>
        <v>6934.9608485829149</v>
      </c>
      <c r="I51" s="232"/>
      <c r="J51" s="238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</row>
    <row r="52" spans="1:53" ht="15.75" customHeight="1" x14ac:dyDescent="0.2">
      <c r="A52" s="129"/>
      <c r="B52" s="235"/>
      <c r="C52" s="236" t="s">
        <v>855</v>
      </c>
      <c r="D52" s="245">
        <f>D50/(1+E51)</f>
        <v>13896.746817538909</v>
      </c>
      <c r="E52" s="250">
        <v>0.05</v>
      </c>
      <c r="F52" s="232"/>
      <c r="G52" s="232"/>
      <c r="H52" s="232"/>
      <c r="I52" s="232"/>
      <c r="J52" s="238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</row>
    <row r="53" spans="1:53" ht="15.75" customHeight="1" x14ac:dyDescent="0.2">
      <c r="A53" s="129"/>
      <c r="B53" s="235"/>
      <c r="C53" s="232"/>
      <c r="D53" s="232"/>
      <c r="E53" s="232"/>
      <c r="F53" s="232"/>
      <c r="G53" s="246" t="s">
        <v>99</v>
      </c>
      <c r="H53" s="252">
        <f>H51*B46</f>
        <v>416097.65091497492</v>
      </c>
      <c r="I53" s="232"/>
      <c r="J53" s="238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</row>
    <row r="54" spans="1:53" ht="15.75" customHeight="1" x14ac:dyDescent="0.2">
      <c r="A54" s="129"/>
      <c r="B54" s="235"/>
      <c r="C54" s="232"/>
      <c r="D54" s="237"/>
      <c r="E54" s="232"/>
      <c r="F54" s="232"/>
      <c r="G54" s="246" t="s">
        <v>866</v>
      </c>
      <c r="H54" s="239">
        <f>H53/D48-1</f>
        <v>0.49710452517499881</v>
      </c>
      <c r="I54" s="232"/>
      <c r="J54" s="238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</row>
    <row r="55" spans="1:53" ht="15.75" customHeight="1" x14ac:dyDescent="0.2">
      <c r="A55" s="129"/>
      <c r="B55" s="235"/>
      <c r="C55" s="232"/>
      <c r="D55" s="237"/>
      <c r="E55" s="232"/>
      <c r="F55" s="232"/>
      <c r="G55" s="246" t="s">
        <v>858</v>
      </c>
      <c r="H55" s="239">
        <f>((1+H54)^(12/B46))-1</f>
        <v>8.4052772791265218E-2</v>
      </c>
      <c r="I55" s="232"/>
      <c r="J55" s="238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</row>
    <row r="56" spans="1:53" ht="15.75" customHeight="1" x14ac:dyDescent="0.2">
      <c r="A56" s="129"/>
      <c r="B56" s="257"/>
      <c r="C56" s="258"/>
      <c r="D56" s="258"/>
      <c r="E56" s="258"/>
      <c r="F56" s="258"/>
      <c r="G56" s="258"/>
      <c r="H56" s="258"/>
      <c r="I56" s="258"/>
      <c r="J56" s="25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</row>
    <row r="57" spans="1:53" ht="12.75" customHeight="1" x14ac:dyDescent="0.2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</row>
    <row r="58" spans="1:53" ht="12.75" customHeight="1" x14ac:dyDescent="0.2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</row>
    <row r="59" spans="1:53" ht="12.75" customHeight="1" x14ac:dyDescent="0.2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</row>
    <row r="60" spans="1:53" ht="12.75" customHeight="1" x14ac:dyDescent="0.2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</row>
    <row r="61" spans="1:53" ht="12.75" customHeight="1" x14ac:dyDescent="0.2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</row>
    <row r="62" spans="1:53" ht="12.75" customHeight="1" x14ac:dyDescent="0.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</row>
    <row r="63" spans="1:53" ht="12.75" customHeight="1" x14ac:dyDescent="0.2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</row>
    <row r="64" spans="1:53" ht="12.75" customHeight="1" x14ac:dyDescent="0.2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</row>
    <row r="65" spans="1:53" ht="12.75" customHeight="1" x14ac:dyDescent="0.2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</row>
    <row r="66" spans="1:53" ht="12.75" customHeight="1" x14ac:dyDescent="0.2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</row>
    <row r="67" spans="1:53" ht="12.75" customHeight="1" x14ac:dyDescent="0.2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</row>
    <row r="68" spans="1:53" ht="12.75" customHeight="1" x14ac:dyDescent="0.2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</row>
    <row r="69" spans="1:53" ht="12.75" customHeight="1" x14ac:dyDescent="0.2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</row>
    <row r="70" spans="1:53" ht="12.75" customHeight="1" x14ac:dyDescent="0.2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</row>
    <row r="71" spans="1:53" ht="12.75" customHeight="1" x14ac:dyDescent="0.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</row>
    <row r="72" spans="1:53" ht="12.75" customHeight="1" x14ac:dyDescent="0.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</row>
    <row r="73" spans="1:53" ht="12.75" customHeight="1" x14ac:dyDescent="0.2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</row>
    <row r="74" spans="1:53" ht="12.75" customHeight="1" x14ac:dyDescent="0.2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</row>
    <row r="75" spans="1:53" ht="12.75" customHeight="1" x14ac:dyDescent="0.2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</row>
    <row r="76" spans="1:53" ht="12.75" customHeight="1" x14ac:dyDescent="0.2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</row>
    <row r="77" spans="1:53" ht="12.75" customHeight="1" x14ac:dyDescent="0.2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</row>
    <row r="78" spans="1:53" ht="12.75" customHeight="1" x14ac:dyDescent="0.2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</row>
    <row r="79" spans="1:53" ht="12.75" customHeight="1" x14ac:dyDescent="0.2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</row>
    <row r="80" spans="1:53" ht="12.75" customHeight="1" x14ac:dyDescent="0.2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</row>
    <row r="81" spans="1:53" ht="12.75" customHeight="1" x14ac:dyDescent="0.2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</row>
    <row r="82" spans="1:53" ht="12.75" customHeight="1" x14ac:dyDescent="0.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</row>
    <row r="83" spans="1:53" ht="12.75" customHeight="1" x14ac:dyDescent="0.2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</row>
    <row r="84" spans="1:53" ht="12.75" customHeight="1" x14ac:dyDescent="0.2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</row>
    <row r="85" spans="1:53" ht="12.75" customHeight="1" x14ac:dyDescent="0.2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</row>
    <row r="86" spans="1:53" ht="12.75" customHeight="1" x14ac:dyDescent="0.2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</row>
    <row r="87" spans="1:53" ht="12.75" customHeight="1" x14ac:dyDescent="0.2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</row>
    <row r="88" spans="1:53" ht="12.75" customHeight="1" x14ac:dyDescent="0.2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</row>
    <row r="89" spans="1:53" ht="12.75" customHeight="1" x14ac:dyDescent="0.2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</row>
    <row r="90" spans="1:53" ht="12.75" customHeight="1" x14ac:dyDescent="0.2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</row>
    <row r="91" spans="1:53" ht="12.75" customHeight="1" x14ac:dyDescent="0.2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</row>
    <row r="92" spans="1:53" ht="12.75" customHeight="1" x14ac:dyDescent="0.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</row>
    <row r="93" spans="1:53" ht="12.75" customHeight="1" x14ac:dyDescent="0.2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</row>
    <row r="94" spans="1:53" ht="12.75" customHeight="1" x14ac:dyDescent="0.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</row>
    <row r="95" spans="1:53" ht="12.75" customHeight="1" x14ac:dyDescent="0.2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</row>
    <row r="96" spans="1:53" ht="12.75" customHeight="1" x14ac:dyDescent="0.2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</row>
    <row r="97" spans="1:53" ht="12.75" customHeight="1" x14ac:dyDescent="0.2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</row>
    <row r="98" spans="1:53" ht="12.75" customHeight="1" x14ac:dyDescent="0.2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/>
      <c r="AY98" s="129"/>
      <c r="AZ98" s="129"/>
      <c r="BA98" s="129"/>
    </row>
    <row r="99" spans="1:53" ht="12.75" customHeight="1" x14ac:dyDescent="0.2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  <c r="AY99" s="129"/>
      <c r="AZ99" s="129"/>
      <c r="BA99" s="129"/>
    </row>
    <row r="100" spans="1:53" ht="12.75" customHeight="1" x14ac:dyDescent="0.2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</row>
    <row r="101" spans="1:53" ht="12.75" customHeight="1" x14ac:dyDescent="0.2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</row>
    <row r="102" spans="1:53" ht="12.75" customHeight="1" x14ac:dyDescent="0.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</row>
    <row r="103" spans="1:53" ht="12.75" customHeight="1" x14ac:dyDescent="0.2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</row>
    <row r="104" spans="1:53" ht="12.75" customHeight="1" x14ac:dyDescent="0.2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</row>
    <row r="105" spans="1:53" ht="12.75" customHeight="1" x14ac:dyDescent="0.2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</row>
    <row r="106" spans="1:53" ht="12.75" customHeight="1" x14ac:dyDescent="0.2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</row>
    <row r="107" spans="1:53" ht="12.75" customHeight="1" x14ac:dyDescent="0.2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9"/>
      <c r="AX107" s="129"/>
      <c r="AY107" s="129"/>
      <c r="AZ107" s="129"/>
      <c r="BA107" s="129"/>
    </row>
    <row r="108" spans="1:53" ht="12.75" customHeight="1" x14ac:dyDescent="0.2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/>
      <c r="AX108" s="129"/>
      <c r="AY108" s="129"/>
      <c r="AZ108" s="129"/>
      <c r="BA108" s="129"/>
    </row>
    <row r="109" spans="1:53" ht="12.75" customHeight="1" x14ac:dyDescent="0.2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</row>
    <row r="110" spans="1:53" ht="12.75" customHeight="1" x14ac:dyDescent="0.2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</row>
    <row r="111" spans="1:53" ht="12.75" customHeight="1" x14ac:dyDescent="0.2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</row>
    <row r="112" spans="1:53" ht="12.75" customHeight="1" x14ac:dyDescent="0.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9"/>
      <c r="AX112" s="129"/>
      <c r="AY112" s="129"/>
      <c r="AZ112" s="129"/>
      <c r="BA112" s="129"/>
    </row>
    <row r="113" spans="1:53" ht="12.75" customHeight="1" x14ac:dyDescent="0.2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</row>
    <row r="114" spans="1:53" ht="12.75" customHeight="1" x14ac:dyDescent="0.2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</row>
    <row r="115" spans="1:53" ht="12.75" customHeight="1" x14ac:dyDescent="0.2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</row>
    <row r="116" spans="1:53" ht="12.75" customHeight="1" x14ac:dyDescent="0.2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9"/>
      <c r="AX116" s="129"/>
      <c r="AY116" s="129"/>
      <c r="AZ116" s="129"/>
      <c r="BA116" s="129"/>
    </row>
    <row r="117" spans="1:53" ht="12.75" customHeight="1" x14ac:dyDescent="0.2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</row>
    <row r="118" spans="1:53" ht="12.75" customHeight="1" x14ac:dyDescent="0.2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9"/>
      <c r="AX118" s="129"/>
      <c r="AY118" s="129"/>
      <c r="AZ118" s="129"/>
      <c r="BA118" s="129"/>
    </row>
    <row r="119" spans="1:53" ht="12.75" customHeight="1" x14ac:dyDescent="0.2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9"/>
      <c r="AX119" s="129"/>
      <c r="AY119" s="129"/>
      <c r="AZ119" s="129"/>
      <c r="BA119" s="129"/>
    </row>
    <row r="120" spans="1:53" ht="12.75" customHeight="1" x14ac:dyDescent="0.2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</row>
    <row r="121" spans="1:53" ht="12.75" customHeight="1" x14ac:dyDescent="0.2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</row>
    <row r="122" spans="1:53" ht="12.75" customHeight="1" x14ac:dyDescent="0.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</row>
    <row r="123" spans="1:53" ht="12.75" customHeight="1" x14ac:dyDescent="0.2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</row>
    <row r="124" spans="1:53" ht="12.75" customHeight="1" x14ac:dyDescent="0.2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</row>
    <row r="125" spans="1:53" ht="12.75" customHeight="1" x14ac:dyDescent="0.2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</row>
    <row r="126" spans="1:53" ht="12.75" customHeight="1" x14ac:dyDescent="0.2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</row>
    <row r="127" spans="1:53" ht="12.75" customHeight="1" x14ac:dyDescent="0.2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</row>
    <row r="128" spans="1:53" ht="12.75" customHeight="1" x14ac:dyDescent="0.2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</row>
    <row r="129" spans="1:53" ht="12.75" customHeight="1" x14ac:dyDescent="0.2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</row>
    <row r="130" spans="1:53" ht="12.75" customHeight="1" x14ac:dyDescent="0.2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</row>
    <row r="131" spans="1:53" ht="12.75" customHeight="1" x14ac:dyDescent="0.2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</row>
    <row r="132" spans="1:53" ht="12.75" customHeight="1" x14ac:dyDescent="0.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</row>
    <row r="133" spans="1:53" ht="12.75" customHeight="1" x14ac:dyDescent="0.2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</row>
    <row r="134" spans="1:53" ht="12.75" customHeight="1" x14ac:dyDescent="0.2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</row>
    <row r="135" spans="1:53" ht="12.75" customHeight="1" x14ac:dyDescent="0.2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</row>
    <row r="136" spans="1:53" ht="12.75" customHeight="1" x14ac:dyDescent="0.2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</row>
    <row r="137" spans="1:53" ht="12.75" customHeight="1" x14ac:dyDescent="0.2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</row>
    <row r="138" spans="1:53" ht="12.75" customHeight="1" x14ac:dyDescent="0.2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</row>
    <row r="139" spans="1:53" ht="12.75" customHeight="1" x14ac:dyDescent="0.2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</row>
    <row r="140" spans="1:53" ht="12.75" customHeight="1" x14ac:dyDescent="0.2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</row>
    <row r="141" spans="1:53" ht="12.75" customHeight="1" x14ac:dyDescent="0.2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</row>
    <row r="142" spans="1:53" ht="12.75" customHeight="1" x14ac:dyDescent="0.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</row>
    <row r="143" spans="1:53" ht="12.75" customHeight="1" x14ac:dyDescent="0.2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</row>
    <row r="144" spans="1:53" ht="12.75" customHeight="1" x14ac:dyDescent="0.2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</row>
    <row r="145" spans="1:53" ht="12.75" customHeight="1" x14ac:dyDescent="0.2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</row>
    <row r="146" spans="1:53" ht="12.75" customHeight="1" x14ac:dyDescent="0.2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</row>
    <row r="147" spans="1:53" ht="12.75" customHeight="1" x14ac:dyDescent="0.2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</row>
    <row r="148" spans="1:53" ht="12.75" customHeight="1" x14ac:dyDescent="0.2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</row>
    <row r="149" spans="1:53" ht="12.75" customHeight="1" x14ac:dyDescent="0.2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</row>
    <row r="150" spans="1:53" ht="12.75" customHeight="1" x14ac:dyDescent="0.2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</row>
    <row r="151" spans="1:53" ht="12.75" customHeight="1" x14ac:dyDescent="0.2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</row>
    <row r="152" spans="1:53" ht="12.75" customHeight="1" x14ac:dyDescent="0.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</row>
    <row r="153" spans="1:53" ht="12.75" customHeight="1" x14ac:dyDescent="0.2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</row>
    <row r="154" spans="1:53" ht="12.75" customHeight="1" x14ac:dyDescent="0.2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</row>
    <row r="155" spans="1:53" ht="12.75" customHeight="1" x14ac:dyDescent="0.2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</row>
    <row r="156" spans="1:53" ht="12.75" customHeight="1" x14ac:dyDescent="0.2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</row>
    <row r="157" spans="1:53" ht="12.75" customHeight="1" x14ac:dyDescent="0.2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</row>
    <row r="158" spans="1:53" ht="12.75" customHeight="1" x14ac:dyDescent="0.2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</row>
    <row r="159" spans="1:53" ht="12.75" customHeight="1" x14ac:dyDescent="0.2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</row>
    <row r="160" spans="1:53" ht="12.75" customHeight="1" x14ac:dyDescent="0.2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</row>
    <row r="161" spans="1:53" ht="12.75" customHeight="1" x14ac:dyDescent="0.2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</row>
    <row r="162" spans="1:53" ht="12.75" customHeight="1" x14ac:dyDescent="0.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</row>
    <row r="163" spans="1:53" ht="12.75" customHeight="1" x14ac:dyDescent="0.2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</row>
    <row r="164" spans="1:53" ht="12.75" customHeight="1" x14ac:dyDescent="0.2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</row>
    <row r="165" spans="1:53" ht="12.75" customHeight="1" x14ac:dyDescent="0.2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</row>
    <row r="166" spans="1:53" ht="12.75" customHeight="1" x14ac:dyDescent="0.2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</row>
    <row r="167" spans="1:53" ht="12.75" customHeight="1" x14ac:dyDescent="0.2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</row>
    <row r="168" spans="1:53" ht="12.75" customHeight="1" x14ac:dyDescent="0.2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</row>
    <row r="169" spans="1:53" ht="12.75" customHeight="1" x14ac:dyDescent="0.2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</row>
    <row r="170" spans="1:53" ht="12.75" customHeight="1" x14ac:dyDescent="0.2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</row>
    <row r="171" spans="1:53" ht="12.75" customHeight="1" x14ac:dyDescent="0.2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</row>
    <row r="172" spans="1:53" ht="12.75" customHeight="1" x14ac:dyDescent="0.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</row>
    <row r="173" spans="1:53" ht="12.75" customHeight="1" x14ac:dyDescent="0.2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</row>
    <row r="174" spans="1:53" ht="12.75" customHeight="1" x14ac:dyDescent="0.2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</row>
    <row r="175" spans="1:53" ht="12.75" customHeight="1" x14ac:dyDescent="0.2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</row>
    <row r="176" spans="1:53" ht="12.75" customHeight="1" x14ac:dyDescent="0.2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</row>
    <row r="177" spans="1:53" ht="12.75" customHeight="1" x14ac:dyDescent="0.2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</row>
    <row r="178" spans="1:53" ht="12.75" customHeight="1" x14ac:dyDescent="0.2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9"/>
      <c r="AX178" s="129"/>
      <c r="AY178" s="129"/>
      <c r="AZ178" s="129"/>
      <c r="BA178" s="129"/>
    </row>
    <row r="179" spans="1:53" ht="12.75" customHeight="1" x14ac:dyDescent="0.2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</row>
    <row r="180" spans="1:53" ht="12.75" customHeight="1" x14ac:dyDescent="0.2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/>
      <c r="BA180" s="129"/>
    </row>
    <row r="181" spans="1:53" ht="12.75" customHeight="1" x14ac:dyDescent="0.2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</row>
    <row r="182" spans="1:53" ht="12.75" customHeight="1" x14ac:dyDescent="0.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</row>
    <row r="183" spans="1:53" ht="12.75" customHeight="1" x14ac:dyDescent="0.2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</row>
    <row r="184" spans="1:53" ht="12.75" customHeight="1" x14ac:dyDescent="0.2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</row>
    <row r="185" spans="1:53" ht="12.75" customHeight="1" x14ac:dyDescent="0.2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9"/>
      <c r="AX185" s="129"/>
      <c r="AY185" s="129"/>
      <c r="AZ185" s="129"/>
      <c r="BA185" s="129"/>
    </row>
    <row r="186" spans="1:53" ht="12.75" customHeight="1" x14ac:dyDescent="0.2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9"/>
      <c r="AX186" s="129"/>
      <c r="AY186" s="129"/>
      <c r="AZ186" s="129"/>
      <c r="BA186" s="129"/>
    </row>
    <row r="187" spans="1:53" ht="12.75" customHeight="1" x14ac:dyDescent="0.2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</row>
    <row r="188" spans="1:53" ht="12.75" customHeight="1" x14ac:dyDescent="0.2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</row>
    <row r="189" spans="1:53" ht="12.75" customHeight="1" x14ac:dyDescent="0.2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</row>
    <row r="190" spans="1:53" ht="12.75" customHeight="1" x14ac:dyDescent="0.2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</row>
    <row r="191" spans="1:53" ht="12.75" customHeight="1" x14ac:dyDescent="0.2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</row>
    <row r="192" spans="1:53" ht="12.75" customHeight="1" x14ac:dyDescent="0.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</row>
    <row r="193" spans="1:53" ht="12.75" customHeight="1" x14ac:dyDescent="0.2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</row>
    <row r="194" spans="1:53" ht="12.75" customHeight="1" x14ac:dyDescent="0.2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</row>
    <row r="195" spans="1:53" ht="12.75" customHeight="1" x14ac:dyDescent="0.2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</row>
    <row r="196" spans="1:53" ht="12.75" customHeight="1" x14ac:dyDescent="0.2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</row>
    <row r="197" spans="1:53" ht="12.75" customHeight="1" x14ac:dyDescent="0.2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</row>
    <row r="198" spans="1:53" ht="12.75" customHeight="1" x14ac:dyDescent="0.2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</row>
    <row r="199" spans="1:53" ht="12.75" customHeight="1" x14ac:dyDescent="0.2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</row>
    <row r="200" spans="1:53" ht="12.75" customHeight="1" x14ac:dyDescent="0.2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</row>
    <row r="201" spans="1:53" ht="12.75" customHeight="1" x14ac:dyDescent="0.2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</row>
    <row r="202" spans="1:53" ht="12.75" customHeight="1" x14ac:dyDescent="0.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</row>
    <row r="203" spans="1:53" ht="12.75" customHeight="1" x14ac:dyDescent="0.2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</row>
    <row r="204" spans="1:53" ht="12.75" customHeight="1" x14ac:dyDescent="0.2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</row>
    <row r="205" spans="1:53" ht="12.75" customHeight="1" x14ac:dyDescent="0.2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</row>
    <row r="206" spans="1:53" ht="12.75" customHeight="1" x14ac:dyDescent="0.2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</row>
    <row r="207" spans="1:53" ht="12.75" customHeight="1" x14ac:dyDescent="0.2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</row>
    <row r="208" spans="1:53" ht="12.75" customHeight="1" x14ac:dyDescent="0.2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</row>
    <row r="209" spans="1:53" ht="12.75" customHeight="1" x14ac:dyDescent="0.2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</row>
    <row r="210" spans="1:53" ht="12.75" customHeight="1" x14ac:dyDescent="0.2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</row>
    <row r="211" spans="1:53" ht="12.75" customHeight="1" x14ac:dyDescent="0.2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129"/>
      <c r="AZ211" s="129"/>
      <c r="BA211" s="129"/>
    </row>
    <row r="212" spans="1:53" ht="12.75" customHeight="1" x14ac:dyDescent="0.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</row>
    <row r="213" spans="1:53" ht="12.75" customHeight="1" x14ac:dyDescent="0.2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129"/>
      <c r="AZ213" s="129"/>
      <c r="BA213" s="129"/>
    </row>
    <row r="214" spans="1:53" ht="12.75" customHeight="1" x14ac:dyDescent="0.2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</row>
    <row r="215" spans="1:53" ht="12.75" customHeight="1" x14ac:dyDescent="0.2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9"/>
      <c r="AX215" s="129"/>
      <c r="AY215" s="129"/>
      <c r="AZ215" s="129"/>
      <c r="BA215" s="129"/>
    </row>
    <row r="216" spans="1:53" ht="12.75" customHeight="1" x14ac:dyDescent="0.2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9"/>
      <c r="AX216" s="129"/>
      <c r="AY216" s="129"/>
      <c r="AZ216" s="129"/>
      <c r="BA216" s="129"/>
    </row>
    <row r="217" spans="1:53" ht="12.75" customHeight="1" x14ac:dyDescent="0.2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9"/>
      <c r="AX217" s="129"/>
      <c r="AY217" s="129"/>
      <c r="AZ217" s="129"/>
      <c r="BA217" s="129"/>
    </row>
    <row r="218" spans="1:53" ht="12.75" customHeight="1" x14ac:dyDescent="0.2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9"/>
      <c r="AX218" s="129"/>
      <c r="AY218" s="129"/>
      <c r="AZ218" s="129"/>
      <c r="BA218" s="129"/>
    </row>
    <row r="219" spans="1:53" ht="12.75" customHeight="1" x14ac:dyDescent="0.2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9"/>
      <c r="AX219" s="129"/>
      <c r="AY219" s="129"/>
      <c r="AZ219" s="129"/>
      <c r="BA219" s="129"/>
    </row>
    <row r="220" spans="1:53" ht="12.75" customHeight="1" x14ac:dyDescent="0.2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/>
      <c r="AY220" s="129"/>
      <c r="AZ220" s="129"/>
      <c r="BA220" s="129"/>
    </row>
    <row r="221" spans="1:53" ht="12.75" customHeight="1" x14ac:dyDescent="0.2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9"/>
      <c r="AX221" s="129"/>
      <c r="AY221" s="129"/>
      <c r="AZ221" s="129"/>
      <c r="BA221" s="129"/>
    </row>
    <row r="222" spans="1:53" ht="12.75" customHeight="1" x14ac:dyDescent="0.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</row>
    <row r="223" spans="1:53" ht="12.75" customHeight="1" x14ac:dyDescent="0.2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9"/>
      <c r="AX223" s="129"/>
      <c r="AY223" s="129"/>
      <c r="AZ223" s="129"/>
      <c r="BA223" s="129"/>
    </row>
    <row r="224" spans="1:53" ht="12.75" customHeight="1" x14ac:dyDescent="0.2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9"/>
      <c r="AX224" s="129"/>
      <c r="AY224" s="129"/>
      <c r="AZ224" s="129"/>
      <c r="BA224" s="129"/>
    </row>
    <row r="225" spans="1:53" ht="12.75" customHeight="1" x14ac:dyDescent="0.2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9"/>
      <c r="AX225" s="129"/>
      <c r="AY225" s="129"/>
      <c r="AZ225" s="129"/>
      <c r="BA225" s="129"/>
    </row>
    <row r="226" spans="1:53" ht="12.75" customHeight="1" x14ac:dyDescent="0.2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9"/>
      <c r="AX226" s="129"/>
      <c r="AY226" s="129"/>
      <c r="AZ226" s="129"/>
      <c r="BA226" s="129"/>
    </row>
    <row r="227" spans="1:53" ht="12.75" customHeight="1" x14ac:dyDescent="0.2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</row>
    <row r="228" spans="1:53" ht="12.75" customHeight="1" x14ac:dyDescent="0.2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</row>
    <row r="229" spans="1:53" ht="12.75" customHeight="1" x14ac:dyDescent="0.2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</row>
    <row r="230" spans="1:53" ht="12.75" customHeight="1" x14ac:dyDescent="0.2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129"/>
      <c r="AZ230" s="129"/>
      <c r="BA230" s="129"/>
    </row>
    <row r="231" spans="1:53" ht="12.75" customHeight="1" x14ac:dyDescent="0.2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29"/>
      <c r="AZ231" s="129"/>
      <c r="BA231" s="129"/>
    </row>
    <row r="232" spans="1:53" ht="12.75" customHeight="1" x14ac:dyDescent="0.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</row>
    <row r="233" spans="1:53" ht="12.75" customHeight="1" x14ac:dyDescent="0.2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</row>
    <row r="234" spans="1:53" ht="12.75" customHeight="1" x14ac:dyDescent="0.2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</row>
    <row r="235" spans="1:53" ht="12.75" customHeight="1" x14ac:dyDescent="0.2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</row>
    <row r="236" spans="1:53" ht="12.75" customHeight="1" x14ac:dyDescent="0.2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</row>
    <row r="237" spans="1:53" ht="12.75" customHeight="1" x14ac:dyDescent="0.2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</row>
    <row r="238" spans="1:53" ht="12.75" customHeight="1" x14ac:dyDescent="0.2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</row>
    <row r="239" spans="1:53" ht="12.75" customHeight="1" x14ac:dyDescent="0.2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</row>
    <row r="240" spans="1:53" ht="12.75" customHeight="1" x14ac:dyDescent="0.2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</row>
    <row r="241" spans="1:53" ht="12.75" customHeight="1" x14ac:dyDescent="0.2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</row>
    <row r="242" spans="1:53" ht="12.75" customHeight="1" x14ac:dyDescent="0.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</row>
    <row r="243" spans="1:53" ht="12.75" customHeight="1" x14ac:dyDescent="0.2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</row>
    <row r="244" spans="1:53" ht="12.75" customHeight="1" x14ac:dyDescent="0.2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</row>
    <row r="245" spans="1:53" ht="12.75" customHeight="1" x14ac:dyDescent="0.2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</row>
    <row r="246" spans="1:53" ht="12.75" customHeight="1" x14ac:dyDescent="0.2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</row>
    <row r="247" spans="1:53" ht="12.75" customHeight="1" x14ac:dyDescent="0.2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</row>
    <row r="248" spans="1:53" ht="12.75" customHeight="1" x14ac:dyDescent="0.2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</row>
    <row r="249" spans="1:53" ht="12.75" customHeight="1" x14ac:dyDescent="0.2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</row>
    <row r="250" spans="1:53" ht="12.75" customHeight="1" x14ac:dyDescent="0.2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</row>
    <row r="251" spans="1:53" ht="12.75" customHeight="1" x14ac:dyDescent="0.2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</row>
    <row r="252" spans="1:53" ht="12.75" customHeight="1" x14ac:dyDescent="0.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</row>
    <row r="253" spans="1:53" ht="12.75" customHeight="1" x14ac:dyDescent="0.2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</row>
    <row r="254" spans="1:53" ht="12.75" customHeight="1" x14ac:dyDescent="0.2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</row>
    <row r="255" spans="1:53" ht="12.75" customHeight="1" x14ac:dyDescent="0.2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</row>
    <row r="256" spans="1:53" ht="12.75" customHeight="1" x14ac:dyDescent="0.2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</row>
    <row r="257" spans="1:53" ht="12.75" customHeight="1" x14ac:dyDescent="0.2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</row>
    <row r="258" spans="1:53" ht="12.75" customHeight="1" x14ac:dyDescent="0.2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</row>
    <row r="259" spans="1:53" ht="12.75" customHeight="1" x14ac:dyDescent="0.2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</row>
    <row r="260" spans="1:53" ht="12.75" customHeight="1" x14ac:dyDescent="0.2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</row>
    <row r="261" spans="1:53" ht="12.75" customHeight="1" x14ac:dyDescent="0.2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</row>
    <row r="262" spans="1:53" ht="12.75" customHeight="1" x14ac:dyDescent="0.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</row>
    <row r="263" spans="1:53" ht="12.75" customHeight="1" x14ac:dyDescent="0.2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</row>
    <row r="264" spans="1:53" ht="12.75" customHeight="1" x14ac:dyDescent="0.2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</row>
    <row r="265" spans="1:53" ht="12.75" customHeight="1" x14ac:dyDescent="0.2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</row>
    <row r="266" spans="1:53" ht="12.75" customHeight="1" x14ac:dyDescent="0.2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</row>
    <row r="267" spans="1:53" ht="12.75" customHeight="1" x14ac:dyDescent="0.2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</row>
    <row r="268" spans="1:53" ht="12.75" customHeight="1" x14ac:dyDescent="0.2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</row>
    <row r="269" spans="1:53" ht="12.75" customHeight="1" x14ac:dyDescent="0.2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9"/>
      <c r="AX269" s="129"/>
      <c r="AY269" s="129"/>
      <c r="AZ269" s="129"/>
      <c r="BA269" s="129"/>
    </row>
    <row r="270" spans="1:53" ht="12.75" customHeight="1" x14ac:dyDescent="0.2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9"/>
      <c r="AX270" s="129"/>
      <c r="AY270" s="129"/>
      <c r="AZ270" s="129"/>
      <c r="BA270" s="129"/>
    </row>
    <row r="271" spans="1:53" ht="12.75" customHeight="1" x14ac:dyDescent="0.2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9"/>
      <c r="AX271" s="129"/>
      <c r="AY271" s="129"/>
      <c r="AZ271" s="129"/>
      <c r="BA271" s="129"/>
    </row>
    <row r="272" spans="1:53" ht="12.75" customHeight="1" x14ac:dyDescent="0.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/>
      <c r="AX272" s="129"/>
      <c r="AY272" s="129"/>
      <c r="AZ272" s="129"/>
      <c r="BA272" s="129"/>
    </row>
    <row r="273" spans="1:53" ht="12.75" customHeight="1" x14ac:dyDescent="0.2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</row>
    <row r="274" spans="1:53" ht="12.75" customHeight="1" x14ac:dyDescent="0.2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9"/>
      <c r="AX274" s="129"/>
      <c r="AY274" s="129"/>
      <c r="AZ274" s="129"/>
      <c r="BA274" s="129"/>
    </row>
    <row r="275" spans="1:53" ht="12.75" customHeight="1" x14ac:dyDescent="0.2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9"/>
      <c r="AX275" s="129"/>
      <c r="AY275" s="129"/>
      <c r="AZ275" s="129"/>
      <c r="BA275" s="129"/>
    </row>
    <row r="276" spans="1:53" ht="12.75" customHeight="1" x14ac:dyDescent="0.2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</row>
    <row r="277" spans="1:53" ht="12.75" customHeight="1" x14ac:dyDescent="0.2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</row>
    <row r="278" spans="1:53" ht="12.75" customHeight="1" x14ac:dyDescent="0.2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</row>
    <row r="279" spans="1:53" ht="12.75" customHeight="1" x14ac:dyDescent="0.2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</row>
    <row r="280" spans="1:53" ht="12.75" customHeight="1" x14ac:dyDescent="0.2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</row>
    <row r="281" spans="1:53" ht="12.75" customHeight="1" x14ac:dyDescent="0.2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</row>
    <row r="282" spans="1:53" ht="12.75" customHeight="1" x14ac:dyDescent="0.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</row>
    <row r="283" spans="1:53" ht="12.75" customHeight="1" x14ac:dyDescent="0.2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</row>
    <row r="284" spans="1:53" ht="12.75" customHeight="1" x14ac:dyDescent="0.2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</row>
    <row r="285" spans="1:53" ht="12.75" customHeight="1" x14ac:dyDescent="0.2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</row>
    <row r="286" spans="1:53" ht="12.75" customHeight="1" x14ac:dyDescent="0.2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</row>
    <row r="287" spans="1:53" ht="12.75" customHeight="1" x14ac:dyDescent="0.2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</row>
    <row r="288" spans="1:53" ht="12.75" customHeight="1" x14ac:dyDescent="0.2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9"/>
      <c r="AX288" s="129"/>
      <c r="AY288" s="129"/>
      <c r="AZ288" s="129"/>
      <c r="BA288" s="129"/>
    </row>
    <row r="289" spans="1:53" ht="12.75" customHeight="1" x14ac:dyDescent="0.2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9"/>
      <c r="AX289" s="129"/>
      <c r="AY289" s="129"/>
      <c r="AZ289" s="129"/>
      <c r="BA289" s="129"/>
    </row>
    <row r="290" spans="1:53" ht="12.75" customHeight="1" x14ac:dyDescent="0.2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/>
      <c r="AQ290" s="129"/>
      <c r="AR290" s="129"/>
      <c r="AS290" s="129"/>
      <c r="AT290" s="129"/>
      <c r="AU290" s="129"/>
      <c r="AV290" s="129"/>
      <c r="AW290" s="129"/>
      <c r="AX290" s="129"/>
      <c r="AY290" s="129"/>
      <c r="AZ290" s="129"/>
      <c r="BA290" s="129"/>
    </row>
    <row r="291" spans="1:53" ht="12.75" customHeight="1" x14ac:dyDescent="0.2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9"/>
      <c r="AX291" s="129"/>
      <c r="AY291" s="129"/>
      <c r="AZ291" s="129"/>
      <c r="BA291" s="129"/>
    </row>
    <row r="292" spans="1:53" ht="12.75" customHeight="1" x14ac:dyDescent="0.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</row>
    <row r="293" spans="1:53" ht="12.75" customHeight="1" x14ac:dyDescent="0.2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9"/>
      <c r="AX293" s="129"/>
      <c r="AY293" s="129"/>
      <c r="AZ293" s="129"/>
      <c r="BA293" s="129"/>
    </row>
    <row r="294" spans="1:53" ht="12.75" customHeight="1" x14ac:dyDescent="0.2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9"/>
      <c r="AX294" s="129"/>
      <c r="AY294" s="129"/>
      <c r="AZ294" s="129"/>
      <c r="BA294" s="129"/>
    </row>
    <row r="295" spans="1:53" ht="12.75" customHeight="1" x14ac:dyDescent="0.2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129"/>
      <c r="AZ295" s="129"/>
      <c r="BA295" s="129"/>
    </row>
    <row r="296" spans="1:53" ht="12.75" customHeight="1" x14ac:dyDescent="0.2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129"/>
      <c r="AZ296" s="129"/>
      <c r="BA296" s="129"/>
    </row>
    <row r="297" spans="1:53" ht="12.75" customHeight="1" x14ac:dyDescent="0.2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129"/>
      <c r="AZ297" s="129"/>
      <c r="BA297" s="129"/>
    </row>
    <row r="298" spans="1:53" ht="12.75" customHeight="1" x14ac:dyDescent="0.2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9"/>
      <c r="AX298" s="129"/>
      <c r="AY298" s="129"/>
      <c r="AZ298" s="129"/>
      <c r="BA298" s="129"/>
    </row>
    <row r="299" spans="1:53" ht="12.75" customHeight="1" x14ac:dyDescent="0.2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</row>
    <row r="300" spans="1:53" ht="12.75" customHeight="1" x14ac:dyDescent="0.2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</row>
    <row r="301" spans="1:53" ht="12.75" customHeight="1" x14ac:dyDescent="0.2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</row>
    <row r="302" spans="1:53" ht="12.75" customHeight="1" x14ac:dyDescent="0.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</row>
    <row r="303" spans="1:53" ht="12.75" customHeight="1" x14ac:dyDescent="0.2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</row>
    <row r="304" spans="1:53" ht="12.75" customHeight="1" x14ac:dyDescent="0.2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</row>
    <row r="305" spans="1:53" ht="12.75" customHeight="1" x14ac:dyDescent="0.2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</row>
    <row r="306" spans="1:53" ht="12.75" customHeight="1" x14ac:dyDescent="0.2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</row>
    <row r="307" spans="1:53" ht="12.75" customHeight="1" x14ac:dyDescent="0.2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</row>
    <row r="308" spans="1:53" ht="12.75" customHeight="1" x14ac:dyDescent="0.2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</row>
    <row r="309" spans="1:53" ht="12.75" customHeight="1" x14ac:dyDescent="0.2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</row>
    <row r="310" spans="1:53" ht="12.75" customHeight="1" x14ac:dyDescent="0.2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</row>
    <row r="311" spans="1:53" ht="12.75" customHeight="1" x14ac:dyDescent="0.2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</row>
    <row r="312" spans="1:53" ht="12.75" customHeight="1" x14ac:dyDescent="0.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</row>
    <row r="313" spans="1:53" ht="12.75" customHeight="1" x14ac:dyDescent="0.2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</row>
    <row r="314" spans="1:53" ht="12.75" customHeight="1" x14ac:dyDescent="0.2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</row>
    <row r="315" spans="1:53" ht="12.75" customHeight="1" x14ac:dyDescent="0.2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</row>
    <row r="316" spans="1:53" ht="12.75" customHeight="1" x14ac:dyDescent="0.2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</row>
    <row r="317" spans="1:53" ht="12.75" customHeight="1" x14ac:dyDescent="0.2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</row>
    <row r="318" spans="1:53" ht="12.75" customHeight="1" x14ac:dyDescent="0.2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</row>
    <row r="319" spans="1:53" ht="12.75" customHeight="1" x14ac:dyDescent="0.2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</row>
    <row r="320" spans="1:53" ht="12.75" customHeight="1" x14ac:dyDescent="0.2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</row>
    <row r="321" spans="1:53" ht="12.75" customHeight="1" x14ac:dyDescent="0.2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</row>
    <row r="322" spans="1:53" ht="12.75" customHeight="1" x14ac:dyDescent="0.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</row>
    <row r="323" spans="1:53" ht="12.75" customHeight="1" x14ac:dyDescent="0.2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</row>
    <row r="324" spans="1:53" ht="12.75" customHeight="1" x14ac:dyDescent="0.2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</row>
    <row r="325" spans="1:53" ht="12.75" customHeight="1" x14ac:dyDescent="0.2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  <c r="AN325" s="129"/>
      <c r="AO325" s="129"/>
      <c r="AP325" s="129"/>
      <c r="AQ325" s="129"/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</row>
    <row r="326" spans="1:53" ht="12.75" customHeight="1" x14ac:dyDescent="0.2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</row>
    <row r="327" spans="1:53" ht="12.75" customHeight="1" x14ac:dyDescent="0.2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  <c r="AN327" s="129"/>
      <c r="AO327" s="129"/>
      <c r="AP327" s="129"/>
      <c r="AQ327" s="129"/>
      <c r="AR327" s="129"/>
      <c r="AS327" s="129"/>
      <c r="AT327" s="129"/>
      <c r="AU327" s="129"/>
      <c r="AV327" s="129"/>
      <c r="AW327" s="129"/>
      <c r="AX327" s="129"/>
      <c r="AY327" s="129"/>
      <c r="AZ327" s="129"/>
      <c r="BA327" s="129"/>
    </row>
    <row r="328" spans="1:53" ht="12.75" customHeight="1" x14ac:dyDescent="0.2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9"/>
      <c r="AX328" s="129"/>
      <c r="AY328" s="129"/>
      <c r="AZ328" s="129"/>
      <c r="BA328" s="129"/>
    </row>
    <row r="329" spans="1:53" ht="12.75" customHeight="1" x14ac:dyDescent="0.2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</row>
    <row r="330" spans="1:53" ht="12.75" customHeight="1" x14ac:dyDescent="0.2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</row>
    <row r="331" spans="1:53" ht="12.75" customHeight="1" x14ac:dyDescent="0.2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</row>
    <row r="332" spans="1:53" ht="12.75" customHeight="1" x14ac:dyDescent="0.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9"/>
      <c r="AX332" s="129"/>
      <c r="AY332" s="129"/>
      <c r="AZ332" s="129"/>
      <c r="BA332" s="129"/>
    </row>
    <row r="333" spans="1:53" ht="12.75" customHeight="1" x14ac:dyDescent="0.2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9"/>
      <c r="AX333" s="129"/>
      <c r="AY333" s="129"/>
      <c r="AZ333" s="129"/>
      <c r="BA333" s="129"/>
    </row>
    <row r="334" spans="1:53" ht="12.75" customHeight="1" x14ac:dyDescent="0.2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9"/>
      <c r="AX334" s="129"/>
      <c r="AY334" s="129"/>
      <c r="AZ334" s="129"/>
      <c r="BA334" s="129"/>
    </row>
    <row r="335" spans="1:53" ht="12.75" customHeight="1" x14ac:dyDescent="0.2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9"/>
      <c r="AX335" s="129"/>
      <c r="AY335" s="129"/>
      <c r="AZ335" s="129"/>
      <c r="BA335" s="129"/>
    </row>
    <row r="336" spans="1:53" ht="12.75" customHeight="1" x14ac:dyDescent="0.2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  <c r="AN336" s="129"/>
      <c r="AO336" s="129"/>
      <c r="AP336" s="129"/>
      <c r="AQ336" s="129"/>
      <c r="AR336" s="129"/>
      <c r="AS336" s="129"/>
      <c r="AT336" s="129"/>
      <c r="AU336" s="129"/>
      <c r="AV336" s="129"/>
      <c r="AW336" s="129"/>
      <c r="AX336" s="129"/>
      <c r="AY336" s="129"/>
      <c r="AZ336" s="129"/>
      <c r="BA336" s="129"/>
    </row>
    <row r="337" spans="1:53" ht="12.75" customHeight="1" x14ac:dyDescent="0.2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129"/>
      <c r="AQ337" s="129"/>
      <c r="AR337" s="129"/>
      <c r="AS337" s="129"/>
      <c r="AT337" s="129"/>
      <c r="AU337" s="129"/>
      <c r="AV337" s="129"/>
      <c r="AW337" s="129"/>
      <c r="AX337" s="129"/>
      <c r="AY337" s="129"/>
      <c r="AZ337" s="129"/>
      <c r="BA337" s="129"/>
    </row>
    <row r="338" spans="1:53" ht="12.75" customHeight="1" x14ac:dyDescent="0.2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129"/>
      <c r="AQ338" s="129"/>
      <c r="AR338" s="129"/>
      <c r="AS338" s="129"/>
      <c r="AT338" s="129"/>
      <c r="AU338" s="129"/>
      <c r="AV338" s="129"/>
      <c r="AW338" s="129"/>
      <c r="AX338" s="129"/>
      <c r="AY338" s="129"/>
      <c r="AZ338" s="129"/>
      <c r="BA338" s="129"/>
    </row>
    <row r="339" spans="1:53" ht="12.75" customHeight="1" x14ac:dyDescent="0.2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129"/>
      <c r="AQ339" s="129"/>
      <c r="AR339" s="129"/>
      <c r="AS339" s="129"/>
      <c r="AT339" s="129"/>
      <c r="AU339" s="129"/>
      <c r="AV339" s="129"/>
      <c r="AW339" s="129"/>
      <c r="AX339" s="129"/>
      <c r="AY339" s="129"/>
      <c r="AZ339" s="129"/>
      <c r="BA339" s="129"/>
    </row>
    <row r="340" spans="1:53" ht="12.75" customHeight="1" x14ac:dyDescent="0.2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129"/>
      <c r="AQ340" s="129"/>
      <c r="AR340" s="129"/>
      <c r="AS340" s="129"/>
      <c r="AT340" s="129"/>
      <c r="AU340" s="129"/>
      <c r="AV340" s="129"/>
      <c r="AW340" s="129"/>
      <c r="AX340" s="129"/>
      <c r="AY340" s="129"/>
      <c r="AZ340" s="129"/>
      <c r="BA340" s="129"/>
    </row>
    <row r="341" spans="1:53" ht="12.75" customHeight="1" x14ac:dyDescent="0.2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129"/>
      <c r="AQ341" s="129"/>
      <c r="AR341" s="129"/>
      <c r="AS341" s="129"/>
      <c r="AT341" s="129"/>
      <c r="AU341" s="129"/>
      <c r="AV341" s="129"/>
      <c r="AW341" s="129"/>
      <c r="AX341" s="129"/>
      <c r="AY341" s="129"/>
      <c r="AZ341" s="129"/>
      <c r="BA341" s="129"/>
    </row>
    <row r="342" spans="1:53" ht="12.75" customHeight="1" x14ac:dyDescent="0.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129"/>
      <c r="AQ342" s="129"/>
      <c r="AR342" s="129"/>
      <c r="AS342" s="129"/>
      <c r="AT342" s="129"/>
      <c r="AU342" s="129"/>
      <c r="AV342" s="129"/>
      <c r="AW342" s="129"/>
      <c r="AX342" s="129"/>
      <c r="AY342" s="129"/>
      <c r="AZ342" s="129"/>
      <c r="BA342" s="129"/>
    </row>
    <row r="343" spans="1:53" ht="12.75" customHeight="1" x14ac:dyDescent="0.2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129"/>
      <c r="AQ343" s="129"/>
      <c r="AR343" s="129"/>
      <c r="AS343" s="129"/>
      <c r="AT343" s="129"/>
      <c r="AU343" s="129"/>
      <c r="AV343" s="129"/>
      <c r="AW343" s="129"/>
      <c r="AX343" s="129"/>
      <c r="AY343" s="129"/>
      <c r="AZ343" s="129"/>
      <c r="BA343" s="129"/>
    </row>
    <row r="344" spans="1:53" ht="12.75" customHeight="1" x14ac:dyDescent="0.2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129"/>
      <c r="AQ344" s="129"/>
      <c r="AR344" s="129"/>
      <c r="AS344" s="129"/>
      <c r="AT344" s="129"/>
      <c r="AU344" s="129"/>
      <c r="AV344" s="129"/>
      <c r="AW344" s="129"/>
      <c r="AX344" s="129"/>
      <c r="AY344" s="129"/>
      <c r="AZ344" s="129"/>
      <c r="BA344" s="129"/>
    </row>
    <row r="345" spans="1:53" ht="12.75" customHeight="1" x14ac:dyDescent="0.2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129"/>
      <c r="AQ345" s="129"/>
      <c r="AR345" s="129"/>
      <c r="AS345" s="129"/>
      <c r="AT345" s="129"/>
      <c r="AU345" s="129"/>
      <c r="AV345" s="129"/>
      <c r="AW345" s="129"/>
      <c r="AX345" s="129"/>
      <c r="AY345" s="129"/>
      <c r="AZ345" s="129"/>
      <c r="BA345" s="129"/>
    </row>
    <row r="346" spans="1:53" ht="12.75" customHeight="1" x14ac:dyDescent="0.2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129"/>
      <c r="AQ346" s="129"/>
      <c r="AR346" s="129"/>
      <c r="AS346" s="129"/>
      <c r="AT346" s="129"/>
      <c r="AU346" s="129"/>
      <c r="AV346" s="129"/>
      <c r="AW346" s="129"/>
      <c r="AX346" s="129"/>
      <c r="AY346" s="129"/>
      <c r="AZ346" s="129"/>
      <c r="BA346" s="129"/>
    </row>
    <row r="347" spans="1:53" ht="12.75" customHeight="1" x14ac:dyDescent="0.2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129"/>
      <c r="AQ347" s="129"/>
      <c r="AR347" s="129"/>
      <c r="AS347" s="129"/>
      <c r="AT347" s="129"/>
      <c r="AU347" s="129"/>
      <c r="AV347" s="129"/>
      <c r="AW347" s="129"/>
      <c r="AX347" s="129"/>
      <c r="AY347" s="129"/>
      <c r="AZ347" s="129"/>
      <c r="BA347" s="129"/>
    </row>
    <row r="348" spans="1:53" ht="12.75" customHeight="1" x14ac:dyDescent="0.2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/>
      <c r="AX348" s="129"/>
      <c r="AY348" s="129"/>
      <c r="AZ348" s="129"/>
      <c r="BA348" s="129"/>
    </row>
    <row r="349" spans="1:53" ht="12.75" customHeight="1" x14ac:dyDescent="0.2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</row>
    <row r="350" spans="1:53" ht="12.75" customHeight="1" x14ac:dyDescent="0.2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129"/>
      <c r="AQ350" s="129"/>
      <c r="AR350" s="129"/>
      <c r="AS350" s="129"/>
      <c r="AT350" s="129"/>
      <c r="AU350" s="129"/>
      <c r="AV350" s="129"/>
      <c r="AW350" s="129"/>
      <c r="AX350" s="129"/>
      <c r="AY350" s="129"/>
      <c r="AZ350" s="129"/>
      <c r="BA350" s="129"/>
    </row>
    <row r="351" spans="1:53" ht="12.75" customHeight="1" x14ac:dyDescent="0.2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129"/>
      <c r="AQ351" s="129"/>
      <c r="AR351" s="129"/>
      <c r="AS351" s="129"/>
      <c r="AT351" s="129"/>
      <c r="AU351" s="129"/>
      <c r="AV351" s="129"/>
      <c r="AW351" s="129"/>
      <c r="AX351" s="129"/>
      <c r="AY351" s="129"/>
      <c r="AZ351" s="129"/>
      <c r="BA351" s="129"/>
    </row>
    <row r="352" spans="1:53" ht="12.75" customHeight="1" x14ac:dyDescent="0.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</row>
    <row r="353" spans="1:53" ht="12.75" customHeight="1" x14ac:dyDescent="0.2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</row>
    <row r="354" spans="1:53" ht="12.75" customHeight="1" x14ac:dyDescent="0.2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</row>
    <row r="355" spans="1:53" ht="12.75" customHeight="1" x14ac:dyDescent="0.2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</row>
    <row r="356" spans="1:53" ht="12.75" customHeight="1" x14ac:dyDescent="0.2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</row>
    <row r="357" spans="1:53" ht="12.75" customHeight="1" x14ac:dyDescent="0.2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</row>
    <row r="358" spans="1:53" ht="12.75" customHeight="1" x14ac:dyDescent="0.2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</row>
    <row r="359" spans="1:53" ht="12.75" customHeight="1" x14ac:dyDescent="0.2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</row>
    <row r="360" spans="1:53" ht="12.75" customHeight="1" x14ac:dyDescent="0.2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</row>
    <row r="361" spans="1:53" ht="12.75" customHeight="1" x14ac:dyDescent="0.2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</row>
    <row r="362" spans="1:53" ht="12.75" customHeight="1" x14ac:dyDescent="0.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/>
      <c r="AQ362" s="129"/>
      <c r="AR362" s="129"/>
      <c r="AS362" s="129"/>
      <c r="AT362" s="129"/>
      <c r="AU362" s="129"/>
      <c r="AV362" s="129"/>
      <c r="AW362" s="129"/>
      <c r="AX362" s="129"/>
      <c r="AY362" s="129"/>
      <c r="AZ362" s="129"/>
      <c r="BA362" s="129"/>
    </row>
    <row r="363" spans="1:53" ht="12.75" customHeight="1" x14ac:dyDescent="0.2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/>
      <c r="AQ363" s="129"/>
      <c r="AR363" s="129"/>
      <c r="AS363" s="129"/>
      <c r="AT363" s="129"/>
      <c r="AU363" s="129"/>
      <c r="AV363" s="129"/>
      <c r="AW363" s="129"/>
      <c r="AX363" s="129"/>
      <c r="AY363" s="129"/>
      <c r="AZ363" s="129"/>
      <c r="BA363" s="129"/>
    </row>
    <row r="364" spans="1:53" ht="12.75" customHeight="1" x14ac:dyDescent="0.2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129"/>
      <c r="AQ364" s="129"/>
      <c r="AR364" s="129"/>
      <c r="AS364" s="129"/>
      <c r="AT364" s="129"/>
      <c r="AU364" s="129"/>
      <c r="AV364" s="129"/>
      <c r="AW364" s="129"/>
      <c r="AX364" s="129"/>
      <c r="AY364" s="129"/>
      <c r="AZ364" s="129"/>
      <c r="BA364" s="129"/>
    </row>
    <row r="365" spans="1:53" ht="12.75" customHeight="1" x14ac:dyDescent="0.2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129"/>
      <c r="AQ365" s="129"/>
      <c r="AR365" s="129"/>
      <c r="AS365" s="129"/>
      <c r="AT365" s="129"/>
      <c r="AU365" s="129"/>
      <c r="AV365" s="129"/>
      <c r="AW365" s="129"/>
      <c r="AX365" s="129"/>
      <c r="AY365" s="129"/>
      <c r="AZ365" s="129"/>
      <c r="BA365" s="129"/>
    </row>
    <row r="366" spans="1:53" ht="12.75" customHeight="1" x14ac:dyDescent="0.2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129"/>
      <c r="AQ366" s="129"/>
      <c r="AR366" s="129"/>
      <c r="AS366" s="129"/>
      <c r="AT366" s="129"/>
      <c r="AU366" s="129"/>
      <c r="AV366" s="129"/>
      <c r="AW366" s="129"/>
      <c r="AX366" s="129"/>
      <c r="AY366" s="129"/>
      <c r="AZ366" s="129"/>
      <c r="BA366" s="129"/>
    </row>
    <row r="367" spans="1:53" ht="12.75" customHeight="1" x14ac:dyDescent="0.2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129"/>
      <c r="AQ367" s="129"/>
      <c r="AR367" s="129"/>
      <c r="AS367" s="129"/>
      <c r="AT367" s="129"/>
      <c r="AU367" s="129"/>
      <c r="AV367" s="129"/>
      <c r="AW367" s="129"/>
      <c r="AX367" s="129"/>
      <c r="AY367" s="129"/>
      <c r="AZ367" s="129"/>
      <c r="BA367" s="129"/>
    </row>
    <row r="368" spans="1:53" ht="12.75" customHeight="1" x14ac:dyDescent="0.2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/>
      <c r="AQ368" s="129"/>
      <c r="AR368" s="129"/>
      <c r="AS368" s="129"/>
      <c r="AT368" s="129"/>
      <c r="AU368" s="129"/>
      <c r="AV368" s="129"/>
      <c r="AW368" s="129"/>
      <c r="AX368" s="129"/>
      <c r="AY368" s="129"/>
      <c r="AZ368" s="129"/>
      <c r="BA368" s="129"/>
    </row>
    <row r="369" spans="1:53" ht="12.75" customHeight="1" x14ac:dyDescent="0.2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129"/>
      <c r="AQ369" s="129"/>
      <c r="AR369" s="129"/>
      <c r="AS369" s="129"/>
      <c r="AT369" s="129"/>
      <c r="AU369" s="129"/>
      <c r="AV369" s="129"/>
      <c r="AW369" s="129"/>
      <c r="AX369" s="129"/>
      <c r="AY369" s="129"/>
      <c r="AZ369" s="129"/>
      <c r="BA369" s="129"/>
    </row>
    <row r="370" spans="1:53" ht="12.75" customHeight="1" x14ac:dyDescent="0.2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129"/>
      <c r="AQ370" s="129"/>
      <c r="AR370" s="129"/>
      <c r="AS370" s="129"/>
      <c r="AT370" s="129"/>
      <c r="AU370" s="129"/>
      <c r="AV370" s="129"/>
      <c r="AW370" s="129"/>
      <c r="AX370" s="129"/>
      <c r="AY370" s="129"/>
      <c r="AZ370" s="129"/>
      <c r="BA370" s="129"/>
    </row>
    <row r="371" spans="1:53" ht="12.75" customHeight="1" x14ac:dyDescent="0.2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129"/>
      <c r="AQ371" s="129"/>
      <c r="AR371" s="129"/>
      <c r="AS371" s="129"/>
      <c r="AT371" s="129"/>
      <c r="AU371" s="129"/>
      <c r="AV371" s="129"/>
      <c r="AW371" s="129"/>
      <c r="AX371" s="129"/>
      <c r="AY371" s="129"/>
      <c r="AZ371" s="129"/>
      <c r="BA371" s="129"/>
    </row>
    <row r="372" spans="1:53" ht="12.75" customHeight="1" x14ac:dyDescent="0.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  <c r="AN372" s="129"/>
      <c r="AO372" s="129"/>
      <c r="AP372" s="129"/>
      <c r="AQ372" s="129"/>
      <c r="AR372" s="129"/>
      <c r="AS372" s="129"/>
      <c r="AT372" s="129"/>
      <c r="AU372" s="129"/>
      <c r="AV372" s="129"/>
      <c r="AW372" s="129"/>
      <c r="AX372" s="129"/>
      <c r="AY372" s="129"/>
      <c r="AZ372" s="129"/>
      <c r="BA372" s="129"/>
    </row>
    <row r="373" spans="1:53" ht="12.75" customHeight="1" x14ac:dyDescent="0.2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29"/>
      <c r="AO373" s="129"/>
      <c r="AP373" s="129"/>
      <c r="AQ373" s="129"/>
      <c r="AR373" s="129"/>
      <c r="AS373" s="129"/>
      <c r="AT373" s="129"/>
      <c r="AU373" s="129"/>
      <c r="AV373" s="129"/>
      <c r="AW373" s="129"/>
      <c r="AX373" s="129"/>
      <c r="AY373" s="129"/>
      <c r="AZ373" s="129"/>
      <c r="BA373" s="129"/>
    </row>
    <row r="374" spans="1:53" ht="12.75" customHeight="1" x14ac:dyDescent="0.2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  <c r="AN374" s="129"/>
      <c r="AO374" s="129"/>
      <c r="AP374" s="129"/>
      <c r="AQ374" s="129"/>
      <c r="AR374" s="129"/>
      <c r="AS374" s="129"/>
      <c r="AT374" s="129"/>
      <c r="AU374" s="129"/>
      <c r="AV374" s="129"/>
      <c r="AW374" s="129"/>
      <c r="AX374" s="129"/>
      <c r="AY374" s="129"/>
      <c r="AZ374" s="129"/>
      <c r="BA374" s="129"/>
    </row>
    <row r="375" spans="1:53" ht="12.75" customHeight="1" x14ac:dyDescent="0.2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/>
      <c r="AQ375" s="129"/>
      <c r="AR375" s="129"/>
      <c r="AS375" s="129"/>
      <c r="AT375" s="129"/>
      <c r="AU375" s="129"/>
      <c r="AV375" s="129"/>
      <c r="AW375" s="129"/>
      <c r="AX375" s="129"/>
      <c r="AY375" s="129"/>
      <c r="AZ375" s="129"/>
      <c r="BA375" s="129"/>
    </row>
    <row r="376" spans="1:53" ht="12.75" customHeight="1" x14ac:dyDescent="0.2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/>
      <c r="AQ376" s="129"/>
      <c r="AR376" s="129"/>
      <c r="AS376" s="129"/>
      <c r="AT376" s="129"/>
      <c r="AU376" s="129"/>
      <c r="AV376" s="129"/>
      <c r="AW376" s="129"/>
      <c r="AX376" s="129"/>
      <c r="AY376" s="129"/>
      <c r="AZ376" s="129"/>
      <c r="BA376" s="129"/>
    </row>
    <row r="377" spans="1:53" ht="12.75" customHeight="1" x14ac:dyDescent="0.2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  <c r="AN377" s="129"/>
      <c r="AO377" s="129"/>
      <c r="AP377" s="129"/>
      <c r="AQ377" s="129"/>
      <c r="AR377" s="129"/>
      <c r="AS377" s="129"/>
      <c r="AT377" s="129"/>
      <c r="AU377" s="129"/>
      <c r="AV377" s="129"/>
      <c r="AW377" s="129"/>
      <c r="AX377" s="129"/>
      <c r="AY377" s="129"/>
      <c r="AZ377" s="129"/>
      <c r="BA377" s="129"/>
    </row>
    <row r="378" spans="1:53" ht="12.75" customHeight="1" x14ac:dyDescent="0.2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  <c r="AN378" s="129"/>
      <c r="AO378" s="129"/>
      <c r="AP378" s="129"/>
      <c r="AQ378" s="129"/>
      <c r="AR378" s="129"/>
      <c r="AS378" s="129"/>
      <c r="AT378" s="129"/>
      <c r="AU378" s="129"/>
      <c r="AV378" s="129"/>
      <c r="AW378" s="129"/>
      <c r="AX378" s="129"/>
      <c r="AY378" s="129"/>
      <c r="AZ378" s="129"/>
      <c r="BA378" s="129"/>
    </row>
    <row r="379" spans="1:53" ht="12.75" customHeight="1" x14ac:dyDescent="0.2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  <c r="AN379" s="129"/>
      <c r="AO379" s="129"/>
      <c r="AP379" s="129"/>
      <c r="AQ379" s="129"/>
      <c r="AR379" s="129"/>
      <c r="AS379" s="129"/>
      <c r="AT379" s="129"/>
      <c r="AU379" s="129"/>
      <c r="AV379" s="129"/>
      <c r="AW379" s="129"/>
      <c r="AX379" s="129"/>
      <c r="AY379" s="129"/>
      <c r="AZ379" s="129"/>
      <c r="BA379" s="129"/>
    </row>
    <row r="380" spans="1:53" ht="12.75" customHeight="1" x14ac:dyDescent="0.2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  <c r="AN380" s="129"/>
      <c r="AO380" s="129"/>
      <c r="AP380" s="129"/>
      <c r="AQ380" s="129"/>
      <c r="AR380" s="129"/>
      <c r="AS380" s="129"/>
      <c r="AT380" s="129"/>
      <c r="AU380" s="129"/>
      <c r="AV380" s="129"/>
      <c r="AW380" s="129"/>
      <c r="AX380" s="129"/>
      <c r="AY380" s="129"/>
      <c r="AZ380" s="129"/>
      <c r="BA380" s="129"/>
    </row>
    <row r="381" spans="1:53" ht="12.75" customHeight="1" x14ac:dyDescent="0.2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/>
      <c r="AQ381" s="129"/>
      <c r="AR381" s="129"/>
      <c r="AS381" s="129"/>
      <c r="AT381" s="129"/>
      <c r="AU381" s="129"/>
      <c r="AV381" s="129"/>
      <c r="AW381" s="129"/>
      <c r="AX381" s="129"/>
      <c r="AY381" s="129"/>
      <c r="AZ381" s="129"/>
      <c r="BA381" s="129"/>
    </row>
    <row r="382" spans="1:53" ht="12.75" customHeight="1" x14ac:dyDescent="0.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/>
      <c r="AQ382" s="129"/>
      <c r="AR382" s="129"/>
      <c r="AS382" s="129"/>
      <c r="AT382" s="129"/>
      <c r="AU382" s="129"/>
      <c r="AV382" s="129"/>
      <c r="AW382" s="129"/>
      <c r="AX382" s="129"/>
      <c r="AY382" s="129"/>
      <c r="AZ382" s="129"/>
      <c r="BA382" s="129"/>
    </row>
    <row r="383" spans="1:53" ht="12.75" customHeight="1" x14ac:dyDescent="0.2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/>
      <c r="AQ383" s="129"/>
      <c r="AR383" s="129"/>
      <c r="AS383" s="129"/>
      <c r="AT383" s="129"/>
      <c r="AU383" s="129"/>
      <c r="AV383" s="129"/>
      <c r="AW383" s="129"/>
      <c r="AX383" s="129"/>
      <c r="AY383" s="129"/>
      <c r="AZ383" s="129"/>
      <c r="BA383" s="129"/>
    </row>
    <row r="384" spans="1:53" ht="12.75" customHeight="1" x14ac:dyDescent="0.2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  <c r="AN384" s="129"/>
      <c r="AO384" s="129"/>
      <c r="AP384" s="129"/>
      <c r="AQ384" s="129"/>
      <c r="AR384" s="129"/>
      <c r="AS384" s="129"/>
      <c r="AT384" s="129"/>
      <c r="AU384" s="129"/>
      <c r="AV384" s="129"/>
      <c r="AW384" s="129"/>
      <c r="AX384" s="129"/>
      <c r="AY384" s="129"/>
      <c r="AZ384" s="129"/>
      <c r="BA384" s="129"/>
    </row>
    <row r="385" spans="1:53" ht="12.75" customHeight="1" x14ac:dyDescent="0.2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  <c r="AN385" s="129"/>
      <c r="AO385" s="129"/>
      <c r="AP385" s="129"/>
      <c r="AQ385" s="129"/>
      <c r="AR385" s="129"/>
      <c r="AS385" s="129"/>
      <c r="AT385" s="129"/>
      <c r="AU385" s="129"/>
      <c r="AV385" s="129"/>
      <c r="AW385" s="129"/>
      <c r="AX385" s="129"/>
      <c r="AY385" s="129"/>
      <c r="AZ385" s="129"/>
      <c r="BA385" s="129"/>
    </row>
    <row r="386" spans="1:53" ht="12.75" customHeight="1" x14ac:dyDescent="0.2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/>
      <c r="AX386" s="129"/>
      <c r="AY386" s="129"/>
      <c r="AZ386" s="129"/>
      <c r="BA386" s="129"/>
    </row>
    <row r="387" spans="1:53" ht="12.75" customHeight="1" x14ac:dyDescent="0.2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</row>
    <row r="388" spans="1:53" ht="12.75" customHeight="1" x14ac:dyDescent="0.2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/>
      <c r="AQ388" s="129"/>
      <c r="AR388" s="129"/>
      <c r="AS388" s="129"/>
      <c r="AT388" s="129"/>
      <c r="AU388" s="129"/>
      <c r="AV388" s="129"/>
      <c r="AW388" s="129"/>
      <c r="AX388" s="129"/>
      <c r="AY388" s="129"/>
      <c r="AZ388" s="129"/>
      <c r="BA388" s="129"/>
    </row>
    <row r="389" spans="1:53" ht="12.75" customHeight="1" x14ac:dyDescent="0.2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  <c r="AN389" s="129"/>
      <c r="AO389" s="129"/>
      <c r="AP389" s="129"/>
      <c r="AQ389" s="129"/>
      <c r="AR389" s="129"/>
      <c r="AS389" s="129"/>
      <c r="AT389" s="129"/>
      <c r="AU389" s="129"/>
      <c r="AV389" s="129"/>
      <c r="AW389" s="129"/>
      <c r="AX389" s="129"/>
      <c r="AY389" s="129"/>
      <c r="AZ389" s="129"/>
      <c r="BA389" s="129"/>
    </row>
    <row r="390" spans="1:53" ht="12.75" customHeight="1" x14ac:dyDescent="0.2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</row>
    <row r="391" spans="1:53" ht="12.75" customHeight="1" x14ac:dyDescent="0.2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</row>
    <row r="392" spans="1:53" ht="12.75" customHeight="1" x14ac:dyDescent="0.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</row>
    <row r="393" spans="1:53" ht="12.75" customHeight="1" x14ac:dyDescent="0.2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</row>
    <row r="394" spans="1:53" ht="12.75" customHeight="1" x14ac:dyDescent="0.2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</row>
    <row r="395" spans="1:53" ht="12.75" customHeight="1" x14ac:dyDescent="0.2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</row>
    <row r="396" spans="1:53" ht="12.75" customHeight="1" x14ac:dyDescent="0.2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</row>
    <row r="397" spans="1:53" ht="12.75" customHeight="1" x14ac:dyDescent="0.2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</row>
    <row r="398" spans="1:53" ht="12.75" customHeight="1" x14ac:dyDescent="0.2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</row>
    <row r="399" spans="1:53" ht="12.75" customHeight="1" x14ac:dyDescent="0.2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</row>
    <row r="400" spans="1:53" ht="12.75" customHeight="1" x14ac:dyDescent="0.2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  <c r="AN400" s="129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</row>
    <row r="401" spans="1:53" ht="12.75" customHeight="1" x14ac:dyDescent="0.2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  <c r="AN401" s="129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</row>
    <row r="402" spans="1:53" ht="12.75" customHeight="1" x14ac:dyDescent="0.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</row>
    <row r="403" spans="1:53" ht="12.75" customHeight="1" x14ac:dyDescent="0.2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  <c r="AN403" s="129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</row>
    <row r="404" spans="1:53" ht="12.75" customHeight="1" x14ac:dyDescent="0.2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  <c r="AN404" s="129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</row>
    <row r="405" spans="1:53" ht="12.75" customHeight="1" x14ac:dyDescent="0.2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  <c r="AN405" s="129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</row>
    <row r="406" spans="1:53" ht="12.75" customHeight="1" x14ac:dyDescent="0.2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</row>
    <row r="407" spans="1:53" ht="12.75" customHeight="1" x14ac:dyDescent="0.2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  <c r="AN407" s="129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</row>
    <row r="408" spans="1:53" ht="12.75" customHeight="1" x14ac:dyDescent="0.2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  <c r="AN408" s="129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</row>
    <row r="409" spans="1:53" ht="12.75" customHeight="1" x14ac:dyDescent="0.2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  <c r="AN409" s="129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</row>
    <row r="410" spans="1:53" ht="12.75" customHeight="1" x14ac:dyDescent="0.2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  <c r="AN410" s="129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</row>
    <row r="411" spans="1:53" ht="12.75" customHeight="1" x14ac:dyDescent="0.2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  <c r="AN411" s="129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</row>
    <row r="412" spans="1:53" ht="12.75" customHeight="1" x14ac:dyDescent="0.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  <c r="AN412" s="129"/>
      <c r="AO412" s="129"/>
      <c r="AP412" s="129"/>
      <c r="AQ412" s="129"/>
      <c r="AR412" s="129"/>
      <c r="AS412" s="129"/>
      <c r="AT412" s="129"/>
      <c r="AU412" s="129"/>
      <c r="AV412" s="129"/>
      <c r="AW412" s="129"/>
      <c r="AX412" s="129"/>
      <c r="AY412" s="129"/>
      <c r="AZ412" s="129"/>
      <c r="BA412" s="129"/>
    </row>
    <row r="413" spans="1:53" ht="12.75" customHeight="1" x14ac:dyDescent="0.2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  <c r="AN413" s="129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</row>
    <row r="414" spans="1:53" ht="12.75" customHeight="1" x14ac:dyDescent="0.2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</row>
    <row r="415" spans="1:53" ht="12.75" customHeight="1" x14ac:dyDescent="0.2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  <c r="AN415" s="129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</row>
    <row r="416" spans="1:53" ht="12.75" customHeight="1" x14ac:dyDescent="0.2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  <c r="AN416" s="129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</row>
    <row r="417" spans="1:53" ht="12.75" customHeight="1" x14ac:dyDescent="0.2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  <c r="AN417" s="129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</row>
    <row r="418" spans="1:53" ht="12.75" customHeight="1" x14ac:dyDescent="0.2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  <c r="AN418" s="129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</row>
    <row r="419" spans="1:53" ht="12.75" customHeight="1" x14ac:dyDescent="0.2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  <c r="AN419" s="129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</row>
    <row r="420" spans="1:53" ht="12.75" customHeight="1" x14ac:dyDescent="0.2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</row>
    <row r="421" spans="1:53" ht="12.75" customHeight="1" x14ac:dyDescent="0.2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</row>
    <row r="422" spans="1:53" ht="12.75" customHeight="1" x14ac:dyDescent="0.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  <c r="AN422" s="129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</row>
    <row r="423" spans="1:53" ht="12.75" customHeight="1" x14ac:dyDescent="0.2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  <c r="AN423" s="129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</row>
    <row r="424" spans="1:53" ht="12.75" customHeight="1" x14ac:dyDescent="0.2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</row>
    <row r="425" spans="1:53" ht="12.75" customHeight="1" x14ac:dyDescent="0.2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</row>
    <row r="426" spans="1:53" ht="12.75" customHeight="1" x14ac:dyDescent="0.2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  <c r="AN426" s="129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</row>
    <row r="427" spans="1:53" ht="12.75" customHeight="1" x14ac:dyDescent="0.2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  <c r="AN427" s="129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</row>
    <row r="428" spans="1:53" ht="12.75" customHeight="1" x14ac:dyDescent="0.2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</row>
    <row r="429" spans="1:53" ht="12.75" customHeight="1" x14ac:dyDescent="0.2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</row>
    <row r="430" spans="1:53" ht="12.75" customHeight="1" x14ac:dyDescent="0.2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</row>
    <row r="431" spans="1:53" ht="12.75" customHeight="1" x14ac:dyDescent="0.2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</row>
    <row r="432" spans="1:53" ht="12.75" customHeight="1" x14ac:dyDescent="0.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</row>
    <row r="433" spans="1:53" ht="12.75" customHeight="1" x14ac:dyDescent="0.2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</row>
    <row r="434" spans="1:53" ht="12.75" customHeight="1" x14ac:dyDescent="0.2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</row>
    <row r="435" spans="1:53" ht="12.75" customHeight="1" x14ac:dyDescent="0.2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</row>
    <row r="436" spans="1:53" ht="12.75" customHeight="1" x14ac:dyDescent="0.2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</row>
    <row r="437" spans="1:53" ht="12.75" customHeight="1" x14ac:dyDescent="0.2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</row>
    <row r="438" spans="1:53" ht="12.75" customHeight="1" x14ac:dyDescent="0.2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</row>
    <row r="439" spans="1:53" ht="12.75" customHeight="1" x14ac:dyDescent="0.2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</row>
    <row r="440" spans="1:53" ht="12.75" customHeight="1" x14ac:dyDescent="0.2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</row>
    <row r="441" spans="1:53" ht="12.75" customHeight="1" x14ac:dyDescent="0.2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</row>
    <row r="442" spans="1:53" ht="12.75" customHeight="1" x14ac:dyDescent="0.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</row>
    <row r="443" spans="1:53" ht="12.75" customHeight="1" x14ac:dyDescent="0.2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</row>
    <row r="444" spans="1:53" ht="12.75" customHeight="1" x14ac:dyDescent="0.2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</row>
    <row r="445" spans="1:53" ht="12.75" customHeight="1" x14ac:dyDescent="0.2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</row>
    <row r="446" spans="1:53" ht="12.75" customHeight="1" x14ac:dyDescent="0.2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</row>
    <row r="447" spans="1:53" ht="12.75" customHeight="1" x14ac:dyDescent="0.2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/>
      <c r="AQ447" s="129"/>
      <c r="AR447" s="129"/>
      <c r="AS447" s="129"/>
      <c r="AT447" s="129"/>
      <c r="AU447" s="129"/>
      <c r="AV447" s="129"/>
      <c r="AW447" s="129"/>
      <c r="AX447" s="129"/>
      <c r="AY447" s="129"/>
      <c r="AZ447" s="129"/>
      <c r="BA447" s="129"/>
    </row>
    <row r="448" spans="1:53" ht="12.75" customHeight="1" x14ac:dyDescent="0.2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</row>
    <row r="449" spans="1:53" ht="12.75" customHeight="1" x14ac:dyDescent="0.2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</row>
    <row r="450" spans="1:53" ht="12.75" customHeight="1" x14ac:dyDescent="0.2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</row>
    <row r="451" spans="1:53" ht="12.75" customHeight="1" x14ac:dyDescent="0.2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/>
      <c r="AQ451" s="129"/>
      <c r="AR451" s="129"/>
      <c r="AS451" s="129"/>
      <c r="AT451" s="129"/>
      <c r="AU451" s="129"/>
      <c r="AV451" s="129"/>
      <c r="AW451" s="129"/>
      <c r="AX451" s="129"/>
      <c r="AY451" s="129"/>
      <c r="AZ451" s="129"/>
      <c r="BA451" s="129"/>
    </row>
    <row r="452" spans="1:53" ht="12.75" customHeight="1" x14ac:dyDescent="0.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  <c r="AP452" s="129"/>
      <c r="AQ452" s="129"/>
      <c r="AR452" s="129"/>
      <c r="AS452" s="129"/>
      <c r="AT452" s="129"/>
      <c r="AU452" s="129"/>
      <c r="AV452" s="129"/>
      <c r="AW452" s="129"/>
      <c r="AX452" s="129"/>
      <c r="AY452" s="129"/>
      <c r="AZ452" s="129"/>
      <c r="BA452" s="129"/>
    </row>
    <row r="453" spans="1:53" ht="12.75" customHeight="1" x14ac:dyDescent="0.2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  <c r="AP453" s="129"/>
      <c r="AQ453" s="129"/>
      <c r="AR453" s="129"/>
      <c r="AS453" s="129"/>
      <c r="AT453" s="129"/>
      <c r="AU453" s="129"/>
      <c r="AV453" s="129"/>
      <c r="AW453" s="129"/>
      <c r="AX453" s="129"/>
      <c r="AY453" s="129"/>
      <c r="AZ453" s="129"/>
      <c r="BA453" s="129"/>
    </row>
    <row r="454" spans="1:53" ht="12.75" customHeight="1" x14ac:dyDescent="0.2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  <c r="AP454" s="129"/>
      <c r="AQ454" s="129"/>
      <c r="AR454" s="129"/>
      <c r="AS454" s="129"/>
      <c r="AT454" s="129"/>
      <c r="AU454" s="129"/>
      <c r="AV454" s="129"/>
      <c r="AW454" s="129"/>
      <c r="AX454" s="129"/>
      <c r="AY454" s="129"/>
      <c r="AZ454" s="129"/>
      <c r="BA454" s="129"/>
    </row>
    <row r="455" spans="1:53" ht="12.75" customHeight="1" x14ac:dyDescent="0.2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29"/>
      <c r="AO455" s="129"/>
      <c r="AP455" s="129"/>
      <c r="AQ455" s="129"/>
      <c r="AR455" s="129"/>
      <c r="AS455" s="129"/>
      <c r="AT455" s="129"/>
      <c r="AU455" s="129"/>
      <c r="AV455" s="129"/>
      <c r="AW455" s="129"/>
      <c r="AX455" s="129"/>
      <c r="AY455" s="129"/>
      <c r="AZ455" s="129"/>
      <c r="BA455" s="129"/>
    </row>
    <row r="456" spans="1:53" ht="12.75" customHeight="1" x14ac:dyDescent="0.2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  <c r="AN456" s="129"/>
      <c r="AO456" s="129"/>
      <c r="AP456" s="129"/>
      <c r="AQ456" s="129"/>
      <c r="AR456" s="129"/>
      <c r="AS456" s="129"/>
      <c r="AT456" s="129"/>
      <c r="AU456" s="129"/>
      <c r="AV456" s="129"/>
      <c r="AW456" s="129"/>
      <c r="AX456" s="129"/>
      <c r="AY456" s="129"/>
      <c r="AZ456" s="129"/>
      <c r="BA456" s="129"/>
    </row>
    <row r="457" spans="1:53" ht="12.75" customHeight="1" x14ac:dyDescent="0.2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  <c r="AN457" s="129"/>
      <c r="AO457" s="129"/>
      <c r="AP457" s="129"/>
      <c r="AQ457" s="129"/>
      <c r="AR457" s="129"/>
      <c r="AS457" s="129"/>
      <c r="AT457" s="129"/>
      <c r="AU457" s="129"/>
      <c r="AV457" s="129"/>
      <c r="AW457" s="129"/>
      <c r="AX457" s="129"/>
      <c r="AY457" s="129"/>
      <c r="AZ457" s="129"/>
      <c r="BA457" s="129"/>
    </row>
    <row r="458" spans="1:53" ht="12.75" customHeight="1" x14ac:dyDescent="0.2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29"/>
      <c r="AO458" s="129"/>
      <c r="AP458" s="129"/>
      <c r="AQ458" s="129"/>
      <c r="AR458" s="129"/>
      <c r="AS458" s="129"/>
      <c r="AT458" s="129"/>
      <c r="AU458" s="129"/>
      <c r="AV458" s="129"/>
      <c r="AW458" s="129"/>
      <c r="AX458" s="129"/>
      <c r="AY458" s="129"/>
      <c r="AZ458" s="129"/>
      <c r="BA458" s="129"/>
    </row>
    <row r="459" spans="1:53" ht="12.75" customHeight="1" x14ac:dyDescent="0.2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  <c r="AN459" s="129"/>
      <c r="AO459" s="129"/>
      <c r="AP459" s="129"/>
      <c r="AQ459" s="129"/>
      <c r="AR459" s="129"/>
      <c r="AS459" s="129"/>
      <c r="AT459" s="129"/>
      <c r="AU459" s="129"/>
      <c r="AV459" s="129"/>
      <c r="AW459" s="129"/>
      <c r="AX459" s="129"/>
      <c r="AY459" s="129"/>
      <c r="AZ459" s="129"/>
      <c r="BA459" s="129"/>
    </row>
    <row r="460" spans="1:53" ht="12.75" customHeight="1" x14ac:dyDescent="0.2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  <c r="AN460" s="129"/>
      <c r="AO460" s="129"/>
      <c r="AP460" s="129"/>
      <c r="AQ460" s="129"/>
      <c r="AR460" s="129"/>
      <c r="AS460" s="129"/>
      <c r="AT460" s="129"/>
      <c r="AU460" s="129"/>
      <c r="AV460" s="129"/>
      <c r="AW460" s="129"/>
      <c r="AX460" s="129"/>
      <c r="AY460" s="129"/>
      <c r="AZ460" s="129"/>
      <c r="BA460" s="129"/>
    </row>
    <row r="461" spans="1:53" ht="12.75" customHeight="1" x14ac:dyDescent="0.2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  <c r="AN461" s="129"/>
      <c r="AO461" s="129"/>
      <c r="AP461" s="129"/>
      <c r="AQ461" s="129"/>
      <c r="AR461" s="129"/>
      <c r="AS461" s="129"/>
      <c r="AT461" s="129"/>
      <c r="AU461" s="129"/>
      <c r="AV461" s="129"/>
      <c r="AW461" s="129"/>
      <c r="AX461" s="129"/>
      <c r="AY461" s="129"/>
      <c r="AZ461" s="129"/>
      <c r="BA461" s="129"/>
    </row>
    <row r="462" spans="1:53" ht="12.75" customHeight="1" x14ac:dyDescent="0.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/>
      <c r="AX462" s="129"/>
      <c r="AY462" s="129"/>
      <c r="AZ462" s="129"/>
      <c r="BA462" s="129"/>
    </row>
    <row r="463" spans="1:53" ht="12.75" customHeight="1" x14ac:dyDescent="0.2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</row>
    <row r="464" spans="1:53" ht="12.75" customHeight="1" x14ac:dyDescent="0.2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  <c r="AN464" s="129"/>
      <c r="AO464" s="129"/>
      <c r="AP464" s="129"/>
      <c r="AQ464" s="129"/>
      <c r="AR464" s="129"/>
      <c r="AS464" s="129"/>
      <c r="AT464" s="129"/>
      <c r="AU464" s="129"/>
      <c r="AV464" s="129"/>
      <c r="AW464" s="129"/>
      <c r="AX464" s="129"/>
      <c r="AY464" s="129"/>
      <c r="AZ464" s="129"/>
      <c r="BA464" s="129"/>
    </row>
    <row r="465" spans="1:53" ht="12.75" customHeight="1" x14ac:dyDescent="0.2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  <c r="AN465" s="129"/>
      <c r="AO465" s="129"/>
      <c r="AP465" s="129"/>
      <c r="AQ465" s="129"/>
      <c r="AR465" s="129"/>
      <c r="AS465" s="129"/>
      <c r="AT465" s="129"/>
      <c r="AU465" s="129"/>
      <c r="AV465" s="129"/>
      <c r="AW465" s="129"/>
      <c r="AX465" s="129"/>
      <c r="AY465" s="129"/>
      <c r="AZ465" s="129"/>
      <c r="BA465" s="129"/>
    </row>
    <row r="466" spans="1:53" ht="12.75" customHeight="1" x14ac:dyDescent="0.2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</row>
    <row r="467" spans="1:53" ht="12.75" customHeight="1" x14ac:dyDescent="0.2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</row>
    <row r="468" spans="1:53" ht="12.75" customHeight="1" x14ac:dyDescent="0.2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</row>
    <row r="469" spans="1:53" ht="12.75" customHeight="1" x14ac:dyDescent="0.2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</row>
    <row r="470" spans="1:53" ht="12.75" customHeight="1" x14ac:dyDescent="0.2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</row>
    <row r="471" spans="1:53" ht="12.75" customHeight="1" x14ac:dyDescent="0.2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</row>
    <row r="472" spans="1:53" ht="12.75" customHeight="1" x14ac:dyDescent="0.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</row>
    <row r="473" spans="1:53" ht="12.75" customHeight="1" x14ac:dyDescent="0.2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</row>
    <row r="474" spans="1:53" ht="12.75" customHeight="1" x14ac:dyDescent="0.2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</row>
    <row r="475" spans="1:53" ht="12.75" customHeight="1" x14ac:dyDescent="0.2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</row>
    <row r="476" spans="1:53" ht="12.75" customHeight="1" x14ac:dyDescent="0.2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  <c r="AN476" s="129"/>
      <c r="AO476" s="129"/>
      <c r="AP476" s="129"/>
      <c r="AQ476" s="129"/>
      <c r="AR476" s="129"/>
      <c r="AS476" s="129"/>
      <c r="AT476" s="129"/>
      <c r="AU476" s="129"/>
      <c r="AV476" s="129"/>
      <c r="AW476" s="129"/>
      <c r="AX476" s="129"/>
      <c r="AY476" s="129"/>
      <c r="AZ476" s="129"/>
      <c r="BA476" s="129"/>
    </row>
    <row r="477" spans="1:53" ht="12.75" customHeight="1" x14ac:dyDescent="0.2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  <c r="AN477" s="129"/>
      <c r="AO477" s="129"/>
      <c r="AP477" s="129"/>
      <c r="AQ477" s="129"/>
      <c r="AR477" s="129"/>
      <c r="AS477" s="129"/>
      <c r="AT477" s="129"/>
      <c r="AU477" s="129"/>
      <c r="AV477" s="129"/>
      <c r="AW477" s="129"/>
      <c r="AX477" s="129"/>
      <c r="AY477" s="129"/>
      <c r="AZ477" s="129"/>
      <c r="BA477" s="129"/>
    </row>
    <row r="478" spans="1:53" ht="12.75" customHeight="1" x14ac:dyDescent="0.2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  <c r="AN478" s="129"/>
      <c r="AO478" s="129"/>
      <c r="AP478" s="129"/>
      <c r="AQ478" s="129"/>
      <c r="AR478" s="129"/>
      <c r="AS478" s="129"/>
      <c r="AT478" s="129"/>
      <c r="AU478" s="129"/>
      <c r="AV478" s="129"/>
      <c r="AW478" s="129"/>
      <c r="AX478" s="129"/>
      <c r="AY478" s="129"/>
      <c r="AZ478" s="129"/>
      <c r="BA478" s="129"/>
    </row>
    <row r="479" spans="1:53" ht="12.75" customHeight="1" x14ac:dyDescent="0.2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  <c r="AN479" s="129"/>
      <c r="AO479" s="129"/>
      <c r="AP479" s="129"/>
      <c r="AQ479" s="129"/>
      <c r="AR479" s="129"/>
      <c r="AS479" s="129"/>
      <c r="AT479" s="129"/>
      <c r="AU479" s="129"/>
      <c r="AV479" s="129"/>
      <c r="AW479" s="129"/>
      <c r="AX479" s="129"/>
      <c r="AY479" s="129"/>
      <c r="AZ479" s="129"/>
      <c r="BA479" s="129"/>
    </row>
    <row r="480" spans="1:53" ht="12.75" customHeight="1" x14ac:dyDescent="0.2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  <c r="AN480" s="129"/>
      <c r="AO480" s="129"/>
      <c r="AP480" s="129"/>
      <c r="AQ480" s="129"/>
      <c r="AR480" s="129"/>
      <c r="AS480" s="129"/>
      <c r="AT480" s="129"/>
      <c r="AU480" s="129"/>
      <c r="AV480" s="129"/>
      <c r="AW480" s="129"/>
      <c r="AX480" s="129"/>
      <c r="AY480" s="129"/>
      <c r="AZ480" s="129"/>
      <c r="BA480" s="129"/>
    </row>
    <row r="481" spans="1:53" ht="12.75" customHeight="1" x14ac:dyDescent="0.2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/>
      <c r="AQ481" s="129"/>
      <c r="AR481" s="129"/>
      <c r="AS481" s="129"/>
      <c r="AT481" s="129"/>
      <c r="AU481" s="129"/>
      <c r="AV481" s="129"/>
      <c r="AW481" s="129"/>
      <c r="AX481" s="129"/>
      <c r="AY481" s="129"/>
      <c r="AZ481" s="129"/>
      <c r="BA481" s="129"/>
    </row>
    <row r="482" spans="1:53" ht="12.75" customHeight="1" x14ac:dyDescent="0.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/>
      <c r="AQ482" s="129"/>
      <c r="AR482" s="129"/>
      <c r="AS482" s="129"/>
      <c r="AT482" s="129"/>
      <c r="AU482" s="129"/>
      <c r="AV482" s="129"/>
      <c r="AW482" s="129"/>
      <c r="AX482" s="129"/>
      <c r="AY482" s="129"/>
      <c r="AZ482" s="129"/>
      <c r="BA482" s="129"/>
    </row>
    <row r="483" spans="1:53" ht="12.75" customHeight="1" x14ac:dyDescent="0.2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129"/>
      <c r="AZ483" s="129"/>
      <c r="BA483" s="129"/>
    </row>
    <row r="484" spans="1:53" ht="12.75" customHeight="1" x14ac:dyDescent="0.2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129"/>
      <c r="AZ484" s="129"/>
      <c r="BA484" s="129"/>
    </row>
    <row r="485" spans="1:53" ht="12.75" customHeight="1" x14ac:dyDescent="0.2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129"/>
      <c r="AZ485" s="129"/>
      <c r="BA485" s="129"/>
    </row>
    <row r="486" spans="1:53" ht="12.75" customHeight="1" x14ac:dyDescent="0.2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/>
      <c r="AQ486" s="129"/>
      <c r="AR486" s="129"/>
      <c r="AS486" s="129"/>
      <c r="AT486" s="129"/>
      <c r="AU486" s="129"/>
      <c r="AV486" s="129"/>
      <c r="AW486" s="129"/>
      <c r="AX486" s="129"/>
      <c r="AY486" s="129"/>
      <c r="AZ486" s="129"/>
      <c r="BA486" s="129"/>
    </row>
    <row r="487" spans="1:53" ht="12.75" customHeight="1" x14ac:dyDescent="0.2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/>
      <c r="AQ487" s="129"/>
      <c r="AR487" s="129"/>
      <c r="AS487" s="129"/>
      <c r="AT487" s="129"/>
      <c r="AU487" s="129"/>
      <c r="AV487" s="129"/>
      <c r="AW487" s="129"/>
      <c r="AX487" s="129"/>
      <c r="AY487" s="129"/>
      <c r="AZ487" s="129"/>
      <c r="BA487" s="129"/>
    </row>
    <row r="488" spans="1:53" ht="12.75" customHeight="1" x14ac:dyDescent="0.2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/>
      <c r="AQ488" s="129"/>
      <c r="AR488" s="129"/>
      <c r="AS488" s="129"/>
      <c r="AT488" s="129"/>
      <c r="AU488" s="129"/>
      <c r="AV488" s="129"/>
      <c r="AW488" s="129"/>
      <c r="AX488" s="129"/>
      <c r="AY488" s="129"/>
      <c r="AZ488" s="129"/>
      <c r="BA488" s="129"/>
    </row>
    <row r="489" spans="1:53" ht="12.75" customHeight="1" x14ac:dyDescent="0.2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/>
      <c r="AQ489" s="129"/>
      <c r="AR489" s="129"/>
      <c r="AS489" s="129"/>
      <c r="AT489" s="129"/>
      <c r="AU489" s="129"/>
      <c r="AV489" s="129"/>
      <c r="AW489" s="129"/>
      <c r="AX489" s="129"/>
      <c r="AY489" s="129"/>
      <c r="AZ489" s="129"/>
      <c r="BA489" s="129"/>
    </row>
    <row r="490" spans="1:53" ht="12.75" customHeight="1" x14ac:dyDescent="0.2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/>
      <c r="AQ490" s="129"/>
      <c r="AR490" s="129"/>
      <c r="AS490" s="129"/>
      <c r="AT490" s="129"/>
      <c r="AU490" s="129"/>
      <c r="AV490" s="129"/>
      <c r="AW490" s="129"/>
      <c r="AX490" s="129"/>
      <c r="AY490" s="129"/>
      <c r="AZ490" s="129"/>
      <c r="BA490" s="129"/>
    </row>
    <row r="491" spans="1:53" ht="12.75" customHeight="1" x14ac:dyDescent="0.2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/>
      <c r="AQ491" s="129"/>
      <c r="AR491" s="129"/>
      <c r="AS491" s="129"/>
      <c r="AT491" s="129"/>
      <c r="AU491" s="129"/>
      <c r="AV491" s="129"/>
      <c r="AW491" s="129"/>
      <c r="AX491" s="129"/>
      <c r="AY491" s="129"/>
      <c r="AZ491" s="129"/>
      <c r="BA491" s="129"/>
    </row>
    <row r="492" spans="1:53" ht="12.75" customHeight="1" x14ac:dyDescent="0.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/>
      <c r="AQ492" s="129"/>
      <c r="AR492" s="129"/>
      <c r="AS492" s="129"/>
      <c r="AT492" s="129"/>
      <c r="AU492" s="129"/>
      <c r="AV492" s="129"/>
      <c r="AW492" s="129"/>
      <c r="AX492" s="129"/>
      <c r="AY492" s="129"/>
      <c r="AZ492" s="129"/>
      <c r="BA492" s="129"/>
    </row>
    <row r="493" spans="1:53" ht="12.75" customHeight="1" x14ac:dyDescent="0.2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/>
      <c r="AQ493" s="129"/>
      <c r="AR493" s="129"/>
      <c r="AS493" s="129"/>
      <c r="AT493" s="129"/>
      <c r="AU493" s="129"/>
      <c r="AV493" s="129"/>
      <c r="AW493" s="129"/>
      <c r="AX493" s="129"/>
      <c r="AY493" s="129"/>
      <c r="AZ493" s="129"/>
      <c r="BA493" s="129"/>
    </row>
    <row r="494" spans="1:53" ht="12.75" customHeight="1" x14ac:dyDescent="0.2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/>
      <c r="AQ494" s="129"/>
      <c r="AR494" s="129"/>
      <c r="AS494" s="129"/>
      <c r="AT494" s="129"/>
      <c r="AU494" s="129"/>
      <c r="AV494" s="129"/>
      <c r="AW494" s="129"/>
      <c r="AX494" s="129"/>
      <c r="AY494" s="129"/>
      <c r="AZ494" s="129"/>
      <c r="BA494" s="129"/>
    </row>
    <row r="495" spans="1:53" ht="12.75" customHeight="1" x14ac:dyDescent="0.2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/>
      <c r="AQ495" s="129"/>
      <c r="AR495" s="129"/>
      <c r="AS495" s="129"/>
      <c r="AT495" s="129"/>
      <c r="AU495" s="129"/>
      <c r="AV495" s="129"/>
      <c r="AW495" s="129"/>
      <c r="AX495" s="129"/>
      <c r="AY495" s="129"/>
      <c r="AZ495" s="129"/>
      <c r="BA495" s="129"/>
    </row>
    <row r="496" spans="1:53" ht="12.75" customHeight="1" x14ac:dyDescent="0.2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/>
      <c r="AQ496" s="129"/>
      <c r="AR496" s="129"/>
      <c r="AS496" s="129"/>
      <c r="AT496" s="129"/>
      <c r="AU496" s="129"/>
      <c r="AV496" s="129"/>
      <c r="AW496" s="129"/>
      <c r="AX496" s="129"/>
      <c r="AY496" s="129"/>
      <c r="AZ496" s="129"/>
      <c r="BA496" s="129"/>
    </row>
    <row r="497" spans="1:53" ht="12.75" customHeight="1" x14ac:dyDescent="0.2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/>
      <c r="AQ497" s="129"/>
      <c r="AR497" s="129"/>
      <c r="AS497" s="129"/>
      <c r="AT497" s="129"/>
      <c r="AU497" s="129"/>
      <c r="AV497" s="129"/>
      <c r="AW497" s="129"/>
      <c r="AX497" s="129"/>
      <c r="AY497" s="129"/>
      <c r="AZ497" s="129"/>
      <c r="BA497" s="129"/>
    </row>
    <row r="498" spans="1:53" ht="12.75" customHeight="1" x14ac:dyDescent="0.2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/>
      <c r="AQ498" s="129"/>
      <c r="AR498" s="129"/>
      <c r="AS498" s="129"/>
      <c r="AT498" s="129"/>
      <c r="AU498" s="129"/>
      <c r="AV498" s="129"/>
      <c r="AW498" s="129"/>
      <c r="AX498" s="129"/>
      <c r="AY498" s="129"/>
      <c r="AZ498" s="129"/>
      <c r="BA498" s="129"/>
    </row>
    <row r="499" spans="1:53" ht="12.75" customHeight="1" x14ac:dyDescent="0.2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/>
      <c r="AQ499" s="129"/>
      <c r="AR499" s="129"/>
      <c r="AS499" s="129"/>
      <c r="AT499" s="129"/>
      <c r="AU499" s="129"/>
      <c r="AV499" s="129"/>
      <c r="AW499" s="129"/>
      <c r="AX499" s="129"/>
      <c r="AY499" s="129"/>
      <c r="AZ499" s="129"/>
      <c r="BA499" s="129"/>
    </row>
    <row r="500" spans="1:53" ht="12.75" customHeight="1" x14ac:dyDescent="0.2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129"/>
      <c r="AZ500" s="129"/>
      <c r="BA500" s="129"/>
    </row>
    <row r="501" spans="1:53" ht="12.75" customHeight="1" x14ac:dyDescent="0.2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</row>
    <row r="502" spans="1:53" ht="12.75" customHeight="1" x14ac:dyDescent="0.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129"/>
      <c r="AZ502" s="129"/>
      <c r="BA502" s="129"/>
    </row>
    <row r="503" spans="1:53" ht="12.75" customHeight="1" x14ac:dyDescent="0.2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29"/>
      <c r="AO503" s="129"/>
      <c r="AP503" s="129"/>
      <c r="AQ503" s="129"/>
      <c r="AR503" s="129"/>
      <c r="AS503" s="129"/>
      <c r="AT503" s="129"/>
      <c r="AU503" s="129"/>
      <c r="AV503" s="129"/>
      <c r="AW503" s="129"/>
      <c r="AX503" s="129"/>
      <c r="AY503" s="129"/>
      <c r="AZ503" s="129"/>
      <c r="BA503" s="129"/>
    </row>
    <row r="504" spans="1:53" ht="12.75" customHeight="1" x14ac:dyDescent="0.2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</row>
    <row r="505" spans="1:53" ht="12.75" customHeight="1" x14ac:dyDescent="0.2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</row>
    <row r="506" spans="1:53" ht="12.75" customHeight="1" x14ac:dyDescent="0.2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</row>
    <row r="507" spans="1:53" ht="12.75" customHeight="1" x14ac:dyDescent="0.2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</row>
    <row r="508" spans="1:53" ht="12.75" customHeight="1" x14ac:dyDescent="0.2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</row>
    <row r="509" spans="1:53" ht="12.75" customHeight="1" x14ac:dyDescent="0.2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</row>
    <row r="510" spans="1:53" ht="12.75" customHeight="1" x14ac:dyDescent="0.2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</row>
    <row r="511" spans="1:53" ht="12.75" customHeight="1" x14ac:dyDescent="0.2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</row>
    <row r="512" spans="1:53" ht="12.75" customHeight="1" x14ac:dyDescent="0.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</row>
    <row r="513" spans="1:53" ht="12.75" customHeight="1" x14ac:dyDescent="0.2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</row>
    <row r="514" spans="1:53" ht="12.75" customHeight="1" x14ac:dyDescent="0.2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</row>
    <row r="515" spans="1:53" ht="12.75" customHeight="1" x14ac:dyDescent="0.2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</row>
    <row r="516" spans="1:53" ht="12.75" customHeight="1" x14ac:dyDescent="0.2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</row>
    <row r="517" spans="1:53" ht="12.75" customHeight="1" x14ac:dyDescent="0.2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</row>
    <row r="518" spans="1:53" ht="12.75" customHeight="1" x14ac:dyDescent="0.2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</row>
    <row r="519" spans="1:53" ht="12.75" customHeight="1" x14ac:dyDescent="0.2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</row>
    <row r="520" spans="1:53" ht="12.75" customHeight="1" x14ac:dyDescent="0.2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</row>
    <row r="521" spans="1:53" ht="12.75" customHeight="1" x14ac:dyDescent="0.2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</row>
    <row r="522" spans="1:53" ht="12.75" customHeight="1" x14ac:dyDescent="0.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29"/>
      <c r="AO522" s="129"/>
      <c r="AP522" s="129"/>
      <c r="AQ522" s="129"/>
      <c r="AR522" s="129"/>
      <c r="AS522" s="129"/>
      <c r="AT522" s="129"/>
      <c r="AU522" s="129"/>
      <c r="AV522" s="129"/>
      <c r="AW522" s="129"/>
      <c r="AX522" s="129"/>
      <c r="AY522" s="129"/>
      <c r="AZ522" s="129"/>
      <c r="BA522" s="129"/>
    </row>
    <row r="523" spans="1:53" ht="12.75" customHeight="1" x14ac:dyDescent="0.2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</row>
    <row r="524" spans="1:53" ht="12.75" customHeight="1" x14ac:dyDescent="0.2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</row>
    <row r="525" spans="1:53" ht="12.75" customHeight="1" x14ac:dyDescent="0.2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</row>
    <row r="526" spans="1:53" ht="12.75" customHeight="1" x14ac:dyDescent="0.2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</row>
    <row r="527" spans="1:53" ht="12.75" customHeight="1" x14ac:dyDescent="0.2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</row>
    <row r="528" spans="1:53" ht="12.75" customHeight="1" x14ac:dyDescent="0.2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</row>
    <row r="529" spans="1:53" ht="12.75" customHeight="1" x14ac:dyDescent="0.2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</row>
    <row r="530" spans="1:53" ht="12.75" customHeight="1" x14ac:dyDescent="0.2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</row>
    <row r="531" spans="1:53" ht="12.75" customHeight="1" x14ac:dyDescent="0.2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</row>
    <row r="532" spans="1:53" ht="12.75" customHeight="1" x14ac:dyDescent="0.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</row>
    <row r="533" spans="1:53" ht="12.75" customHeight="1" x14ac:dyDescent="0.2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</row>
    <row r="534" spans="1:53" ht="12.75" customHeight="1" x14ac:dyDescent="0.2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</row>
    <row r="535" spans="1:53" ht="12.75" customHeight="1" x14ac:dyDescent="0.2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</row>
    <row r="536" spans="1:53" ht="12.75" customHeight="1" x14ac:dyDescent="0.2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</row>
    <row r="537" spans="1:53" ht="12.75" customHeight="1" x14ac:dyDescent="0.2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</row>
    <row r="538" spans="1:53" ht="12.75" customHeight="1" x14ac:dyDescent="0.2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</row>
    <row r="539" spans="1:53" ht="12.75" customHeight="1" x14ac:dyDescent="0.2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</row>
    <row r="540" spans="1:53" ht="12.75" customHeight="1" x14ac:dyDescent="0.2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</row>
    <row r="541" spans="1:53" ht="12.75" customHeight="1" x14ac:dyDescent="0.2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29"/>
      <c r="AO541" s="129"/>
      <c r="AP541" s="129"/>
      <c r="AQ541" s="129"/>
      <c r="AR541" s="129"/>
      <c r="AS541" s="129"/>
      <c r="AT541" s="129"/>
      <c r="AU541" s="129"/>
      <c r="AV541" s="129"/>
      <c r="AW541" s="129"/>
      <c r="AX541" s="129"/>
      <c r="AY541" s="129"/>
      <c r="AZ541" s="129"/>
      <c r="BA541" s="129"/>
    </row>
    <row r="542" spans="1:53" ht="12.75" customHeight="1" x14ac:dyDescent="0.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</row>
    <row r="543" spans="1:53" ht="12.75" customHeight="1" x14ac:dyDescent="0.2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</row>
    <row r="544" spans="1:53" ht="12.75" customHeight="1" x14ac:dyDescent="0.2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</row>
    <row r="545" spans="1:53" ht="12.75" customHeight="1" x14ac:dyDescent="0.2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</row>
    <row r="546" spans="1:53" ht="12.75" customHeight="1" x14ac:dyDescent="0.2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</row>
    <row r="547" spans="1:53" ht="12.75" customHeight="1" x14ac:dyDescent="0.2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</row>
    <row r="548" spans="1:53" ht="12.75" customHeight="1" x14ac:dyDescent="0.2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</row>
    <row r="549" spans="1:53" ht="12.75" customHeight="1" x14ac:dyDescent="0.2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</row>
    <row r="550" spans="1:53" ht="12.75" customHeight="1" x14ac:dyDescent="0.2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</row>
    <row r="551" spans="1:53" ht="12.75" customHeight="1" x14ac:dyDescent="0.2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</row>
    <row r="552" spans="1:53" ht="12.75" customHeight="1" x14ac:dyDescent="0.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/>
      <c r="AQ552" s="129"/>
      <c r="AR552" s="129"/>
      <c r="AS552" s="129"/>
      <c r="AT552" s="129"/>
      <c r="AU552" s="129"/>
      <c r="AV552" s="129"/>
      <c r="AW552" s="129"/>
      <c r="AX552" s="129"/>
      <c r="AY552" s="129"/>
      <c r="AZ552" s="129"/>
      <c r="BA552" s="129"/>
    </row>
    <row r="553" spans="1:53" ht="12.75" customHeight="1" x14ac:dyDescent="0.2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/>
      <c r="AQ553" s="129"/>
      <c r="AR553" s="129"/>
      <c r="AS553" s="129"/>
      <c r="AT553" s="129"/>
      <c r="AU553" s="129"/>
      <c r="AV553" s="129"/>
      <c r="AW553" s="129"/>
      <c r="AX553" s="129"/>
      <c r="AY553" s="129"/>
      <c r="AZ553" s="129"/>
      <c r="BA553" s="129"/>
    </row>
    <row r="554" spans="1:53" ht="12.75" customHeight="1" x14ac:dyDescent="0.2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/>
      <c r="AQ554" s="129"/>
      <c r="AR554" s="129"/>
      <c r="AS554" s="129"/>
      <c r="AT554" s="129"/>
      <c r="AU554" s="129"/>
      <c r="AV554" s="129"/>
      <c r="AW554" s="129"/>
      <c r="AX554" s="129"/>
      <c r="AY554" s="129"/>
      <c r="AZ554" s="129"/>
      <c r="BA554" s="129"/>
    </row>
    <row r="555" spans="1:53" ht="12.75" customHeight="1" x14ac:dyDescent="0.2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/>
      <c r="AQ555" s="129"/>
      <c r="AR555" s="129"/>
      <c r="AS555" s="129"/>
      <c r="AT555" s="129"/>
      <c r="AU555" s="129"/>
      <c r="AV555" s="129"/>
      <c r="AW555" s="129"/>
      <c r="AX555" s="129"/>
      <c r="AY555" s="129"/>
      <c r="AZ555" s="129"/>
      <c r="BA555" s="129"/>
    </row>
    <row r="556" spans="1:53" ht="12.75" customHeight="1" x14ac:dyDescent="0.2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/>
      <c r="AQ556" s="129"/>
      <c r="AR556" s="129"/>
      <c r="AS556" s="129"/>
      <c r="AT556" s="129"/>
      <c r="AU556" s="129"/>
      <c r="AV556" s="129"/>
      <c r="AW556" s="129"/>
      <c r="AX556" s="129"/>
      <c r="AY556" s="129"/>
      <c r="AZ556" s="129"/>
      <c r="BA556" s="129"/>
    </row>
    <row r="557" spans="1:53" ht="12.75" customHeight="1" x14ac:dyDescent="0.2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/>
      <c r="AQ557" s="129"/>
      <c r="AR557" s="129"/>
      <c r="AS557" s="129"/>
      <c r="AT557" s="129"/>
      <c r="AU557" s="129"/>
      <c r="AV557" s="129"/>
      <c r="AW557" s="129"/>
      <c r="AX557" s="129"/>
      <c r="AY557" s="129"/>
      <c r="AZ557" s="129"/>
      <c r="BA557" s="129"/>
    </row>
    <row r="558" spans="1:53" ht="12.75" customHeight="1" x14ac:dyDescent="0.2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/>
      <c r="AQ558" s="129"/>
      <c r="AR558" s="129"/>
      <c r="AS558" s="129"/>
      <c r="AT558" s="129"/>
      <c r="AU558" s="129"/>
      <c r="AV558" s="129"/>
      <c r="AW558" s="129"/>
      <c r="AX558" s="129"/>
      <c r="AY558" s="129"/>
      <c r="AZ558" s="129"/>
      <c r="BA558" s="129"/>
    </row>
    <row r="559" spans="1:53" ht="12.75" customHeight="1" x14ac:dyDescent="0.2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/>
      <c r="AQ559" s="129"/>
      <c r="AR559" s="129"/>
      <c r="AS559" s="129"/>
      <c r="AT559" s="129"/>
      <c r="AU559" s="129"/>
      <c r="AV559" s="129"/>
      <c r="AW559" s="129"/>
      <c r="AX559" s="129"/>
      <c r="AY559" s="129"/>
      <c r="AZ559" s="129"/>
      <c r="BA559" s="129"/>
    </row>
    <row r="560" spans="1:53" ht="12.75" customHeight="1" x14ac:dyDescent="0.2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/>
      <c r="AQ560" s="129"/>
      <c r="AR560" s="129"/>
      <c r="AS560" s="129"/>
      <c r="AT560" s="129"/>
      <c r="AU560" s="129"/>
      <c r="AV560" s="129"/>
      <c r="AW560" s="129"/>
      <c r="AX560" s="129"/>
      <c r="AY560" s="129"/>
      <c r="AZ560" s="129"/>
      <c r="BA560" s="129"/>
    </row>
    <row r="561" spans="1:53" ht="12.75" customHeight="1" x14ac:dyDescent="0.2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/>
      <c r="AQ561" s="129"/>
      <c r="AR561" s="129"/>
      <c r="AS561" s="129"/>
      <c r="AT561" s="129"/>
      <c r="AU561" s="129"/>
      <c r="AV561" s="129"/>
      <c r="AW561" s="129"/>
      <c r="AX561" s="129"/>
      <c r="AY561" s="129"/>
      <c r="AZ561" s="129"/>
      <c r="BA561" s="129"/>
    </row>
    <row r="562" spans="1:53" ht="12.75" customHeight="1" x14ac:dyDescent="0.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/>
      <c r="AQ562" s="129"/>
      <c r="AR562" s="129"/>
      <c r="AS562" s="129"/>
      <c r="AT562" s="129"/>
      <c r="AU562" s="129"/>
      <c r="AV562" s="129"/>
      <c r="AW562" s="129"/>
      <c r="AX562" s="129"/>
      <c r="AY562" s="129"/>
      <c r="AZ562" s="129"/>
      <c r="BA562" s="129"/>
    </row>
    <row r="563" spans="1:53" ht="12.75" customHeight="1" x14ac:dyDescent="0.2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/>
      <c r="AQ563" s="129"/>
      <c r="AR563" s="129"/>
      <c r="AS563" s="129"/>
      <c r="AT563" s="129"/>
      <c r="AU563" s="129"/>
      <c r="AV563" s="129"/>
      <c r="AW563" s="129"/>
      <c r="AX563" s="129"/>
      <c r="AY563" s="129"/>
      <c r="AZ563" s="129"/>
      <c r="BA563" s="129"/>
    </row>
    <row r="564" spans="1:53" ht="12.75" customHeight="1" x14ac:dyDescent="0.2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/>
      <c r="AQ564" s="129"/>
      <c r="AR564" s="129"/>
      <c r="AS564" s="129"/>
      <c r="AT564" s="129"/>
      <c r="AU564" s="129"/>
      <c r="AV564" s="129"/>
      <c r="AW564" s="129"/>
      <c r="AX564" s="129"/>
      <c r="AY564" s="129"/>
      <c r="AZ564" s="129"/>
      <c r="BA564" s="129"/>
    </row>
    <row r="565" spans="1:53" ht="12.75" customHeight="1" x14ac:dyDescent="0.2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/>
      <c r="AQ565" s="129"/>
      <c r="AR565" s="129"/>
      <c r="AS565" s="129"/>
      <c r="AT565" s="129"/>
      <c r="AU565" s="129"/>
      <c r="AV565" s="129"/>
      <c r="AW565" s="129"/>
      <c r="AX565" s="129"/>
      <c r="AY565" s="129"/>
      <c r="AZ565" s="129"/>
      <c r="BA565" s="129"/>
    </row>
    <row r="566" spans="1:53" ht="12.75" customHeight="1" x14ac:dyDescent="0.2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/>
      <c r="AQ566" s="129"/>
      <c r="AR566" s="129"/>
      <c r="AS566" s="129"/>
      <c r="AT566" s="129"/>
      <c r="AU566" s="129"/>
      <c r="AV566" s="129"/>
      <c r="AW566" s="129"/>
      <c r="AX566" s="129"/>
      <c r="AY566" s="129"/>
      <c r="AZ566" s="129"/>
      <c r="BA566" s="129"/>
    </row>
    <row r="567" spans="1:53" ht="12.75" customHeight="1" x14ac:dyDescent="0.2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/>
      <c r="AQ567" s="129"/>
      <c r="AR567" s="129"/>
      <c r="AS567" s="129"/>
      <c r="AT567" s="129"/>
      <c r="AU567" s="129"/>
      <c r="AV567" s="129"/>
      <c r="AW567" s="129"/>
      <c r="AX567" s="129"/>
      <c r="AY567" s="129"/>
      <c r="AZ567" s="129"/>
      <c r="BA567" s="129"/>
    </row>
    <row r="568" spans="1:53" ht="12.75" customHeight="1" x14ac:dyDescent="0.2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129"/>
      <c r="AZ568" s="129"/>
      <c r="BA568" s="129"/>
    </row>
    <row r="569" spans="1:53" ht="12.75" customHeight="1" x14ac:dyDescent="0.2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129"/>
      <c r="AZ569" s="129"/>
      <c r="BA569" s="129"/>
    </row>
    <row r="570" spans="1:53" ht="12.75" customHeight="1" x14ac:dyDescent="0.2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129"/>
      <c r="AZ570" s="129"/>
      <c r="BA570" s="129"/>
    </row>
    <row r="571" spans="1:53" ht="12.75" customHeight="1" x14ac:dyDescent="0.2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29"/>
      <c r="AO571" s="129"/>
      <c r="AP571" s="129"/>
      <c r="AQ571" s="129"/>
      <c r="AR571" s="129"/>
      <c r="AS571" s="129"/>
      <c r="AT571" s="129"/>
      <c r="AU571" s="129"/>
      <c r="AV571" s="129"/>
      <c r="AW571" s="129"/>
      <c r="AX571" s="129"/>
      <c r="AY571" s="129"/>
      <c r="AZ571" s="129"/>
      <c r="BA571" s="129"/>
    </row>
    <row r="572" spans="1:53" ht="12.75" customHeight="1" x14ac:dyDescent="0.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</row>
    <row r="573" spans="1:53" ht="12.75" customHeight="1" x14ac:dyDescent="0.2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</row>
    <row r="574" spans="1:53" ht="12.75" customHeight="1" x14ac:dyDescent="0.2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</row>
    <row r="575" spans="1:53" ht="12.75" customHeight="1" x14ac:dyDescent="0.2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</row>
    <row r="576" spans="1:53" ht="12.75" customHeight="1" x14ac:dyDescent="0.2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</row>
    <row r="577" spans="1:53" ht="12.75" customHeight="1" x14ac:dyDescent="0.2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</row>
    <row r="578" spans="1:53" ht="12.75" customHeight="1" x14ac:dyDescent="0.2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</row>
    <row r="579" spans="1:53" ht="12.75" customHeight="1" x14ac:dyDescent="0.2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</row>
    <row r="580" spans="1:53" ht="12.75" customHeight="1" x14ac:dyDescent="0.2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</row>
    <row r="581" spans="1:53" ht="12.75" customHeight="1" x14ac:dyDescent="0.2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</row>
    <row r="582" spans="1:53" ht="12.75" customHeight="1" x14ac:dyDescent="0.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</row>
    <row r="583" spans="1:53" ht="12.75" customHeight="1" x14ac:dyDescent="0.2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</row>
    <row r="584" spans="1:53" ht="12.75" customHeight="1" x14ac:dyDescent="0.2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</row>
    <row r="585" spans="1:53" ht="12.75" customHeight="1" x14ac:dyDescent="0.2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</row>
    <row r="586" spans="1:53" ht="12.75" customHeight="1" x14ac:dyDescent="0.2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</row>
    <row r="587" spans="1:53" ht="12.75" customHeight="1" x14ac:dyDescent="0.2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</row>
    <row r="588" spans="1:53" ht="12.75" customHeight="1" x14ac:dyDescent="0.2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</row>
    <row r="589" spans="1:53" ht="12.75" customHeight="1" x14ac:dyDescent="0.2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</row>
    <row r="590" spans="1:53" ht="12.75" customHeight="1" x14ac:dyDescent="0.2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29"/>
      <c r="AO590" s="129"/>
      <c r="AP590" s="129"/>
      <c r="AQ590" s="129"/>
      <c r="AR590" s="129"/>
      <c r="AS590" s="129"/>
      <c r="AT590" s="129"/>
      <c r="AU590" s="129"/>
      <c r="AV590" s="129"/>
      <c r="AW590" s="129"/>
      <c r="AX590" s="129"/>
      <c r="AY590" s="129"/>
      <c r="AZ590" s="129"/>
      <c r="BA590" s="129"/>
    </row>
    <row r="591" spans="1:53" ht="12.75" customHeight="1" x14ac:dyDescent="0.2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</row>
    <row r="592" spans="1:53" ht="12.75" customHeight="1" x14ac:dyDescent="0.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</row>
    <row r="593" spans="1:53" ht="12.75" customHeight="1" x14ac:dyDescent="0.2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</row>
    <row r="594" spans="1:53" ht="12.75" customHeight="1" x14ac:dyDescent="0.2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</row>
    <row r="595" spans="1:53" ht="12.75" customHeight="1" x14ac:dyDescent="0.2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</row>
    <row r="596" spans="1:53" ht="12.75" customHeight="1" x14ac:dyDescent="0.2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</row>
    <row r="597" spans="1:53" ht="12.75" customHeight="1" x14ac:dyDescent="0.2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</row>
    <row r="598" spans="1:53" ht="12.75" customHeight="1" x14ac:dyDescent="0.2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</row>
    <row r="599" spans="1:53" ht="12.75" customHeight="1" x14ac:dyDescent="0.2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</row>
    <row r="600" spans="1:53" ht="12.75" customHeight="1" x14ac:dyDescent="0.2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</row>
    <row r="601" spans="1:53" ht="12.75" customHeight="1" x14ac:dyDescent="0.2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</row>
    <row r="602" spans="1:53" ht="12.75" customHeight="1" x14ac:dyDescent="0.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</row>
    <row r="603" spans="1:53" ht="12.75" customHeight="1" x14ac:dyDescent="0.2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</row>
    <row r="604" spans="1:53" ht="12.75" customHeight="1" x14ac:dyDescent="0.2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</row>
    <row r="605" spans="1:53" ht="12.75" customHeight="1" x14ac:dyDescent="0.2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</row>
    <row r="606" spans="1:53" ht="12.75" customHeight="1" x14ac:dyDescent="0.2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</row>
    <row r="607" spans="1:53" ht="12.75" customHeight="1" x14ac:dyDescent="0.2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</row>
    <row r="608" spans="1:53" ht="12.75" customHeight="1" x14ac:dyDescent="0.2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</row>
    <row r="609" spans="1:53" ht="12.75" customHeight="1" x14ac:dyDescent="0.2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29"/>
      <c r="AO609" s="129"/>
      <c r="AP609" s="129"/>
      <c r="AQ609" s="129"/>
      <c r="AR609" s="129"/>
      <c r="AS609" s="129"/>
      <c r="AT609" s="129"/>
      <c r="AU609" s="129"/>
      <c r="AV609" s="129"/>
      <c r="AW609" s="129"/>
      <c r="AX609" s="129"/>
      <c r="AY609" s="129"/>
      <c r="AZ609" s="129"/>
      <c r="BA609" s="129"/>
    </row>
    <row r="610" spans="1:53" ht="12.75" customHeight="1" x14ac:dyDescent="0.2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/>
      <c r="AQ610" s="129"/>
      <c r="AR610" s="129"/>
      <c r="AS610" s="129"/>
      <c r="AT610" s="129"/>
      <c r="AU610" s="129"/>
      <c r="AV610" s="129"/>
      <c r="AW610" s="129"/>
      <c r="AX610" s="129"/>
      <c r="AY610" s="129"/>
      <c r="AZ610" s="129"/>
      <c r="BA610" s="129"/>
    </row>
    <row r="611" spans="1:53" ht="12.75" customHeight="1" x14ac:dyDescent="0.2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/>
      <c r="AQ611" s="129"/>
      <c r="AR611" s="129"/>
      <c r="AS611" s="129"/>
      <c r="AT611" s="129"/>
      <c r="AU611" s="129"/>
      <c r="AV611" s="129"/>
      <c r="AW611" s="129"/>
      <c r="AX611" s="129"/>
      <c r="AY611" s="129"/>
      <c r="AZ611" s="129"/>
      <c r="BA611" s="129"/>
    </row>
    <row r="612" spans="1:53" ht="12.75" customHeight="1" x14ac:dyDescent="0.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/>
      <c r="AQ612" s="129"/>
      <c r="AR612" s="129"/>
      <c r="AS612" s="129"/>
      <c r="AT612" s="129"/>
      <c r="AU612" s="129"/>
      <c r="AV612" s="129"/>
      <c r="AW612" s="129"/>
      <c r="AX612" s="129"/>
      <c r="AY612" s="129"/>
      <c r="AZ612" s="129"/>
      <c r="BA612" s="129"/>
    </row>
    <row r="613" spans="1:53" ht="12.75" customHeight="1" x14ac:dyDescent="0.2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/>
      <c r="AQ613" s="129"/>
      <c r="AR613" s="129"/>
      <c r="AS613" s="129"/>
      <c r="AT613" s="129"/>
      <c r="AU613" s="129"/>
      <c r="AV613" s="129"/>
      <c r="AW613" s="129"/>
      <c r="AX613" s="129"/>
      <c r="AY613" s="129"/>
      <c r="AZ613" s="129"/>
      <c r="BA613" s="129"/>
    </row>
    <row r="614" spans="1:53" ht="12.75" customHeight="1" x14ac:dyDescent="0.2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/>
      <c r="AX614" s="129"/>
      <c r="AY614" s="129"/>
      <c r="AZ614" s="129"/>
      <c r="BA614" s="129"/>
    </row>
    <row r="615" spans="1:53" ht="12.75" customHeight="1" x14ac:dyDescent="0.2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</row>
    <row r="616" spans="1:53" ht="12.75" customHeight="1" x14ac:dyDescent="0.2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/>
      <c r="AQ616" s="129"/>
      <c r="AR616" s="129"/>
      <c r="AS616" s="129"/>
      <c r="AT616" s="129"/>
      <c r="AU616" s="129"/>
      <c r="AV616" s="129"/>
      <c r="AW616" s="129"/>
      <c r="AX616" s="129"/>
      <c r="AY616" s="129"/>
      <c r="AZ616" s="129"/>
      <c r="BA616" s="129"/>
    </row>
    <row r="617" spans="1:53" ht="12.75" customHeight="1" x14ac:dyDescent="0.2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/>
      <c r="AQ617" s="129"/>
      <c r="AR617" s="129"/>
      <c r="AS617" s="129"/>
      <c r="AT617" s="129"/>
      <c r="AU617" s="129"/>
      <c r="AV617" s="129"/>
      <c r="AW617" s="129"/>
      <c r="AX617" s="129"/>
      <c r="AY617" s="129"/>
      <c r="AZ617" s="129"/>
      <c r="BA617" s="129"/>
    </row>
    <row r="618" spans="1:53" ht="12.75" customHeight="1" x14ac:dyDescent="0.2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</row>
    <row r="619" spans="1:53" ht="12.75" customHeight="1" x14ac:dyDescent="0.2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</row>
    <row r="620" spans="1:53" ht="12.75" customHeight="1" x14ac:dyDescent="0.2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</row>
    <row r="621" spans="1:53" ht="12.75" customHeight="1" x14ac:dyDescent="0.2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</row>
    <row r="622" spans="1:53" ht="12.75" customHeight="1" x14ac:dyDescent="0.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</row>
    <row r="623" spans="1:53" ht="12.75" customHeight="1" x14ac:dyDescent="0.2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</row>
    <row r="624" spans="1:53" ht="12.75" customHeight="1" x14ac:dyDescent="0.2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</row>
    <row r="625" spans="1:53" ht="12.75" customHeight="1" x14ac:dyDescent="0.2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</row>
    <row r="626" spans="1:53" ht="12.75" customHeight="1" x14ac:dyDescent="0.2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</row>
    <row r="627" spans="1:53" ht="12.75" customHeight="1" x14ac:dyDescent="0.2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</row>
    <row r="628" spans="1:53" ht="12.75" customHeight="1" x14ac:dyDescent="0.2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/>
      <c r="AQ628" s="129"/>
      <c r="AR628" s="129"/>
      <c r="AS628" s="129"/>
      <c r="AT628" s="129"/>
      <c r="AU628" s="129"/>
      <c r="AV628" s="129"/>
      <c r="AW628" s="129"/>
      <c r="AX628" s="129"/>
      <c r="AY628" s="129"/>
      <c r="AZ628" s="129"/>
      <c r="BA628" s="129"/>
    </row>
    <row r="629" spans="1:53" ht="12.75" customHeight="1" x14ac:dyDescent="0.2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/>
      <c r="AQ629" s="129"/>
      <c r="AR629" s="129"/>
      <c r="AS629" s="129"/>
      <c r="AT629" s="129"/>
      <c r="AU629" s="129"/>
      <c r="AV629" s="129"/>
      <c r="AW629" s="129"/>
      <c r="AX629" s="129"/>
      <c r="AY629" s="129"/>
      <c r="AZ629" s="129"/>
      <c r="BA629" s="129"/>
    </row>
    <row r="630" spans="1:53" ht="12.75" customHeight="1" x14ac:dyDescent="0.2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/>
      <c r="AQ630" s="129"/>
      <c r="AR630" s="129"/>
      <c r="AS630" s="129"/>
      <c r="AT630" s="129"/>
      <c r="AU630" s="129"/>
      <c r="AV630" s="129"/>
      <c r="AW630" s="129"/>
      <c r="AX630" s="129"/>
      <c r="AY630" s="129"/>
      <c r="AZ630" s="129"/>
      <c r="BA630" s="129"/>
    </row>
    <row r="631" spans="1:53" ht="12.75" customHeight="1" x14ac:dyDescent="0.2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129"/>
      <c r="AZ631" s="129"/>
      <c r="BA631" s="129"/>
    </row>
    <row r="632" spans="1:53" ht="12.75" customHeight="1" x14ac:dyDescent="0.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129"/>
      <c r="AZ632" s="129"/>
      <c r="BA632" s="129"/>
    </row>
    <row r="633" spans="1:53" ht="12.75" customHeight="1" x14ac:dyDescent="0.2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129"/>
      <c r="AZ633" s="129"/>
      <c r="BA633" s="129"/>
    </row>
    <row r="634" spans="1:53" ht="12.75" customHeight="1" x14ac:dyDescent="0.2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129"/>
      <c r="AZ634" s="129"/>
      <c r="BA634" s="129"/>
    </row>
    <row r="635" spans="1:53" ht="12.75" customHeight="1" x14ac:dyDescent="0.2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29"/>
      <c r="AO635" s="129"/>
      <c r="AP635" s="129"/>
      <c r="AQ635" s="129"/>
      <c r="AR635" s="129"/>
      <c r="AS635" s="129"/>
      <c r="AT635" s="129"/>
      <c r="AU635" s="129"/>
      <c r="AV635" s="129"/>
      <c r="AW635" s="129"/>
      <c r="AX635" s="129"/>
      <c r="AY635" s="129"/>
      <c r="AZ635" s="129"/>
      <c r="BA635" s="129"/>
    </row>
    <row r="636" spans="1:53" ht="12.75" customHeight="1" x14ac:dyDescent="0.2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/>
      <c r="AQ636" s="129"/>
      <c r="AR636" s="129"/>
      <c r="AS636" s="129"/>
      <c r="AT636" s="129"/>
      <c r="AU636" s="129"/>
      <c r="AV636" s="129"/>
      <c r="AW636" s="129"/>
      <c r="AX636" s="129"/>
      <c r="AY636" s="129"/>
      <c r="AZ636" s="129"/>
      <c r="BA636" s="129"/>
    </row>
    <row r="637" spans="1:53" ht="12.75" customHeight="1" x14ac:dyDescent="0.2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/>
      <c r="AQ637" s="129"/>
      <c r="AR637" s="129"/>
      <c r="AS637" s="129"/>
      <c r="AT637" s="129"/>
      <c r="AU637" s="129"/>
      <c r="AV637" s="129"/>
      <c r="AW637" s="129"/>
      <c r="AX637" s="129"/>
      <c r="AY637" s="129"/>
      <c r="AZ637" s="129"/>
      <c r="BA637" s="129"/>
    </row>
    <row r="638" spans="1:53" ht="12.75" customHeight="1" x14ac:dyDescent="0.2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/>
      <c r="AQ638" s="129"/>
      <c r="AR638" s="129"/>
      <c r="AS638" s="129"/>
      <c r="AT638" s="129"/>
      <c r="AU638" s="129"/>
      <c r="AV638" s="129"/>
      <c r="AW638" s="129"/>
      <c r="AX638" s="129"/>
      <c r="AY638" s="129"/>
      <c r="AZ638" s="129"/>
      <c r="BA638" s="129"/>
    </row>
    <row r="639" spans="1:53" ht="12.75" customHeight="1" x14ac:dyDescent="0.2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/>
      <c r="AQ639" s="129"/>
      <c r="AR639" s="129"/>
      <c r="AS639" s="129"/>
      <c r="AT639" s="129"/>
      <c r="AU639" s="129"/>
      <c r="AV639" s="129"/>
      <c r="AW639" s="129"/>
      <c r="AX639" s="129"/>
      <c r="AY639" s="129"/>
      <c r="AZ639" s="129"/>
      <c r="BA639" s="129"/>
    </row>
    <row r="640" spans="1:53" ht="12.75" customHeight="1" x14ac:dyDescent="0.2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/>
      <c r="AQ640" s="129"/>
      <c r="AR640" s="129"/>
      <c r="AS640" s="129"/>
      <c r="AT640" s="129"/>
      <c r="AU640" s="129"/>
      <c r="AV640" s="129"/>
      <c r="AW640" s="129"/>
      <c r="AX640" s="129"/>
      <c r="AY640" s="129"/>
      <c r="AZ640" s="129"/>
      <c r="BA640" s="129"/>
    </row>
    <row r="641" spans="1:53" ht="12.75" customHeight="1" x14ac:dyDescent="0.2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/>
      <c r="AQ641" s="129"/>
      <c r="AR641" s="129"/>
      <c r="AS641" s="129"/>
      <c r="AT641" s="129"/>
      <c r="AU641" s="129"/>
      <c r="AV641" s="129"/>
      <c r="AW641" s="129"/>
      <c r="AX641" s="129"/>
      <c r="AY641" s="129"/>
      <c r="AZ641" s="129"/>
      <c r="BA641" s="129"/>
    </row>
    <row r="642" spans="1:53" ht="12.75" customHeight="1" x14ac:dyDescent="0.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/>
      <c r="AQ642" s="129"/>
      <c r="AR642" s="129"/>
      <c r="AS642" s="129"/>
      <c r="AT642" s="129"/>
      <c r="AU642" s="129"/>
      <c r="AV642" s="129"/>
      <c r="AW642" s="129"/>
      <c r="AX642" s="129"/>
      <c r="AY642" s="129"/>
      <c r="AZ642" s="129"/>
      <c r="BA642" s="129"/>
    </row>
    <row r="643" spans="1:53" ht="12.75" customHeight="1" x14ac:dyDescent="0.2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/>
      <c r="AQ643" s="129"/>
      <c r="AR643" s="129"/>
      <c r="AS643" s="129"/>
      <c r="AT643" s="129"/>
      <c r="AU643" s="129"/>
      <c r="AV643" s="129"/>
      <c r="AW643" s="129"/>
      <c r="AX643" s="129"/>
      <c r="AY643" s="129"/>
      <c r="AZ643" s="129"/>
      <c r="BA643" s="129"/>
    </row>
    <row r="644" spans="1:53" ht="12.75" customHeight="1" x14ac:dyDescent="0.2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/>
      <c r="AQ644" s="129"/>
      <c r="AR644" s="129"/>
      <c r="AS644" s="129"/>
      <c r="AT644" s="129"/>
      <c r="AU644" s="129"/>
      <c r="AV644" s="129"/>
      <c r="AW644" s="129"/>
      <c r="AX644" s="129"/>
      <c r="AY644" s="129"/>
      <c r="AZ644" s="129"/>
      <c r="BA644" s="129"/>
    </row>
    <row r="645" spans="1:53" ht="12.75" customHeight="1" x14ac:dyDescent="0.2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/>
      <c r="AQ645" s="129"/>
      <c r="AR645" s="129"/>
      <c r="AS645" s="129"/>
      <c r="AT645" s="129"/>
      <c r="AU645" s="129"/>
      <c r="AV645" s="129"/>
      <c r="AW645" s="129"/>
      <c r="AX645" s="129"/>
      <c r="AY645" s="129"/>
      <c r="AZ645" s="129"/>
      <c r="BA645" s="129"/>
    </row>
    <row r="646" spans="1:53" ht="12.75" customHeight="1" x14ac:dyDescent="0.2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/>
      <c r="AQ646" s="129"/>
      <c r="AR646" s="129"/>
      <c r="AS646" s="129"/>
      <c r="AT646" s="129"/>
      <c r="AU646" s="129"/>
      <c r="AV646" s="129"/>
      <c r="AW646" s="129"/>
      <c r="AX646" s="129"/>
      <c r="AY646" s="129"/>
      <c r="AZ646" s="129"/>
      <c r="BA646" s="129"/>
    </row>
    <row r="647" spans="1:53" ht="12.75" customHeight="1" x14ac:dyDescent="0.2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/>
      <c r="AQ647" s="129"/>
      <c r="AR647" s="129"/>
      <c r="AS647" s="129"/>
      <c r="AT647" s="129"/>
      <c r="AU647" s="129"/>
      <c r="AV647" s="129"/>
      <c r="AW647" s="129"/>
      <c r="AX647" s="129"/>
      <c r="AY647" s="129"/>
      <c r="AZ647" s="129"/>
      <c r="BA647" s="129"/>
    </row>
    <row r="648" spans="1:53" ht="12.75" customHeight="1" x14ac:dyDescent="0.2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/>
      <c r="AQ648" s="129"/>
      <c r="AR648" s="129"/>
      <c r="AS648" s="129"/>
      <c r="AT648" s="129"/>
      <c r="AU648" s="129"/>
      <c r="AV648" s="129"/>
      <c r="AW648" s="129"/>
      <c r="AX648" s="129"/>
      <c r="AY648" s="129"/>
      <c r="AZ648" s="129"/>
      <c r="BA648" s="129"/>
    </row>
    <row r="649" spans="1:53" ht="12.75" customHeight="1" x14ac:dyDescent="0.2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/>
      <c r="AQ649" s="129"/>
      <c r="AR649" s="129"/>
      <c r="AS649" s="129"/>
      <c r="AT649" s="129"/>
      <c r="AU649" s="129"/>
      <c r="AV649" s="129"/>
      <c r="AW649" s="129"/>
      <c r="AX649" s="129"/>
      <c r="AY649" s="129"/>
      <c r="AZ649" s="129"/>
      <c r="BA649" s="129"/>
    </row>
    <row r="650" spans="1:53" ht="12.75" customHeight="1" x14ac:dyDescent="0.2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/>
      <c r="AQ650" s="129"/>
      <c r="AR650" s="129"/>
      <c r="AS650" s="129"/>
      <c r="AT650" s="129"/>
      <c r="AU650" s="129"/>
      <c r="AV650" s="129"/>
      <c r="AW650" s="129"/>
      <c r="AX650" s="129"/>
      <c r="AY650" s="129"/>
      <c r="AZ650" s="129"/>
      <c r="BA650" s="129"/>
    </row>
    <row r="651" spans="1:53" ht="12.75" customHeight="1" x14ac:dyDescent="0.2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/>
      <c r="AQ651" s="129"/>
      <c r="AR651" s="129"/>
      <c r="AS651" s="129"/>
      <c r="AT651" s="129"/>
      <c r="AU651" s="129"/>
      <c r="AV651" s="129"/>
      <c r="AW651" s="129"/>
      <c r="AX651" s="129"/>
      <c r="AY651" s="129"/>
      <c r="AZ651" s="129"/>
      <c r="BA651" s="129"/>
    </row>
    <row r="652" spans="1:53" ht="12.75" customHeight="1" x14ac:dyDescent="0.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/>
      <c r="AX652" s="129"/>
      <c r="AY652" s="129"/>
      <c r="AZ652" s="129"/>
      <c r="BA652" s="129"/>
    </row>
    <row r="653" spans="1:53" ht="12.75" customHeight="1" x14ac:dyDescent="0.2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</row>
    <row r="654" spans="1:53" ht="12.75" customHeight="1" x14ac:dyDescent="0.2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/>
      <c r="AQ654" s="129"/>
      <c r="AR654" s="129"/>
      <c r="AS654" s="129"/>
      <c r="AT654" s="129"/>
      <c r="AU654" s="129"/>
      <c r="AV654" s="129"/>
      <c r="AW654" s="129"/>
      <c r="AX654" s="129"/>
      <c r="AY654" s="129"/>
      <c r="AZ654" s="129"/>
      <c r="BA654" s="129"/>
    </row>
    <row r="655" spans="1:53" ht="12.75" customHeight="1" x14ac:dyDescent="0.2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/>
      <c r="AQ655" s="129"/>
      <c r="AR655" s="129"/>
      <c r="AS655" s="129"/>
      <c r="AT655" s="129"/>
      <c r="AU655" s="129"/>
      <c r="AV655" s="129"/>
      <c r="AW655" s="129"/>
      <c r="AX655" s="129"/>
      <c r="AY655" s="129"/>
      <c r="AZ655" s="129"/>
      <c r="BA655" s="129"/>
    </row>
    <row r="656" spans="1:53" ht="12.75" customHeight="1" x14ac:dyDescent="0.2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</row>
    <row r="657" spans="1:53" ht="12.75" customHeight="1" x14ac:dyDescent="0.2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</row>
    <row r="658" spans="1:53" ht="12.75" customHeight="1" x14ac:dyDescent="0.2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</row>
    <row r="659" spans="1:53" ht="12.75" customHeight="1" x14ac:dyDescent="0.2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</row>
    <row r="660" spans="1:53" ht="12.75" customHeight="1" x14ac:dyDescent="0.2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</row>
    <row r="661" spans="1:53" ht="12.75" customHeight="1" x14ac:dyDescent="0.2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</row>
    <row r="662" spans="1:53" ht="12.75" customHeight="1" x14ac:dyDescent="0.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</row>
    <row r="663" spans="1:53" ht="12.75" customHeight="1" x14ac:dyDescent="0.2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</row>
    <row r="664" spans="1:53" ht="12.75" customHeight="1" x14ac:dyDescent="0.2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</row>
    <row r="665" spans="1:53" ht="12.75" customHeight="1" x14ac:dyDescent="0.2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</row>
    <row r="666" spans="1:53" ht="12.75" customHeight="1" x14ac:dyDescent="0.2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/>
      <c r="AQ666" s="129"/>
      <c r="AR666" s="129"/>
      <c r="AS666" s="129"/>
      <c r="AT666" s="129"/>
      <c r="AU666" s="129"/>
      <c r="AV666" s="129"/>
      <c r="AW666" s="129"/>
      <c r="AX666" s="129"/>
      <c r="AY666" s="129"/>
      <c r="AZ666" s="129"/>
      <c r="BA666" s="129"/>
    </row>
    <row r="667" spans="1:53" ht="12.75" customHeight="1" x14ac:dyDescent="0.2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/>
      <c r="AQ667" s="129"/>
      <c r="AR667" s="129"/>
      <c r="AS667" s="129"/>
      <c r="AT667" s="129"/>
      <c r="AU667" s="129"/>
      <c r="AV667" s="129"/>
      <c r="AW667" s="129"/>
      <c r="AX667" s="129"/>
      <c r="AY667" s="129"/>
      <c r="AZ667" s="129"/>
      <c r="BA667" s="129"/>
    </row>
    <row r="668" spans="1:53" ht="12.75" customHeight="1" x14ac:dyDescent="0.2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/>
      <c r="AQ668" s="129"/>
      <c r="AR668" s="129"/>
      <c r="AS668" s="129"/>
      <c r="AT668" s="129"/>
      <c r="AU668" s="129"/>
      <c r="AV668" s="129"/>
      <c r="AW668" s="129"/>
      <c r="AX668" s="129"/>
      <c r="AY668" s="129"/>
      <c r="AZ668" s="129"/>
      <c r="BA668" s="129"/>
    </row>
    <row r="669" spans="1:53" ht="12.75" customHeight="1" x14ac:dyDescent="0.2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/>
      <c r="AQ669" s="129"/>
      <c r="AR669" s="129"/>
      <c r="AS669" s="129"/>
      <c r="AT669" s="129"/>
      <c r="AU669" s="129"/>
      <c r="AV669" s="129"/>
      <c r="AW669" s="129"/>
      <c r="AX669" s="129"/>
      <c r="AY669" s="129"/>
      <c r="AZ669" s="129"/>
      <c r="BA669" s="129"/>
    </row>
    <row r="670" spans="1:53" ht="12.75" customHeight="1" x14ac:dyDescent="0.2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/>
      <c r="AQ670" s="129"/>
      <c r="AR670" s="129"/>
      <c r="AS670" s="129"/>
      <c r="AT670" s="129"/>
      <c r="AU670" s="129"/>
      <c r="AV670" s="129"/>
      <c r="AW670" s="129"/>
      <c r="AX670" s="129"/>
      <c r="AY670" s="129"/>
      <c r="AZ670" s="129"/>
      <c r="BA670" s="129"/>
    </row>
    <row r="671" spans="1:53" ht="12.75" customHeight="1" x14ac:dyDescent="0.2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/>
      <c r="AQ671" s="129"/>
      <c r="AR671" s="129"/>
      <c r="AS671" s="129"/>
      <c r="AT671" s="129"/>
      <c r="AU671" s="129"/>
      <c r="AV671" s="129"/>
      <c r="AW671" s="129"/>
      <c r="AX671" s="129"/>
      <c r="AY671" s="129"/>
      <c r="AZ671" s="129"/>
      <c r="BA671" s="129"/>
    </row>
    <row r="672" spans="1:53" ht="12.75" customHeight="1" x14ac:dyDescent="0.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/>
      <c r="AQ672" s="129"/>
      <c r="AR672" s="129"/>
      <c r="AS672" s="129"/>
      <c r="AT672" s="129"/>
      <c r="AU672" s="129"/>
      <c r="AV672" s="129"/>
      <c r="AW672" s="129"/>
      <c r="AX672" s="129"/>
      <c r="AY672" s="129"/>
      <c r="AZ672" s="129"/>
      <c r="BA672" s="129"/>
    </row>
    <row r="673" spans="1:53" ht="12.75" customHeight="1" x14ac:dyDescent="0.2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/>
      <c r="AQ673" s="129"/>
      <c r="AR673" s="129"/>
      <c r="AS673" s="129"/>
      <c r="AT673" s="129"/>
      <c r="AU673" s="129"/>
      <c r="AV673" s="129"/>
      <c r="AW673" s="129"/>
      <c r="AX673" s="129"/>
      <c r="AY673" s="129"/>
      <c r="AZ673" s="129"/>
      <c r="BA673" s="129"/>
    </row>
    <row r="674" spans="1:53" ht="12.75" customHeight="1" x14ac:dyDescent="0.2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/>
      <c r="AQ674" s="129"/>
      <c r="AR674" s="129"/>
      <c r="AS674" s="129"/>
      <c r="AT674" s="129"/>
      <c r="AU674" s="129"/>
      <c r="AV674" s="129"/>
      <c r="AW674" s="129"/>
      <c r="AX674" s="129"/>
      <c r="AY674" s="129"/>
      <c r="AZ674" s="129"/>
      <c r="BA674" s="129"/>
    </row>
    <row r="675" spans="1:53" ht="12.75" customHeight="1" x14ac:dyDescent="0.2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/>
      <c r="AQ675" s="129"/>
      <c r="AR675" s="129"/>
      <c r="AS675" s="129"/>
      <c r="AT675" s="129"/>
      <c r="AU675" s="129"/>
      <c r="AV675" s="129"/>
      <c r="AW675" s="129"/>
      <c r="AX675" s="129"/>
      <c r="AY675" s="129"/>
      <c r="AZ675" s="129"/>
      <c r="BA675" s="129"/>
    </row>
    <row r="676" spans="1:53" ht="12.75" customHeight="1" x14ac:dyDescent="0.2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/>
      <c r="AQ676" s="129"/>
      <c r="AR676" s="129"/>
      <c r="AS676" s="129"/>
      <c r="AT676" s="129"/>
      <c r="AU676" s="129"/>
      <c r="AV676" s="129"/>
      <c r="AW676" s="129"/>
      <c r="AX676" s="129"/>
      <c r="AY676" s="129"/>
      <c r="AZ676" s="129"/>
      <c r="BA676" s="129"/>
    </row>
    <row r="677" spans="1:53" ht="12.75" customHeight="1" x14ac:dyDescent="0.2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/>
      <c r="AQ677" s="129"/>
      <c r="AR677" s="129"/>
      <c r="AS677" s="129"/>
      <c r="AT677" s="129"/>
      <c r="AU677" s="129"/>
      <c r="AV677" s="129"/>
      <c r="AW677" s="129"/>
      <c r="AX677" s="129"/>
      <c r="AY677" s="129"/>
      <c r="AZ677" s="129"/>
      <c r="BA677" s="129"/>
    </row>
    <row r="678" spans="1:53" ht="12.75" customHeight="1" x14ac:dyDescent="0.2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/>
      <c r="AQ678" s="129"/>
      <c r="AR678" s="129"/>
      <c r="AS678" s="129"/>
      <c r="AT678" s="129"/>
      <c r="AU678" s="129"/>
      <c r="AV678" s="129"/>
      <c r="AW678" s="129"/>
      <c r="AX678" s="129"/>
      <c r="AY678" s="129"/>
      <c r="AZ678" s="129"/>
      <c r="BA678" s="129"/>
    </row>
    <row r="679" spans="1:53" ht="12.75" customHeight="1" x14ac:dyDescent="0.2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29"/>
      <c r="AO679" s="129"/>
      <c r="AP679" s="129"/>
      <c r="AQ679" s="129"/>
      <c r="AR679" s="129"/>
      <c r="AS679" s="129"/>
      <c r="AT679" s="129"/>
      <c r="AU679" s="129"/>
      <c r="AV679" s="129"/>
      <c r="AW679" s="129"/>
      <c r="AX679" s="129"/>
      <c r="AY679" s="129"/>
      <c r="AZ679" s="129"/>
      <c r="BA679" s="129"/>
    </row>
    <row r="680" spans="1:53" ht="12.75" customHeight="1" x14ac:dyDescent="0.2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/>
      <c r="AQ680" s="129"/>
      <c r="AR680" s="129"/>
      <c r="AS680" s="129"/>
      <c r="AT680" s="129"/>
      <c r="AU680" s="129"/>
      <c r="AV680" s="129"/>
      <c r="AW680" s="129"/>
      <c r="AX680" s="129"/>
      <c r="AY680" s="129"/>
      <c r="AZ680" s="129"/>
      <c r="BA680" s="129"/>
    </row>
    <row r="681" spans="1:53" ht="12.75" customHeight="1" x14ac:dyDescent="0.2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129"/>
      <c r="AZ681" s="129"/>
      <c r="BA681" s="129"/>
    </row>
    <row r="682" spans="1:53" ht="12.75" customHeight="1" x14ac:dyDescent="0.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129"/>
      <c r="AZ682" s="129"/>
      <c r="BA682" s="129"/>
    </row>
    <row r="683" spans="1:53" ht="12.75" customHeight="1" x14ac:dyDescent="0.2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29"/>
      <c r="AO683" s="129"/>
      <c r="AP683" s="129"/>
      <c r="AQ683" s="129"/>
      <c r="AR683" s="129"/>
      <c r="AS683" s="129"/>
      <c r="AT683" s="129"/>
      <c r="AU683" s="129"/>
      <c r="AV683" s="129"/>
      <c r="AW683" s="129"/>
      <c r="AX683" s="129"/>
      <c r="AY683" s="129"/>
      <c r="AZ683" s="129"/>
      <c r="BA683" s="129"/>
    </row>
    <row r="684" spans="1:53" ht="12.75" customHeight="1" x14ac:dyDescent="0.2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/>
      <c r="AQ684" s="129"/>
      <c r="AR684" s="129"/>
      <c r="AS684" s="129"/>
      <c r="AT684" s="129"/>
      <c r="AU684" s="129"/>
      <c r="AV684" s="129"/>
      <c r="AW684" s="129"/>
      <c r="AX684" s="129"/>
      <c r="AY684" s="129"/>
      <c r="AZ684" s="129"/>
      <c r="BA684" s="129"/>
    </row>
    <row r="685" spans="1:53" ht="12.75" customHeight="1" x14ac:dyDescent="0.2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/>
      <c r="AQ685" s="129"/>
      <c r="AR685" s="129"/>
      <c r="AS685" s="129"/>
      <c r="AT685" s="129"/>
      <c r="AU685" s="129"/>
      <c r="AV685" s="129"/>
      <c r="AW685" s="129"/>
      <c r="AX685" s="129"/>
      <c r="AY685" s="129"/>
      <c r="AZ685" s="129"/>
      <c r="BA685" s="129"/>
    </row>
    <row r="686" spans="1:53" ht="12.75" customHeight="1" x14ac:dyDescent="0.2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/>
      <c r="AQ686" s="129"/>
      <c r="AR686" s="129"/>
      <c r="AS686" s="129"/>
      <c r="AT686" s="129"/>
      <c r="AU686" s="129"/>
      <c r="AV686" s="129"/>
      <c r="AW686" s="129"/>
      <c r="AX686" s="129"/>
      <c r="AY686" s="129"/>
      <c r="AZ686" s="129"/>
      <c r="BA686" s="129"/>
    </row>
    <row r="687" spans="1:53" ht="12.75" customHeight="1" x14ac:dyDescent="0.2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129"/>
      <c r="AZ687" s="129"/>
      <c r="BA687" s="129"/>
    </row>
    <row r="688" spans="1:53" ht="12.75" customHeight="1" x14ac:dyDescent="0.2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129"/>
      <c r="AZ688" s="129"/>
      <c r="BA688" s="129"/>
    </row>
    <row r="689" spans="1:53" ht="12.75" customHeight="1" x14ac:dyDescent="0.2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129"/>
      <c r="AZ689" s="129"/>
      <c r="BA689" s="129"/>
    </row>
    <row r="690" spans="1:53" ht="12.75" customHeight="1" x14ac:dyDescent="0.2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129"/>
      <c r="AZ690" s="129"/>
      <c r="BA690" s="129"/>
    </row>
    <row r="691" spans="1:53" ht="12.75" customHeight="1" x14ac:dyDescent="0.2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</row>
    <row r="692" spans="1:53" ht="12.75" customHeight="1" x14ac:dyDescent="0.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129"/>
      <c r="AZ692" s="129"/>
      <c r="BA692" s="129"/>
    </row>
    <row r="693" spans="1:53" ht="12.75" customHeight="1" x14ac:dyDescent="0.2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129"/>
      <c r="AZ693" s="129"/>
      <c r="BA693" s="129"/>
    </row>
    <row r="694" spans="1:53" ht="12.75" customHeight="1" x14ac:dyDescent="0.2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</row>
    <row r="695" spans="1:53" ht="12.75" customHeight="1" x14ac:dyDescent="0.2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</row>
    <row r="696" spans="1:53" ht="12.75" customHeight="1" x14ac:dyDescent="0.2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</row>
    <row r="697" spans="1:53" ht="12.75" customHeight="1" x14ac:dyDescent="0.2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</row>
    <row r="698" spans="1:53" ht="12.75" customHeight="1" x14ac:dyDescent="0.2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</row>
    <row r="699" spans="1:53" ht="12.75" customHeight="1" x14ac:dyDescent="0.2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</row>
    <row r="700" spans="1:53" ht="12.75" customHeight="1" x14ac:dyDescent="0.2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</row>
    <row r="701" spans="1:53" ht="12.75" customHeight="1" x14ac:dyDescent="0.2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</row>
    <row r="702" spans="1:53" ht="12.75" customHeight="1" x14ac:dyDescent="0.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</row>
    <row r="703" spans="1:53" ht="12.75" customHeight="1" x14ac:dyDescent="0.2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</row>
    <row r="704" spans="1:53" ht="12.75" customHeight="1" x14ac:dyDescent="0.2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</row>
    <row r="705" spans="1:53" ht="12.75" customHeight="1" x14ac:dyDescent="0.2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/>
      <c r="AQ705" s="129"/>
      <c r="AR705" s="129"/>
      <c r="AS705" s="129"/>
      <c r="AT705" s="129"/>
      <c r="AU705" s="129"/>
      <c r="AV705" s="129"/>
      <c r="AW705" s="129"/>
      <c r="AX705" s="129"/>
      <c r="AY705" s="129"/>
      <c r="AZ705" s="129"/>
      <c r="BA705" s="129"/>
    </row>
    <row r="706" spans="1:53" ht="12.75" customHeight="1" x14ac:dyDescent="0.2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/>
      <c r="AQ706" s="129"/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</row>
    <row r="707" spans="1:53" ht="12.75" customHeight="1" x14ac:dyDescent="0.2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/>
      <c r="AQ707" s="129"/>
      <c r="AR707" s="129"/>
      <c r="AS707" s="129"/>
      <c r="AT707" s="129"/>
      <c r="AU707" s="129"/>
      <c r="AV707" s="129"/>
      <c r="AW707" s="129"/>
      <c r="AX707" s="129"/>
      <c r="AY707" s="129"/>
      <c r="AZ707" s="129"/>
      <c r="BA707" s="129"/>
    </row>
    <row r="708" spans="1:53" ht="12.75" customHeight="1" x14ac:dyDescent="0.2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/>
      <c r="AQ708" s="129"/>
      <c r="AR708" s="129"/>
      <c r="AS708" s="129"/>
      <c r="AT708" s="129"/>
      <c r="AU708" s="129"/>
      <c r="AV708" s="129"/>
      <c r="AW708" s="129"/>
      <c r="AX708" s="129"/>
      <c r="AY708" s="129"/>
      <c r="AZ708" s="129"/>
      <c r="BA708" s="129"/>
    </row>
    <row r="709" spans="1:53" ht="12.75" customHeight="1" x14ac:dyDescent="0.2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/>
      <c r="AQ709" s="129"/>
      <c r="AR709" s="129"/>
      <c r="AS709" s="129"/>
      <c r="AT709" s="129"/>
      <c r="AU709" s="129"/>
      <c r="AV709" s="129"/>
      <c r="AW709" s="129"/>
      <c r="AX709" s="129"/>
      <c r="AY709" s="129"/>
      <c r="AZ709" s="129"/>
      <c r="BA709" s="129"/>
    </row>
    <row r="710" spans="1:53" ht="12.75" customHeight="1" x14ac:dyDescent="0.2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/>
      <c r="AQ710" s="129"/>
      <c r="AR710" s="129"/>
      <c r="AS710" s="129"/>
      <c r="AT710" s="129"/>
      <c r="AU710" s="129"/>
      <c r="AV710" s="129"/>
      <c r="AW710" s="129"/>
      <c r="AX710" s="129"/>
      <c r="AY710" s="129"/>
      <c r="AZ710" s="129"/>
      <c r="BA710" s="129"/>
    </row>
    <row r="711" spans="1:53" ht="12.75" customHeight="1" x14ac:dyDescent="0.2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29"/>
      <c r="AO711" s="129"/>
      <c r="AP711" s="129"/>
      <c r="AQ711" s="129"/>
      <c r="AR711" s="129"/>
      <c r="AS711" s="129"/>
      <c r="AT711" s="129"/>
      <c r="AU711" s="129"/>
      <c r="AV711" s="129"/>
      <c r="AW711" s="129"/>
      <c r="AX711" s="129"/>
      <c r="AY711" s="129"/>
      <c r="AZ711" s="129"/>
      <c r="BA711" s="129"/>
    </row>
    <row r="712" spans="1:53" ht="12.75" customHeight="1" x14ac:dyDescent="0.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29"/>
      <c r="AO712" s="129"/>
      <c r="AP712" s="129"/>
      <c r="AQ712" s="129"/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</row>
    <row r="713" spans="1:53" ht="12.75" customHeight="1" x14ac:dyDescent="0.2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129"/>
      <c r="AZ713" s="129"/>
      <c r="BA713" s="129"/>
    </row>
    <row r="714" spans="1:53" ht="12.75" customHeight="1" x14ac:dyDescent="0.2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129"/>
      <c r="AZ714" s="129"/>
      <c r="BA714" s="129"/>
    </row>
    <row r="715" spans="1:53" ht="12.75" customHeight="1" x14ac:dyDescent="0.2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29"/>
      <c r="AO715" s="129"/>
      <c r="AP715" s="129"/>
      <c r="AQ715" s="129"/>
      <c r="AR715" s="129"/>
      <c r="AS715" s="129"/>
      <c r="AT715" s="129"/>
      <c r="AU715" s="129"/>
      <c r="AV715" s="129"/>
      <c r="AW715" s="129"/>
      <c r="AX715" s="129"/>
      <c r="AY715" s="129"/>
      <c r="AZ715" s="129"/>
      <c r="BA715" s="129"/>
    </row>
    <row r="716" spans="1:53" ht="12.75" customHeight="1" x14ac:dyDescent="0.2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/>
      <c r="AQ716" s="129"/>
      <c r="AR716" s="129"/>
      <c r="AS716" s="129"/>
      <c r="AT716" s="129"/>
      <c r="AU716" s="129"/>
      <c r="AV716" s="129"/>
      <c r="AW716" s="129"/>
      <c r="AX716" s="129"/>
      <c r="AY716" s="129"/>
      <c r="AZ716" s="129"/>
      <c r="BA716" s="129"/>
    </row>
    <row r="717" spans="1:53" ht="12.75" customHeight="1" x14ac:dyDescent="0.2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/>
      <c r="AQ717" s="129"/>
      <c r="AR717" s="129"/>
      <c r="AS717" s="129"/>
      <c r="AT717" s="129"/>
      <c r="AU717" s="129"/>
      <c r="AV717" s="129"/>
      <c r="AW717" s="129"/>
      <c r="AX717" s="129"/>
      <c r="AY717" s="129"/>
      <c r="AZ717" s="129"/>
      <c r="BA717" s="129"/>
    </row>
    <row r="718" spans="1:53" ht="12.75" customHeight="1" x14ac:dyDescent="0.2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/>
      <c r="AQ718" s="129"/>
      <c r="AR718" s="129"/>
      <c r="AS718" s="129"/>
      <c r="AT718" s="129"/>
      <c r="AU718" s="129"/>
      <c r="AV718" s="129"/>
      <c r="AW718" s="129"/>
      <c r="AX718" s="129"/>
      <c r="AY718" s="129"/>
      <c r="AZ718" s="129"/>
      <c r="BA718" s="129"/>
    </row>
    <row r="719" spans="1:53" ht="12.75" customHeight="1" x14ac:dyDescent="0.2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/>
      <c r="AQ719" s="129"/>
      <c r="AR719" s="129"/>
      <c r="AS719" s="129"/>
      <c r="AT719" s="129"/>
      <c r="AU719" s="129"/>
      <c r="AV719" s="129"/>
      <c r="AW719" s="129"/>
      <c r="AX719" s="129"/>
      <c r="AY719" s="129"/>
      <c r="AZ719" s="129"/>
      <c r="BA719" s="129"/>
    </row>
    <row r="720" spans="1:53" ht="12.75" customHeight="1" x14ac:dyDescent="0.2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/>
      <c r="AQ720" s="129"/>
      <c r="AR720" s="129"/>
      <c r="AS720" s="129"/>
      <c r="AT720" s="129"/>
      <c r="AU720" s="129"/>
      <c r="AV720" s="129"/>
      <c r="AW720" s="129"/>
      <c r="AX720" s="129"/>
      <c r="AY720" s="129"/>
      <c r="AZ720" s="129"/>
      <c r="BA720" s="129"/>
    </row>
    <row r="721" spans="1:53" ht="12.75" customHeight="1" x14ac:dyDescent="0.2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/>
      <c r="AQ721" s="129"/>
      <c r="AR721" s="129"/>
      <c r="AS721" s="129"/>
      <c r="AT721" s="129"/>
      <c r="AU721" s="129"/>
      <c r="AV721" s="129"/>
      <c r="AW721" s="129"/>
      <c r="AX721" s="129"/>
      <c r="AY721" s="129"/>
      <c r="AZ721" s="129"/>
      <c r="BA721" s="129"/>
    </row>
    <row r="722" spans="1:53" ht="12.75" customHeight="1" x14ac:dyDescent="0.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/>
      <c r="AQ722" s="129"/>
      <c r="AR722" s="129"/>
      <c r="AS722" s="129"/>
      <c r="AT722" s="129"/>
      <c r="AU722" s="129"/>
      <c r="AV722" s="129"/>
      <c r="AW722" s="129"/>
      <c r="AX722" s="129"/>
      <c r="AY722" s="129"/>
      <c r="AZ722" s="129"/>
      <c r="BA722" s="129"/>
    </row>
    <row r="723" spans="1:53" ht="12.75" customHeight="1" x14ac:dyDescent="0.2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/>
      <c r="AQ723" s="129"/>
      <c r="AR723" s="129"/>
      <c r="AS723" s="129"/>
      <c r="AT723" s="129"/>
      <c r="AU723" s="129"/>
      <c r="AV723" s="129"/>
      <c r="AW723" s="129"/>
      <c r="AX723" s="129"/>
      <c r="AY723" s="129"/>
      <c r="AZ723" s="129"/>
      <c r="BA723" s="129"/>
    </row>
    <row r="724" spans="1:53" ht="12.75" customHeight="1" x14ac:dyDescent="0.2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/>
      <c r="AQ724" s="129"/>
      <c r="AR724" s="129"/>
      <c r="AS724" s="129"/>
      <c r="AT724" s="129"/>
      <c r="AU724" s="129"/>
      <c r="AV724" s="129"/>
      <c r="AW724" s="129"/>
      <c r="AX724" s="129"/>
      <c r="AY724" s="129"/>
      <c r="AZ724" s="129"/>
      <c r="BA724" s="129"/>
    </row>
    <row r="725" spans="1:53" ht="12.75" customHeight="1" x14ac:dyDescent="0.2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/>
      <c r="AQ725" s="129"/>
      <c r="AR725" s="129"/>
      <c r="AS725" s="129"/>
      <c r="AT725" s="129"/>
      <c r="AU725" s="129"/>
      <c r="AV725" s="129"/>
      <c r="AW725" s="129"/>
      <c r="AX725" s="129"/>
      <c r="AY725" s="129"/>
      <c r="AZ725" s="129"/>
      <c r="BA725" s="129"/>
    </row>
    <row r="726" spans="1:53" ht="12.75" customHeight="1" x14ac:dyDescent="0.2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/>
      <c r="AQ726" s="129"/>
      <c r="AR726" s="129"/>
      <c r="AS726" s="129"/>
      <c r="AT726" s="129"/>
      <c r="AU726" s="129"/>
      <c r="AV726" s="129"/>
      <c r="AW726" s="129"/>
      <c r="AX726" s="129"/>
      <c r="AY726" s="129"/>
      <c r="AZ726" s="129"/>
      <c r="BA726" s="129"/>
    </row>
    <row r="727" spans="1:53" ht="12.75" customHeight="1" x14ac:dyDescent="0.2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/>
      <c r="AQ727" s="129"/>
      <c r="AR727" s="129"/>
      <c r="AS727" s="129"/>
      <c r="AT727" s="129"/>
      <c r="AU727" s="129"/>
      <c r="AV727" s="129"/>
      <c r="AW727" s="129"/>
      <c r="AX727" s="129"/>
      <c r="AY727" s="129"/>
      <c r="AZ727" s="129"/>
      <c r="BA727" s="129"/>
    </row>
    <row r="728" spans="1:53" ht="12.75" customHeight="1" x14ac:dyDescent="0.2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</row>
    <row r="729" spans="1:53" ht="12.75" customHeight="1" x14ac:dyDescent="0.2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</row>
    <row r="730" spans="1:53" ht="12.75" customHeight="1" x14ac:dyDescent="0.2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</row>
    <row r="731" spans="1:53" ht="12.75" customHeight="1" x14ac:dyDescent="0.2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</row>
    <row r="732" spans="1:53" ht="12.75" customHeight="1" x14ac:dyDescent="0.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</row>
    <row r="733" spans="1:53" ht="12.75" customHeight="1" x14ac:dyDescent="0.2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</row>
    <row r="734" spans="1:53" ht="12.75" customHeight="1" x14ac:dyDescent="0.2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</row>
    <row r="735" spans="1:53" ht="12.75" customHeight="1" x14ac:dyDescent="0.2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</row>
    <row r="736" spans="1:53" ht="12.75" customHeight="1" x14ac:dyDescent="0.2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</row>
    <row r="737" spans="1:53" ht="12.75" customHeight="1" x14ac:dyDescent="0.2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</row>
    <row r="738" spans="1:53" ht="12.75" customHeight="1" x14ac:dyDescent="0.2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</row>
    <row r="739" spans="1:53" ht="12.75" customHeight="1" x14ac:dyDescent="0.2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</row>
    <row r="740" spans="1:53" ht="12.75" customHeight="1" x14ac:dyDescent="0.2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</row>
    <row r="741" spans="1:53" ht="12.75" customHeight="1" x14ac:dyDescent="0.2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</row>
    <row r="742" spans="1:53" ht="12.75" customHeight="1" x14ac:dyDescent="0.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</row>
    <row r="743" spans="1:53" ht="12.75" customHeight="1" x14ac:dyDescent="0.2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29"/>
      <c r="AO743" s="129"/>
      <c r="AP743" s="129"/>
      <c r="AQ743" s="129"/>
      <c r="AR743" s="129"/>
      <c r="AS743" s="129"/>
      <c r="AT743" s="129"/>
      <c r="AU743" s="129"/>
      <c r="AV743" s="129"/>
      <c r="AW743" s="129"/>
      <c r="AX743" s="129"/>
      <c r="AY743" s="129"/>
      <c r="AZ743" s="129"/>
      <c r="BA743" s="129"/>
    </row>
    <row r="744" spans="1:53" ht="12.75" customHeight="1" x14ac:dyDescent="0.2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</row>
    <row r="745" spans="1:53" ht="12.75" customHeight="1" x14ac:dyDescent="0.2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29"/>
      <c r="AO745" s="129"/>
      <c r="AP745" s="129"/>
      <c r="AQ745" s="129"/>
      <c r="AR745" s="129"/>
      <c r="AS745" s="129"/>
      <c r="AT745" s="129"/>
      <c r="AU745" s="129"/>
      <c r="AV745" s="129"/>
      <c r="AW745" s="129"/>
      <c r="AX745" s="129"/>
      <c r="AY745" s="129"/>
      <c r="AZ745" s="129"/>
      <c r="BA745" s="129"/>
    </row>
    <row r="746" spans="1:53" ht="12.75" customHeight="1" x14ac:dyDescent="0.2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</row>
    <row r="747" spans="1:53" ht="12.75" customHeight="1" x14ac:dyDescent="0.2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29"/>
      <c r="AO747" s="129"/>
      <c r="AP747" s="129"/>
      <c r="AQ747" s="129"/>
      <c r="AR747" s="129"/>
      <c r="AS747" s="129"/>
      <c r="AT747" s="129"/>
      <c r="AU747" s="129"/>
      <c r="AV747" s="129"/>
      <c r="AW747" s="129"/>
      <c r="AX747" s="129"/>
      <c r="AY747" s="129"/>
      <c r="AZ747" s="129"/>
      <c r="BA747" s="129"/>
    </row>
    <row r="748" spans="1:53" ht="12.75" customHeight="1" x14ac:dyDescent="0.2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</row>
    <row r="749" spans="1:53" ht="12.75" customHeight="1" x14ac:dyDescent="0.2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29"/>
      <c r="AO749" s="129"/>
      <c r="AP749" s="129"/>
      <c r="AQ749" s="129"/>
      <c r="AR749" s="129"/>
      <c r="AS749" s="129"/>
      <c r="AT749" s="129"/>
      <c r="AU749" s="129"/>
      <c r="AV749" s="129"/>
      <c r="AW749" s="129"/>
      <c r="AX749" s="129"/>
      <c r="AY749" s="129"/>
      <c r="AZ749" s="129"/>
      <c r="BA749" s="129"/>
    </row>
    <row r="750" spans="1:53" ht="12.75" customHeight="1" x14ac:dyDescent="0.2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</row>
    <row r="751" spans="1:53" ht="12.75" customHeight="1" x14ac:dyDescent="0.2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29"/>
      <c r="AO751" s="129"/>
      <c r="AP751" s="129"/>
      <c r="AQ751" s="129"/>
      <c r="AR751" s="129"/>
      <c r="AS751" s="129"/>
      <c r="AT751" s="129"/>
      <c r="AU751" s="129"/>
      <c r="AV751" s="129"/>
      <c r="AW751" s="129"/>
      <c r="AX751" s="129"/>
      <c r="AY751" s="129"/>
      <c r="AZ751" s="129"/>
      <c r="BA751" s="129"/>
    </row>
    <row r="752" spans="1:53" ht="12.75" customHeight="1" x14ac:dyDescent="0.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</row>
    <row r="753" spans="1:53" ht="12.75" customHeight="1" x14ac:dyDescent="0.2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29"/>
      <c r="AO753" s="129"/>
      <c r="AP753" s="129"/>
      <c r="AQ753" s="129"/>
      <c r="AR753" s="129"/>
      <c r="AS753" s="129"/>
      <c r="AT753" s="129"/>
      <c r="AU753" s="129"/>
      <c r="AV753" s="129"/>
      <c r="AW753" s="129"/>
      <c r="AX753" s="129"/>
      <c r="AY753" s="129"/>
      <c r="AZ753" s="129"/>
      <c r="BA753" s="129"/>
    </row>
    <row r="754" spans="1:53" ht="12.75" customHeight="1" x14ac:dyDescent="0.2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</row>
    <row r="755" spans="1:53" ht="12.75" customHeight="1" x14ac:dyDescent="0.2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29"/>
      <c r="AO755" s="129"/>
      <c r="AP755" s="129"/>
      <c r="AQ755" s="129"/>
      <c r="AR755" s="129"/>
      <c r="AS755" s="129"/>
      <c r="AT755" s="129"/>
      <c r="AU755" s="129"/>
      <c r="AV755" s="129"/>
      <c r="AW755" s="129"/>
      <c r="AX755" s="129"/>
      <c r="AY755" s="129"/>
      <c r="AZ755" s="129"/>
      <c r="BA755" s="129"/>
    </row>
    <row r="756" spans="1:53" ht="12.75" customHeight="1" x14ac:dyDescent="0.2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</row>
    <row r="757" spans="1:53" ht="12.75" customHeight="1" x14ac:dyDescent="0.2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29"/>
      <c r="AO757" s="129"/>
      <c r="AP757" s="129"/>
      <c r="AQ757" s="129"/>
      <c r="AR757" s="129"/>
      <c r="AS757" s="129"/>
      <c r="AT757" s="129"/>
      <c r="AU757" s="129"/>
      <c r="AV757" s="129"/>
      <c r="AW757" s="129"/>
      <c r="AX757" s="129"/>
      <c r="AY757" s="129"/>
      <c r="AZ757" s="129"/>
      <c r="BA757" s="129"/>
    </row>
    <row r="758" spans="1:53" ht="12.75" customHeight="1" x14ac:dyDescent="0.2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</row>
    <row r="759" spans="1:53" ht="12.75" customHeight="1" x14ac:dyDescent="0.2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29"/>
      <c r="AO759" s="129"/>
      <c r="AP759" s="129"/>
      <c r="AQ759" s="129"/>
      <c r="AR759" s="129"/>
      <c r="AS759" s="129"/>
      <c r="AT759" s="129"/>
      <c r="AU759" s="129"/>
      <c r="AV759" s="129"/>
      <c r="AW759" s="129"/>
      <c r="AX759" s="129"/>
      <c r="AY759" s="129"/>
      <c r="AZ759" s="129"/>
      <c r="BA759" s="129"/>
    </row>
    <row r="760" spans="1:53" ht="12.75" customHeight="1" x14ac:dyDescent="0.2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</row>
    <row r="761" spans="1:53" ht="12.75" customHeight="1" x14ac:dyDescent="0.2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29"/>
      <c r="AO761" s="129"/>
      <c r="AP761" s="129"/>
      <c r="AQ761" s="129"/>
      <c r="AR761" s="129"/>
      <c r="AS761" s="129"/>
      <c r="AT761" s="129"/>
      <c r="AU761" s="129"/>
      <c r="AV761" s="129"/>
      <c r="AW761" s="129"/>
      <c r="AX761" s="129"/>
      <c r="AY761" s="129"/>
      <c r="AZ761" s="129"/>
      <c r="BA761" s="129"/>
    </row>
    <row r="762" spans="1:53" ht="12.75" customHeight="1" x14ac:dyDescent="0.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29"/>
      <c r="AO762" s="129"/>
      <c r="AP762" s="129"/>
      <c r="AQ762" s="129"/>
      <c r="AR762" s="129"/>
      <c r="AS762" s="129"/>
      <c r="AT762" s="129"/>
      <c r="AU762" s="129"/>
      <c r="AV762" s="129"/>
      <c r="AW762" s="129"/>
      <c r="AX762" s="129"/>
      <c r="AY762" s="129"/>
      <c r="AZ762" s="129"/>
      <c r="BA762" s="129"/>
    </row>
    <row r="763" spans="1:53" ht="12.75" customHeight="1" x14ac:dyDescent="0.2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29"/>
      <c r="AO763" s="129"/>
      <c r="AP763" s="129"/>
      <c r="AQ763" s="129"/>
      <c r="AR763" s="129"/>
      <c r="AS763" s="129"/>
      <c r="AT763" s="129"/>
      <c r="AU763" s="129"/>
      <c r="AV763" s="129"/>
      <c r="AW763" s="129"/>
      <c r="AX763" s="129"/>
      <c r="AY763" s="129"/>
      <c r="AZ763" s="129"/>
      <c r="BA763" s="129"/>
    </row>
    <row r="764" spans="1:53" ht="12.75" customHeight="1" x14ac:dyDescent="0.2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</row>
    <row r="765" spans="1:53" ht="12.75" customHeight="1" x14ac:dyDescent="0.2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</row>
    <row r="766" spans="1:53" ht="12.75" customHeight="1" x14ac:dyDescent="0.2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</row>
    <row r="767" spans="1:53" ht="12.75" customHeight="1" x14ac:dyDescent="0.2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</row>
    <row r="768" spans="1:53" ht="12.75" customHeight="1" x14ac:dyDescent="0.2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</row>
    <row r="769" spans="1:53" ht="12.75" customHeight="1" x14ac:dyDescent="0.2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</row>
    <row r="770" spans="1:53" ht="12.75" customHeight="1" x14ac:dyDescent="0.2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</row>
    <row r="771" spans="1:53" ht="12.75" customHeight="1" x14ac:dyDescent="0.2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</row>
    <row r="772" spans="1:53" ht="12.75" customHeight="1" x14ac:dyDescent="0.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</row>
    <row r="773" spans="1:53" ht="12.75" customHeight="1" x14ac:dyDescent="0.2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</row>
    <row r="774" spans="1:53" ht="12.75" customHeight="1" x14ac:dyDescent="0.2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</row>
    <row r="775" spans="1:53" ht="12.75" customHeight="1" x14ac:dyDescent="0.2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</row>
    <row r="776" spans="1:53" ht="12.75" customHeight="1" x14ac:dyDescent="0.2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</row>
    <row r="777" spans="1:53" ht="12.75" customHeight="1" x14ac:dyDescent="0.2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</row>
    <row r="778" spans="1:53" ht="12.75" customHeight="1" x14ac:dyDescent="0.2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</row>
    <row r="779" spans="1:53" ht="12.75" customHeight="1" x14ac:dyDescent="0.2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</row>
    <row r="780" spans="1:53" ht="12.75" customHeight="1" x14ac:dyDescent="0.2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</row>
    <row r="781" spans="1:53" ht="12.75" customHeight="1" x14ac:dyDescent="0.2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</row>
    <row r="782" spans="1:53" ht="12.75" customHeight="1" x14ac:dyDescent="0.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</row>
    <row r="783" spans="1:53" ht="12.75" customHeight="1" x14ac:dyDescent="0.2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</row>
    <row r="784" spans="1:53" ht="12.75" customHeight="1" x14ac:dyDescent="0.2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</row>
    <row r="785" spans="1:53" ht="12.75" customHeight="1" x14ac:dyDescent="0.2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</row>
    <row r="786" spans="1:53" ht="12.75" customHeight="1" x14ac:dyDescent="0.2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</row>
    <row r="787" spans="1:53" ht="12.75" customHeight="1" x14ac:dyDescent="0.2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</row>
    <row r="788" spans="1:53" ht="12.75" customHeight="1" x14ac:dyDescent="0.2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</row>
    <row r="789" spans="1:53" ht="12.75" customHeight="1" x14ac:dyDescent="0.2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</row>
    <row r="790" spans="1:53" ht="12.75" customHeight="1" x14ac:dyDescent="0.2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</row>
    <row r="791" spans="1:53" ht="12.75" customHeight="1" x14ac:dyDescent="0.2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29"/>
      <c r="AO791" s="129"/>
      <c r="AP791" s="129"/>
      <c r="AQ791" s="129"/>
      <c r="AR791" s="129"/>
      <c r="AS791" s="129"/>
      <c r="AT791" s="129"/>
      <c r="AU791" s="129"/>
      <c r="AV791" s="129"/>
      <c r="AW791" s="129"/>
      <c r="AX791" s="129"/>
      <c r="AY791" s="129"/>
      <c r="AZ791" s="129"/>
      <c r="BA791" s="129"/>
    </row>
    <row r="792" spans="1:53" ht="12.75" customHeight="1" x14ac:dyDescent="0.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</row>
    <row r="793" spans="1:53" ht="12.75" customHeight="1" x14ac:dyDescent="0.2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</row>
    <row r="794" spans="1:53" ht="12.75" customHeight="1" x14ac:dyDescent="0.2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</row>
    <row r="795" spans="1:53" ht="12.75" customHeight="1" x14ac:dyDescent="0.2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</row>
    <row r="796" spans="1:53" ht="12.75" customHeight="1" x14ac:dyDescent="0.2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</row>
    <row r="797" spans="1:53" ht="12.75" customHeight="1" x14ac:dyDescent="0.2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</row>
    <row r="798" spans="1:53" ht="12.75" customHeight="1" x14ac:dyDescent="0.2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</row>
    <row r="799" spans="1:53" ht="12.75" customHeight="1" x14ac:dyDescent="0.2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</row>
    <row r="800" spans="1:53" ht="12.75" customHeight="1" x14ac:dyDescent="0.2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</row>
    <row r="801" spans="1:53" ht="12.75" customHeight="1" x14ac:dyDescent="0.2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</row>
    <row r="802" spans="1:53" ht="12.75" customHeight="1" x14ac:dyDescent="0.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</row>
    <row r="803" spans="1:53" ht="12.75" customHeight="1" x14ac:dyDescent="0.2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</row>
    <row r="804" spans="1:53" ht="12.75" customHeight="1" x14ac:dyDescent="0.2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</row>
    <row r="805" spans="1:53" ht="12.75" customHeight="1" x14ac:dyDescent="0.2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</row>
    <row r="806" spans="1:53" ht="12.75" customHeight="1" x14ac:dyDescent="0.2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29"/>
      <c r="AO806" s="129"/>
      <c r="AP806" s="129"/>
      <c r="AQ806" s="129"/>
      <c r="AR806" s="129"/>
      <c r="AS806" s="129"/>
      <c r="AT806" s="129"/>
      <c r="AU806" s="129"/>
      <c r="AV806" s="129"/>
      <c r="AW806" s="129"/>
      <c r="AX806" s="129"/>
      <c r="AY806" s="129"/>
      <c r="AZ806" s="129"/>
      <c r="BA806" s="129"/>
    </row>
    <row r="807" spans="1:53" ht="12.75" customHeight="1" x14ac:dyDescent="0.2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</row>
    <row r="808" spans="1:53" ht="12.75" customHeight="1" x14ac:dyDescent="0.2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</row>
    <row r="809" spans="1:53" ht="12.75" customHeight="1" x14ac:dyDescent="0.2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</row>
    <row r="810" spans="1:53" ht="12.75" customHeight="1" x14ac:dyDescent="0.2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</row>
    <row r="811" spans="1:53" ht="12.75" customHeight="1" x14ac:dyDescent="0.2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</row>
    <row r="812" spans="1:53" ht="12.75" customHeight="1" x14ac:dyDescent="0.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</row>
    <row r="813" spans="1:53" ht="12.75" customHeight="1" x14ac:dyDescent="0.2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</row>
    <row r="814" spans="1:53" ht="12.75" customHeight="1" x14ac:dyDescent="0.2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</row>
    <row r="815" spans="1:53" ht="12.75" customHeight="1" x14ac:dyDescent="0.2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</row>
    <row r="816" spans="1:53" ht="12.75" customHeight="1" x14ac:dyDescent="0.2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</row>
    <row r="817" spans="1:53" ht="12.75" customHeight="1" x14ac:dyDescent="0.2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</row>
    <row r="818" spans="1:53" ht="12.75" customHeight="1" x14ac:dyDescent="0.2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</row>
    <row r="819" spans="1:53" ht="12.75" customHeight="1" x14ac:dyDescent="0.2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</row>
    <row r="820" spans="1:53" ht="12.75" customHeight="1" x14ac:dyDescent="0.2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</row>
    <row r="821" spans="1:53" ht="12.75" customHeight="1" x14ac:dyDescent="0.2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</row>
    <row r="822" spans="1:53" ht="12.75" customHeight="1" x14ac:dyDescent="0.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</row>
    <row r="823" spans="1:53" ht="12.75" customHeight="1" x14ac:dyDescent="0.2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</row>
    <row r="824" spans="1:53" ht="12.75" customHeight="1" x14ac:dyDescent="0.2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</row>
    <row r="825" spans="1:53" ht="12.75" customHeight="1" x14ac:dyDescent="0.2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</row>
    <row r="826" spans="1:53" ht="12.75" customHeight="1" x14ac:dyDescent="0.2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29"/>
      <c r="AO826" s="129"/>
      <c r="AP826" s="129"/>
      <c r="AQ826" s="129"/>
      <c r="AR826" s="129"/>
      <c r="AS826" s="129"/>
      <c r="AT826" s="129"/>
      <c r="AU826" s="129"/>
      <c r="AV826" s="129"/>
      <c r="AW826" s="129"/>
      <c r="AX826" s="129"/>
      <c r="AY826" s="129"/>
      <c r="AZ826" s="129"/>
      <c r="BA826" s="129"/>
    </row>
    <row r="827" spans="1:53" ht="12.75" customHeight="1" x14ac:dyDescent="0.2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</row>
    <row r="828" spans="1:53" ht="12.75" customHeight="1" x14ac:dyDescent="0.2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</row>
    <row r="829" spans="1:53" ht="12.75" customHeight="1" x14ac:dyDescent="0.2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</row>
    <row r="830" spans="1:53" ht="12.75" customHeight="1" x14ac:dyDescent="0.2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</row>
    <row r="831" spans="1:53" ht="12.75" customHeight="1" x14ac:dyDescent="0.2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</row>
    <row r="832" spans="1:53" ht="12.75" customHeight="1" x14ac:dyDescent="0.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</row>
    <row r="833" spans="1:53" ht="12.75" customHeight="1" x14ac:dyDescent="0.2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</row>
    <row r="834" spans="1:53" ht="12.75" customHeight="1" x14ac:dyDescent="0.2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</row>
    <row r="835" spans="1:53" ht="12.75" customHeight="1" x14ac:dyDescent="0.2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</row>
    <row r="836" spans="1:53" ht="12.75" customHeight="1" x14ac:dyDescent="0.2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</row>
    <row r="837" spans="1:53" ht="12.75" customHeight="1" x14ac:dyDescent="0.2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</row>
    <row r="838" spans="1:53" ht="12.75" customHeight="1" x14ac:dyDescent="0.2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</row>
    <row r="839" spans="1:53" ht="12.75" customHeight="1" x14ac:dyDescent="0.2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</row>
    <row r="840" spans="1:53" ht="12.75" customHeight="1" x14ac:dyDescent="0.2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</row>
    <row r="841" spans="1:53" ht="12.75" customHeight="1" x14ac:dyDescent="0.2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</row>
    <row r="842" spans="1:53" ht="12.75" customHeight="1" x14ac:dyDescent="0.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</row>
    <row r="843" spans="1:53" ht="12.75" customHeight="1" x14ac:dyDescent="0.2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</row>
    <row r="844" spans="1:53" ht="12.75" customHeight="1" x14ac:dyDescent="0.2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</row>
    <row r="845" spans="1:53" ht="12.75" customHeight="1" x14ac:dyDescent="0.2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</row>
    <row r="846" spans="1:53" ht="12.75" customHeight="1" x14ac:dyDescent="0.2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</row>
    <row r="847" spans="1:53" ht="12.75" customHeight="1" x14ac:dyDescent="0.2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</row>
    <row r="848" spans="1:53" ht="12.75" customHeight="1" x14ac:dyDescent="0.2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</row>
    <row r="849" spans="1:53" ht="12.75" customHeight="1" x14ac:dyDescent="0.2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</row>
    <row r="850" spans="1:53" ht="12.75" customHeight="1" x14ac:dyDescent="0.2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</row>
    <row r="851" spans="1:53" ht="12.75" customHeight="1" x14ac:dyDescent="0.2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</row>
    <row r="852" spans="1:53" ht="12.75" customHeight="1" x14ac:dyDescent="0.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</row>
    <row r="853" spans="1:53" ht="12.75" customHeight="1" x14ac:dyDescent="0.2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</row>
    <row r="854" spans="1:53" ht="12.75" customHeight="1" x14ac:dyDescent="0.2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</row>
    <row r="855" spans="1:53" ht="12.75" customHeight="1" x14ac:dyDescent="0.2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</row>
    <row r="856" spans="1:53" ht="12.75" customHeight="1" x14ac:dyDescent="0.2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</row>
    <row r="857" spans="1:53" ht="12.75" customHeight="1" x14ac:dyDescent="0.2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</row>
    <row r="858" spans="1:53" ht="12.75" customHeight="1" x14ac:dyDescent="0.2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</row>
    <row r="859" spans="1:53" ht="12.75" customHeight="1" x14ac:dyDescent="0.2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</row>
    <row r="860" spans="1:53" ht="12.75" customHeight="1" x14ac:dyDescent="0.2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</row>
    <row r="861" spans="1:53" ht="12.75" customHeight="1" x14ac:dyDescent="0.2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29"/>
      <c r="AO861" s="129"/>
      <c r="AP861" s="129"/>
      <c r="AQ861" s="129"/>
      <c r="AR861" s="129"/>
      <c r="AS861" s="129"/>
      <c r="AT861" s="129"/>
      <c r="AU861" s="129"/>
      <c r="AV861" s="129"/>
      <c r="AW861" s="129"/>
      <c r="AX861" s="129"/>
      <c r="AY861" s="129"/>
      <c r="AZ861" s="129"/>
      <c r="BA861" s="129"/>
    </row>
    <row r="862" spans="1:53" ht="12.75" customHeight="1" x14ac:dyDescent="0.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</row>
    <row r="863" spans="1:53" ht="12.75" customHeight="1" x14ac:dyDescent="0.2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</row>
    <row r="864" spans="1:53" ht="12.75" customHeight="1" x14ac:dyDescent="0.2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</row>
    <row r="865" spans="1:53" ht="12.75" customHeight="1" x14ac:dyDescent="0.2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</row>
    <row r="866" spans="1:53" ht="12.75" customHeight="1" x14ac:dyDescent="0.2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</row>
    <row r="867" spans="1:53" ht="12.75" customHeight="1" x14ac:dyDescent="0.2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</row>
    <row r="868" spans="1:53" ht="12.75" customHeight="1" x14ac:dyDescent="0.2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</row>
    <row r="869" spans="1:53" ht="12.75" customHeight="1" x14ac:dyDescent="0.2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</row>
    <row r="870" spans="1:53" ht="12.75" customHeight="1" x14ac:dyDescent="0.2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</row>
    <row r="871" spans="1:53" ht="12.75" customHeight="1" x14ac:dyDescent="0.2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</row>
    <row r="872" spans="1:53" ht="12.75" customHeight="1" x14ac:dyDescent="0.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</row>
    <row r="873" spans="1:53" ht="12.75" customHeight="1" x14ac:dyDescent="0.2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</row>
    <row r="874" spans="1:53" ht="12.75" customHeight="1" x14ac:dyDescent="0.2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</row>
    <row r="875" spans="1:53" ht="12.75" customHeight="1" x14ac:dyDescent="0.2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</row>
    <row r="876" spans="1:53" ht="12.75" customHeight="1" x14ac:dyDescent="0.2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</row>
    <row r="877" spans="1:53" ht="12.75" customHeight="1" x14ac:dyDescent="0.2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</row>
    <row r="878" spans="1:53" ht="12.75" customHeight="1" x14ac:dyDescent="0.2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</row>
    <row r="879" spans="1:53" ht="12.75" customHeight="1" x14ac:dyDescent="0.2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</row>
    <row r="880" spans="1:53" ht="12.75" customHeight="1" x14ac:dyDescent="0.2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</row>
    <row r="881" spans="1:53" ht="12.75" customHeight="1" x14ac:dyDescent="0.2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</row>
    <row r="882" spans="1:53" ht="12.75" customHeight="1" x14ac:dyDescent="0.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29"/>
      <c r="AO882" s="129"/>
      <c r="AP882" s="129"/>
      <c r="AQ882" s="129"/>
      <c r="AR882" s="129"/>
      <c r="AS882" s="129"/>
      <c r="AT882" s="129"/>
      <c r="AU882" s="129"/>
      <c r="AV882" s="129"/>
      <c r="AW882" s="129"/>
      <c r="AX882" s="129"/>
      <c r="AY882" s="129"/>
      <c r="AZ882" s="129"/>
      <c r="BA882" s="129"/>
    </row>
    <row r="883" spans="1:53" ht="12.75" customHeight="1" x14ac:dyDescent="0.2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</row>
    <row r="884" spans="1:53" ht="12.75" customHeight="1" x14ac:dyDescent="0.2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</row>
    <row r="885" spans="1:53" ht="12.75" customHeight="1" x14ac:dyDescent="0.2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</row>
    <row r="886" spans="1:53" ht="12.75" customHeight="1" x14ac:dyDescent="0.2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</row>
    <row r="887" spans="1:53" ht="12.75" customHeight="1" x14ac:dyDescent="0.2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</row>
    <row r="888" spans="1:53" ht="12.75" customHeight="1" x14ac:dyDescent="0.2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</row>
    <row r="889" spans="1:53" ht="12.75" customHeight="1" x14ac:dyDescent="0.2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</row>
    <row r="890" spans="1:53" ht="12.75" customHeight="1" x14ac:dyDescent="0.2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</row>
    <row r="891" spans="1:53" ht="12.75" customHeight="1" x14ac:dyDescent="0.2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</row>
    <row r="892" spans="1:53" ht="12.75" customHeight="1" x14ac:dyDescent="0.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</row>
    <row r="893" spans="1:53" ht="12.75" customHeight="1" x14ac:dyDescent="0.2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</row>
    <row r="894" spans="1:53" ht="12.75" customHeight="1" x14ac:dyDescent="0.2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29"/>
      <c r="AO894" s="129"/>
      <c r="AP894" s="129"/>
      <c r="AQ894" s="129"/>
      <c r="AR894" s="129"/>
      <c r="AS894" s="129"/>
      <c r="AT894" s="129"/>
      <c r="AU894" s="129"/>
      <c r="AV894" s="129"/>
      <c r="AW894" s="129"/>
      <c r="AX894" s="129"/>
      <c r="AY894" s="129"/>
      <c r="AZ894" s="129"/>
      <c r="BA894" s="129"/>
    </row>
    <row r="895" spans="1:53" ht="12.75" customHeight="1" x14ac:dyDescent="0.2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</row>
    <row r="896" spans="1:53" ht="12.75" customHeight="1" x14ac:dyDescent="0.2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29"/>
      <c r="AO896" s="129"/>
      <c r="AP896" s="129"/>
      <c r="AQ896" s="129"/>
      <c r="AR896" s="129"/>
      <c r="AS896" s="129"/>
      <c r="AT896" s="129"/>
      <c r="AU896" s="129"/>
      <c r="AV896" s="129"/>
      <c r="AW896" s="129"/>
      <c r="AX896" s="129"/>
      <c r="AY896" s="129"/>
      <c r="AZ896" s="129"/>
      <c r="BA896" s="129"/>
    </row>
    <row r="897" spans="1:53" ht="12.75" customHeight="1" x14ac:dyDescent="0.2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</row>
    <row r="898" spans="1:53" ht="12.75" customHeight="1" x14ac:dyDescent="0.2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29"/>
      <c r="AO898" s="129"/>
      <c r="AP898" s="129"/>
      <c r="AQ898" s="129"/>
      <c r="AR898" s="129"/>
      <c r="AS898" s="129"/>
      <c r="AT898" s="129"/>
      <c r="AU898" s="129"/>
      <c r="AV898" s="129"/>
      <c r="AW898" s="129"/>
      <c r="AX898" s="129"/>
      <c r="AY898" s="129"/>
      <c r="AZ898" s="129"/>
      <c r="BA898" s="129"/>
    </row>
    <row r="899" spans="1:53" ht="12.75" customHeight="1" x14ac:dyDescent="0.2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</row>
    <row r="900" spans="1:53" ht="12.75" customHeight="1" x14ac:dyDescent="0.2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29"/>
      <c r="AO900" s="129"/>
      <c r="AP900" s="129"/>
      <c r="AQ900" s="129"/>
      <c r="AR900" s="129"/>
      <c r="AS900" s="129"/>
      <c r="AT900" s="129"/>
      <c r="AU900" s="129"/>
      <c r="AV900" s="129"/>
      <c r="AW900" s="129"/>
      <c r="AX900" s="129"/>
      <c r="AY900" s="129"/>
      <c r="AZ900" s="129"/>
      <c r="BA900" s="129"/>
    </row>
    <row r="901" spans="1:53" ht="12.75" customHeight="1" x14ac:dyDescent="0.2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</row>
    <row r="902" spans="1:53" ht="12.75" customHeight="1" x14ac:dyDescent="0.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</row>
    <row r="903" spans="1:53" ht="12.75" customHeight="1" x14ac:dyDescent="0.2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</row>
    <row r="904" spans="1:53" ht="12.75" customHeight="1" x14ac:dyDescent="0.2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</row>
    <row r="905" spans="1:53" ht="12.75" customHeight="1" x14ac:dyDescent="0.2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29"/>
      <c r="AO905" s="129"/>
      <c r="AP905" s="129"/>
      <c r="AQ905" s="129"/>
      <c r="AR905" s="129"/>
      <c r="AS905" s="129"/>
      <c r="AT905" s="129"/>
      <c r="AU905" s="129"/>
      <c r="AV905" s="129"/>
      <c r="AW905" s="129"/>
      <c r="AX905" s="129"/>
      <c r="AY905" s="129"/>
      <c r="AZ905" s="129"/>
      <c r="BA905" s="129"/>
    </row>
    <row r="906" spans="1:53" ht="12.75" customHeight="1" x14ac:dyDescent="0.2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</row>
    <row r="907" spans="1:53" ht="12.75" customHeight="1" x14ac:dyDescent="0.2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</row>
    <row r="908" spans="1:53" ht="12.75" customHeight="1" x14ac:dyDescent="0.2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</row>
    <row r="909" spans="1:53" ht="12.75" customHeight="1" x14ac:dyDescent="0.2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29"/>
      <c r="AO909" s="129"/>
      <c r="AP909" s="129"/>
      <c r="AQ909" s="129"/>
      <c r="AR909" s="129"/>
      <c r="AS909" s="129"/>
      <c r="AT909" s="129"/>
      <c r="AU909" s="129"/>
      <c r="AV909" s="129"/>
      <c r="AW909" s="129"/>
      <c r="AX909" s="129"/>
      <c r="AY909" s="129"/>
      <c r="AZ909" s="129"/>
      <c r="BA909" s="129"/>
    </row>
    <row r="910" spans="1:53" ht="12.75" customHeight="1" x14ac:dyDescent="0.2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29"/>
      <c r="AO910" s="129"/>
      <c r="AP910" s="129"/>
      <c r="AQ910" s="129"/>
      <c r="AR910" s="129"/>
      <c r="AS910" s="129"/>
      <c r="AT910" s="129"/>
      <c r="AU910" s="129"/>
      <c r="AV910" s="129"/>
      <c r="AW910" s="129"/>
      <c r="AX910" s="129"/>
      <c r="AY910" s="129"/>
      <c r="AZ910" s="129"/>
      <c r="BA910" s="129"/>
    </row>
    <row r="911" spans="1:53" ht="12.75" customHeight="1" x14ac:dyDescent="0.2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</row>
    <row r="912" spans="1:53" ht="12.75" customHeight="1" x14ac:dyDescent="0.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</row>
    <row r="913" spans="1:53" ht="12.75" customHeight="1" x14ac:dyDescent="0.2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</row>
    <row r="914" spans="1:53" ht="12.75" customHeight="1" x14ac:dyDescent="0.2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</row>
    <row r="915" spans="1:53" ht="12.75" customHeight="1" x14ac:dyDescent="0.2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</row>
    <row r="916" spans="1:53" ht="12.75" customHeight="1" x14ac:dyDescent="0.2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29"/>
      <c r="AO916" s="129"/>
      <c r="AP916" s="129"/>
      <c r="AQ916" s="129"/>
      <c r="AR916" s="129"/>
      <c r="AS916" s="129"/>
      <c r="AT916" s="129"/>
      <c r="AU916" s="129"/>
      <c r="AV916" s="129"/>
      <c r="AW916" s="129"/>
      <c r="AX916" s="129"/>
      <c r="AY916" s="129"/>
      <c r="AZ916" s="129"/>
      <c r="BA916" s="129"/>
    </row>
    <row r="917" spans="1:53" ht="12.75" customHeight="1" x14ac:dyDescent="0.2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29"/>
      <c r="AO917" s="129"/>
      <c r="AP917" s="129"/>
      <c r="AQ917" s="129"/>
      <c r="AR917" s="129"/>
      <c r="AS917" s="129"/>
      <c r="AT917" s="129"/>
      <c r="AU917" s="129"/>
      <c r="AV917" s="129"/>
      <c r="AW917" s="129"/>
      <c r="AX917" s="129"/>
      <c r="AY917" s="129"/>
      <c r="AZ917" s="129"/>
      <c r="BA917" s="129"/>
    </row>
    <row r="918" spans="1:53" ht="12.75" customHeight="1" x14ac:dyDescent="0.2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</row>
    <row r="919" spans="1:53" ht="12.75" customHeight="1" x14ac:dyDescent="0.2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</row>
    <row r="920" spans="1:53" ht="12.75" customHeight="1" x14ac:dyDescent="0.2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</row>
    <row r="921" spans="1:53" ht="12.75" customHeight="1" x14ac:dyDescent="0.2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</row>
    <row r="922" spans="1:53" ht="12.75" customHeight="1" x14ac:dyDescent="0.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</row>
    <row r="923" spans="1:53" ht="12.75" customHeight="1" x14ac:dyDescent="0.2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</row>
    <row r="924" spans="1:53" ht="12.75" customHeight="1" x14ac:dyDescent="0.2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</row>
    <row r="925" spans="1:53" ht="12.75" customHeight="1" x14ac:dyDescent="0.2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</row>
    <row r="926" spans="1:53" ht="12.75" customHeight="1" x14ac:dyDescent="0.2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</row>
    <row r="927" spans="1:53" ht="12.75" customHeight="1" x14ac:dyDescent="0.2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</row>
    <row r="928" spans="1:53" ht="12.75" customHeight="1" x14ac:dyDescent="0.2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</row>
    <row r="929" spans="1:53" ht="12.75" customHeight="1" x14ac:dyDescent="0.2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</row>
    <row r="930" spans="1:53" ht="12.75" customHeight="1" x14ac:dyDescent="0.2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</row>
    <row r="931" spans="1:53" ht="12.75" customHeight="1" x14ac:dyDescent="0.2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</row>
    <row r="932" spans="1:53" ht="12.75" customHeight="1" x14ac:dyDescent="0.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</row>
    <row r="933" spans="1:53" ht="12.75" customHeight="1" x14ac:dyDescent="0.2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29"/>
      <c r="AO933" s="129"/>
      <c r="AP933" s="129"/>
      <c r="AQ933" s="129"/>
      <c r="AR933" s="129"/>
      <c r="AS933" s="129"/>
      <c r="AT933" s="129"/>
      <c r="AU933" s="129"/>
      <c r="AV933" s="129"/>
      <c r="AW933" s="129"/>
      <c r="AX933" s="129"/>
      <c r="AY933" s="129"/>
      <c r="AZ933" s="129"/>
      <c r="BA933" s="129"/>
    </row>
    <row r="934" spans="1:53" ht="12.75" customHeight="1" x14ac:dyDescent="0.2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</row>
    <row r="935" spans="1:53" ht="12.75" customHeight="1" x14ac:dyDescent="0.2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29"/>
      <c r="AO935" s="129"/>
      <c r="AP935" s="129"/>
      <c r="AQ935" s="129"/>
      <c r="AR935" s="129"/>
      <c r="AS935" s="129"/>
      <c r="AT935" s="129"/>
      <c r="AU935" s="129"/>
      <c r="AV935" s="129"/>
      <c r="AW935" s="129"/>
      <c r="AX935" s="129"/>
      <c r="AY935" s="129"/>
      <c r="AZ935" s="129"/>
      <c r="BA935" s="129"/>
    </row>
    <row r="936" spans="1:53" ht="12.75" customHeight="1" x14ac:dyDescent="0.2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</row>
    <row r="937" spans="1:53" ht="12.75" customHeight="1" x14ac:dyDescent="0.2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</row>
    <row r="938" spans="1:53" ht="12.75" customHeight="1" x14ac:dyDescent="0.2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</row>
    <row r="939" spans="1:53" ht="12.75" customHeight="1" x14ac:dyDescent="0.2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29"/>
      <c r="AO939" s="129"/>
      <c r="AP939" s="129"/>
      <c r="AQ939" s="129"/>
      <c r="AR939" s="129"/>
      <c r="AS939" s="129"/>
      <c r="AT939" s="129"/>
      <c r="AU939" s="129"/>
      <c r="AV939" s="129"/>
      <c r="AW939" s="129"/>
      <c r="AX939" s="129"/>
      <c r="AY939" s="129"/>
      <c r="AZ939" s="129"/>
      <c r="BA939" s="129"/>
    </row>
    <row r="940" spans="1:53" ht="12.75" customHeight="1" x14ac:dyDescent="0.2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29"/>
      <c r="AO940" s="129"/>
      <c r="AP940" s="129"/>
      <c r="AQ940" s="129"/>
      <c r="AR940" s="129"/>
      <c r="AS940" s="129"/>
      <c r="AT940" s="129"/>
      <c r="AU940" s="129"/>
      <c r="AV940" s="129"/>
      <c r="AW940" s="129"/>
      <c r="AX940" s="129"/>
      <c r="AY940" s="129"/>
      <c r="AZ940" s="129"/>
      <c r="BA940" s="129"/>
    </row>
    <row r="941" spans="1:53" ht="12.75" customHeight="1" x14ac:dyDescent="0.2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</row>
    <row r="942" spans="1:53" ht="12.75" customHeight="1" x14ac:dyDescent="0.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</row>
    <row r="943" spans="1:53" ht="12.75" customHeight="1" x14ac:dyDescent="0.2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</row>
    <row r="944" spans="1:53" ht="12.75" customHeight="1" x14ac:dyDescent="0.2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</row>
    <row r="945" spans="1:53" ht="12.75" customHeight="1" x14ac:dyDescent="0.2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</row>
    <row r="946" spans="1:53" ht="12.75" customHeight="1" x14ac:dyDescent="0.2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29"/>
      <c r="AO946" s="129"/>
      <c r="AP946" s="129"/>
      <c r="AQ946" s="129"/>
      <c r="AR946" s="129"/>
      <c r="AS946" s="129"/>
      <c r="AT946" s="129"/>
      <c r="AU946" s="129"/>
      <c r="AV946" s="129"/>
      <c r="AW946" s="129"/>
      <c r="AX946" s="129"/>
      <c r="AY946" s="129"/>
      <c r="AZ946" s="129"/>
      <c r="BA946" s="129"/>
    </row>
    <row r="947" spans="1:53" ht="12.75" customHeight="1" x14ac:dyDescent="0.2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29"/>
      <c r="AO947" s="129"/>
      <c r="AP947" s="129"/>
      <c r="AQ947" s="129"/>
      <c r="AR947" s="129"/>
      <c r="AS947" s="129"/>
      <c r="AT947" s="129"/>
      <c r="AU947" s="129"/>
      <c r="AV947" s="129"/>
      <c r="AW947" s="129"/>
      <c r="AX947" s="129"/>
      <c r="AY947" s="129"/>
      <c r="AZ947" s="129"/>
      <c r="BA947" s="129"/>
    </row>
    <row r="948" spans="1:53" ht="12.75" customHeight="1" x14ac:dyDescent="0.2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</row>
    <row r="949" spans="1:53" ht="12.75" customHeight="1" x14ac:dyDescent="0.2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</row>
    <row r="950" spans="1:53" ht="12.75" customHeight="1" x14ac:dyDescent="0.2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29"/>
      <c r="AO950" s="129"/>
      <c r="AP950" s="129"/>
      <c r="AQ950" s="129"/>
      <c r="AR950" s="129"/>
      <c r="AS950" s="129"/>
      <c r="AT950" s="129"/>
      <c r="AU950" s="129"/>
      <c r="AV950" s="129"/>
      <c r="AW950" s="129"/>
      <c r="AX950" s="129"/>
      <c r="AY950" s="129"/>
      <c r="AZ950" s="129"/>
      <c r="BA950" s="129"/>
    </row>
    <row r="951" spans="1:53" ht="12.75" customHeight="1" x14ac:dyDescent="0.2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</row>
    <row r="952" spans="1:53" ht="12.75" customHeight="1" x14ac:dyDescent="0.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</row>
    <row r="953" spans="1:53" ht="12.75" customHeight="1" x14ac:dyDescent="0.2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29"/>
      <c r="AO953" s="129"/>
      <c r="AP953" s="129"/>
      <c r="AQ953" s="129"/>
      <c r="AR953" s="129"/>
      <c r="AS953" s="129"/>
      <c r="AT953" s="129"/>
      <c r="AU953" s="129"/>
      <c r="AV953" s="129"/>
      <c r="AW953" s="129"/>
      <c r="AX953" s="129"/>
      <c r="AY953" s="129"/>
      <c r="AZ953" s="129"/>
      <c r="BA953" s="129"/>
    </row>
    <row r="954" spans="1:53" ht="12.75" customHeight="1" x14ac:dyDescent="0.2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</row>
    <row r="955" spans="1:53" ht="12.75" customHeight="1" x14ac:dyDescent="0.2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</row>
    <row r="956" spans="1:53" ht="12.75" customHeight="1" x14ac:dyDescent="0.2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/>
      <c r="AX956" s="129"/>
      <c r="AY956" s="129"/>
      <c r="AZ956" s="129"/>
      <c r="BA956" s="129"/>
    </row>
    <row r="957" spans="1:53" ht="12.75" customHeight="1" x14ac:dyDescent="0.2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</row>
    <row r="958" spans="1:53" ht="12.75" customHeight="1" x14ac:dyDescent="0.2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</row>
    <row r="959" spans="1:53" ht="12.75" customHeight="1" x14ac:dyDescent="0.2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29"/>
      <c r="AO959" s="129"/>
      <c r="AP959" s="129"/>
      <c r="AQ959" s="129"/>
      <c r="AR959" s="129"/>
      <c r="AS959" s="129"/>
      <c r="AT959" s="129"/>
      <c r="AU959" s="129"/>
      <c r="AV959" s="129"/>
      <c r="AW959" s="129"/>
      <c r="AX959" s="129"/>
      <c r="AY959" s="129"/>
      <c r="AZ959" s="129"/>
      <c r="BA959" s="129"/>
    </row>
    <row r="960" spans="1:53" ht="12.75" customHeight="1" x14ac:dyDescent="0.2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</row>
    <row r="961" spans="1:53" ht="12.75" customHeight="1" x14ac:dyDescent="0.2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</row>
    <row r="962" spans="1:53" ht="12.75" customHeight="1" x14ac:dyDescent="0.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</row>
    <row r="963" spans="1:53" ht="12.75" customHeight="1" x14ac:dyDescent="0.2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</row>
    <row r="964" spans="1:53" ht="12.75" customHeight="1" x14ac:dyDescent="0.2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</row>
    <row r="965" spans="1:53" ht="12.75" customHeight="1" x14ac:dyDescent="0.2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</row>
    <row r="966" spans="1:53" ht="12.75" customHeight="1" x14ac:dyDescent="0.2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</row>
    <row r="967" spans="1:53" ht="12.75" customHeight="1" x14ac:dyDescent="0.2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</row>
    <row r="968" spans="1:53" ht="12.75" customHeight="1" x14ac:dyDescent="0.2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</row>
    <row r="969" spans="1:53" ht="12.75" customHeight="1" x14ac:dyDescent="0.2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</row>
    <row r="970" spans="1:53" ht="12.75" customHeight="1" x14ac:dyDescent="0.2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</row>
    <row r="971" spans="1:53" ht="12.75" customHeight="1" x14ac:dyDescent="0.2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29"/>
      <c r="AO971" s="129"/>
      <c r="AP971" s="129"/>
      <c r="AQ971" s="129"/>
      <c r="AR971" s="129"/>
      <c r="AS971" s="129"/>
      <c r="AT971" s="129"/>
      <c r="AU971" s="129"/>
      <c r="AV971" s="129"/>
      <c r="AW971" s="129"/>
      <c r="AX971" s="129"/>
      <c r="AY971" s="129"/>
      <c r="AZ971" s="129"/>
      <c r="BA971" s="129"/>
    </row>
    <row r="972" spans="1:53" ht="12.75" customHeight="1" x14ac:dyDescent="0.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</row>
    <row r="973" spans="1:53" ht="12.75" customHeight="1" x14ac:dyDescent="0.2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29"/>
      <c r="AO973" s="129"/>
      <c r="AP973" s="129"/>
      <c r="AQ973" s="129"/>
      <c r="AR973" s="129"/>
      <c r="AS973" s="129"/>
      <c r="AT973" s="129"/>
      <c r="AU973" s="129"/>
      <c r="AV973" s="129"/>
      <c r="AW973" s="129"/>
      <c r="AX973" s="129"/>
      <c r="AY973" s="129"/>
      <c r="AZ973" s="129"/>
      <c r="BA973" s="129"/>
    </row>
    <row r="974" spans="1:53" ht="12.75" customHeight="1" x14ac:dyDescent="0.2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</row>
    <row r="975" spans="1:53" ht="12.75" customHeight="1" x14ac:dyDescent="0.2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29"/>
      <c r="AO975" s="129"/>
      <c r="AP975" s="129"/>
      <c r="AQ975" s="129"/>
      <c r="AR975" s="129"/>
      <c r="AS975" s="129"/>
      <c r="AT975" s="129"/>
      <c r="AU975" s="129"/>
      <c r="AV975" s="129"/>
      <c r="AW975" s="129"/>
      <c r="AX975" s="129"/>
      <c r="AY975" s="129"/>
      <c r="AZ975" s="129"/>
      <c r="BA975" s="129"/>
    </row>
    <row r="976" spans="1:53" ht="12.75" customHeight="1" x14ac:dyDescent="0.2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</row>
    <row r="977" spans="1:53" ht="12.75" customHeight="1" x14ac:dyDescent="0.2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29"/>
      <c r="AO977" s="129"/>
      <c r="AP977" s="129"/>
      <c r="AQ977" s="129"/>
      <c r="AR977" s="129"/>
      <c r="AS977" s="129"/>
      <c r="AT977" s="129"/>
      <c r="AU977" s="129"/>
      <c r="AV977" s="129"/>
      <c r="AW977" s="129"/>
      <c r="AX977" s="129"/>
      <c r="AY977" s="129"/>
      <c r="AZ977" s="129"/>
      <c r="BA977" s="129"/>
    </row>
    <row r="978" spans="1:53" ht="12.75" customHeight="1" x14ac:dyDescent="0.2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</row>
    <row r="979" spans="1:53" ht="12.75" customHeight="1" x14ac:dyDescent="0.2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29"/>
      <c r="AO979" s="129"/>
      <c r="AP979" s="129"/>
      <c r="AQ979" s="129"/>
      <c r="AR979" s="129"/>
      <c r="AS979" s="129"/>
      <c r="AT979" s="129"/>
      <c r="AU979" s="129"/>
      <c r="AV979" s="129"/>
      <c r="AW979" s="129"/>
      <c r="AX979" s="129"/>
      <c r="AY979" s="129"/>
      <c r="AZ979" s="129"/>
      <c r="BA979" s="129"/>
    </row>
    <row r="980" spans="1:53" ht="12.75" customHeight="1" x14ac:dyDescent="0.2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</row>
    <row r="981" spans="1:53" ht="12.75" customHeight="1" x14ac:dyDescent="0.2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29"/>
      <c r="AO981" s="129"/>
      <c r="AP981" s="129"/>
      <c r="AQ981" s="129"/>
      <c r="AR981" s="129"/>
      <c r="AS981" s="129"/>
      <c r="AT981" s="129"/>
      <c r="AU981" s="129"/>
      <c r="AV981" s="129"/>
      <c r="AW981" s="129"/>
      <c r="AX981" s="129"/>
      <c r="AY981" s="129"/>
      <c r="AZ981" s="129"/>
      <c r="BA981" s="129"/>
    </row>
    <row r="982" spans="1:53" ht="12.75" customHeight="1" x14ac:dyDescent="0.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</row>
    <row r="983" spans="1:53" ht="12.75" customHeight="1" x14ac:dyDescent="0.2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29"/>
      <c r="AO983" s="129"/>
      <c r="AP983" s="129"/>
      <c r="AQ983" s="129"/>
      <c r="AR983" s="129"/>
      <c r="AS983" s="129"/>
      <c r="AT983" s="129"/>
      <c r="AU983" s="129"/>
      <c r="AV983" s="129"/>
      <c r="AW983" s="129"/>
      <c r="AX983" s="129"/>
      <c r="AY983" s="129"/>
      <c r="AZ983" s="129"/>
      <c r="BA983" s="129"/>
    </row>
    <row r="984" spans="1:53" ht="12.75" customHeight="1" x14ac:dyDescent="0.2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</row>
    <row r="985" spans="1:53" ht="12.75" customHeight="1" x14ac:dyDescent="0.2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29"/>
      <c r="AO985" s="129"/>
      <c r="AP985" s="129"/>
      <c r="AQ985" s="129"/>
      <c r="AR985" s="129"/>
      <c r="AS985" s="129"/>
      <c r="AT985" s="129"/>
      <c r="AU985" s="129"/>
      <c r="AV985" s="129"/>
      <c r="AW985" s="129"/>
      <c r="AX985" s="129"/>
      <c r="AY985" s="129"/>
      <c r="AZ985" s="129"/>
      <c r="BA985" s="129"/>
    </row>
    <row r="986" spans="1:53" ht="12.75" customHeight="1" x14ac:dyDescent="0.2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</row>
    <row r="987" spans="1:53" ht="12.75" customHeight="1" x14ac:dyDescent="0.2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29"/>
      <c r="AO987" s="129"/>
      <c r="AP987" s="129"/>
      <c r="AQ987" s="129"/>
      <c r="AR987" s="129"/>
      <c r="AS987" s="129"/>
      <c r="AT987" s="129"/>
      <c r="AU987" s="129"/>
      <c r="AV987" s="129"/>
      <c r="AW987" s="129"/>
      <c r="AX987" s="129"/>
      <c r="AY987" s="129"/>
      <c r="AZ987" s="129"/>
      <c r="BA987" s="129"/>
    </row>
    <row r="988" spans="1:53" ht="12.75" customHeight="1" x14ac:dyDescent="0.2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</row>
    <row r="989" spans="1:53" ht="12.75" customHeight="1" x14ac:dyDescent="0.2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29"/>
      <c r="AO989" s="129"/>
      <c r="AP989" s="129"/>
      <c r="AQ989" s="129"/>
      <c r="AR989" s="129"/>
      <c r="AS989" s="129"/>
      <c r="AT989" s="129"/>
      <c r="AU989" s="129"/>
      <c r="AV989" s="129"/>
      <c r="AW989" s="129"/>
      <c r="AX989" s="129"/>
      <c r="AY989" s="129"/>
      <c r="AZ989" s="129"/>
      <c r="BA989" s="129"/>
    </row>
    <row r="990" spans="1:53" ht="12.75" customHeight="1" x14ac:dyDescent="0.2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</row>
    <row r="991" spans="1:53" ht="12.75" customHeight="1" x14ac:dyDescent="0.2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29"/>
      <c r="AO991" s="129"/>
      <c r="AP991" s="129"/>
      <c r="AQ991" s="129"/>
      <c r="AR991" s="129"/>
      <c r="AS991" s="129"/>
      <c r="AT991" s="129"/>
      <c r="AU991" s="129"/>
      <c r="AV991" s="129"/>
      <c r="AW991" s="129"/>
      <c r="AX991" s="129"/>
      <c r="AY991" s="129"/>
      <c r="AZ991" s="129"/>
      <c r="BA991" s="129"/>
    </row>
    <row r="992" spans="1:53" ht="12.75" customHeight="1" x14ac:dyDescent="0.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</row>
    <row r="993" spans="1:53" ht="12.75" customHeight="1" x14ac:dyDescent="0.2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29"/>
      <c r="AO993" s="129"/>
      <c r="AP993" s="129"/>
      <c r="AQ993" s="129"/>
      <c r="AR993" s="129"/>
      <c r="AS993" s="129"/>
      <c r="AT993" s="129"/>
      <c r="AU993" s="129"/>
      <c r="AV993" s="129"/>
      <c r="AW993" s="129"/>
      <c r="AX993" s="129"/>
      <c r="AY993" s="129"/>
      <c r="AZ993" s="129"/>
      <c r="BA993" s="129"/>
    </row>
    <row r="994" spans="1:53" ht="12.75" customHeight="1" x14ac:dyDescent="0.2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</row>
    <row r="995" spans="1:53" ht="12.75" customHeight="1" x14ac:dyDescent="0.2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</row>
    <row r="996" spans="1:53" ht="12.75" customHeight="1" x14ac:dyDescent="0.2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</row>
    <row r="997" spans="1:53" ht="12.75" customHeight="1" x14ac:dyDescent="0.2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29"/>
      <c r="AO997" s="129"/>
      <c r="AP997" s="129"/>
      <c r="AQ997" s="129"/>
      <c r="AR997" s="129"/>
      <c r="AS997" s="129"/>
      <c r="AT997" s="129"/>
      <c r="AU997" s="129"/>
      <c r="AV997" s="129"/>
      <c r="AW997" s="129"/>
      <c r="AX997" s="129"/>
      <c r="AY997" s="129"/>
      <c r="AZ997" s="129"/>
      <c r="BA997" s="129"/>
    </row>
    <row r="998" spans="1:53" ht="12.75" customHeight="1" x14ac:dyDescent="0.2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</row>
    <row r="999" spans="1:53" ht="12.75" customHeight="1" x14ac:dyDescent="0.2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</row>
    <row r="1000" spans="1:53" ht="12.75" customHeight="1" x14ac:dyDescent="0.2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00"/>
  <sheetViews>
    <sheetView showGridLines="0" zoomScaleNormal="100" workbookViewId="0"/>
  </sheetViews>
  <sheetFormatPr baseColWidth="10" defaultColWidth="14.5" defaultRowHeight="15" customHeight="1" x14ac:dyDescent="0.2"/>
  <cols>
    <col min="1" max="1" width="50" customWidth="1"/>
    <col min="2" max="13" width="14" customWidth="1"/>
    <col min="14" max="33" width="8.6640625" customWidth="1"/>
  </cols>
  <sheetData>
    <row r="1" spans="1:14" ht="15" customHeight="1" x14ac:dyDescent="0.2">
      <c r="A1" s="264" t="s">
        <v>868</v>
      </c>
    </row>
    <row r="2" spans="1:14" ht="15" customHeight="1" x14ac:dyDescent="0.2">
      <c r="A2" s="119" t="s">
        <v>869</v>
      </c>
    </row>
    <row r="4" spans="1:14" ht="15" customHeight="1" x14ac:dyDescent="0.2">
      <c r="A4" s="113" t="s">
        <v>789</v>
      </c>
    </row>
    <row r="5" spans="1:14" ht="15" customHeight="1" x14ac:dyDescent="0.2">
      <c r="A5" s="113" t="s">
        <v>147</v>
      </c>
      <c r="B5" s="189">
        <v>2026</v>
      </c>
      <c r="C5" s="189">
        <v>2027</v>
      </c>
      <c r="D5" s="189">
        <v>2028</v>
      </c>
      <c r="E5" s="189">
        <v>2029</v>
      </c>
      <c r="F5" s="189">
        <v>2030</v>
      </c>
      <c r="G5" s="189">
        <v>2031</v>
      </c>
      <c r="H5" s="189">
        <v>2032</v>
      </c>
      <c r="I5" s="189">
        <v>2033</v>
      </c>
      <c r="J5" s="189">
        <v>2034</v>
      </c>
      <c r="K5" s="189">
        <v>2035</v>
      </c>
      <c r="L5" s="189">
        <v>2036</v>
      </c>
      <c r="M5" s="113" t="s">
        <v>99</v>
      </c>
    </row>
    <row r="6" spans="1:14" ht="15" customHeight="1" x14ac:dyDescent="0.2">
      <c r="A6" s="119" t="s">
        <v>756</v>
      </c>
      <c r="B6" s="188">
        <f>'FLUJO 11 AÑOS'!B44</f>
        <v>3000000</v>
      </c>
      <c r="C6" s="188">
        <f>'FLUJO 11 AÑOS'!C44</f>
        <v>8276858.8731527096</v>
      </c>
      <c r="D6" s="188">
        <f>'FLUJO 11 AÑOS'!D44</f>
        <v>13582178.780604161</v>
      </c>
      <c r="E6" s="188">
        <f>'FLUJO 11 AÑOS'!E44</f>
        <v>19097054.036225777</v>
      </c>
      <c r="F6" s="188">
        <f>'FLUJO 11 AÑOS'!F44</f>
        <v>27830407.798961092</v>
      </c>
      <c r="G6" s="188">
        <f>'FLUJO 11 AÑOS'!G44</f>
        <v>36929753.333956137</v>
      </c>
      <c r="H6" s="188">
        <f>'FLUJO 11 AÑOS'!H44</f>
        <v>46390088.77003099</v>
      </c>
      <c r="I6" s="188">
        <f>'FLUJO 11 AÑOS'!I44</f>
        <v>56225244.962845005</v>
      </c>
      <c r="J6" s="188">
        <f>'FLUJO 11 AÑOS'!J44</f>
        <v>58450060.553173013</v>
      </c>
      <c r="K6" s="188">
        <f>'FLUJO 11 AÑOS'!K44</f>
        <v>60709726.878653318</v>
      </c>
      <c r="L6" s="188">
        <f>'FLUJO 11 AÑOS'!L44</f>
        <v>63057631.254633501</v>
      </c>
      <c r="M6" s="128">
        <f>SUM(B6:L6)</f>
        <v>393549005.24223572</v>
      </c>
    </row>
    <row r="7" spans="1:14" ht="15" customHeight="1" x14ac:dyDescent="0.2">
      <c r="A7" s="119" t="s">
        <v>790</v>
      </c>
      <c r="B7" s="188">
        <f>'FLUJO 11 AÑOS'!B26</f>
        <v>0</v>
      </c>
      <c r="C7" s="188">
        <f>'FLUJO 11 AÑOS'!C26</f>
        <v>0</v>
      </c>
      <c r="D7" s="188">
        <f>'FLUJO 11 AÑOS'!D26</f>
        <v>0</v>
      </c>
      <c r="E7" s="188">
        <f>'FLUJO 11 AÑOS'!E26</f>
        <v>0</v>
      </c>
      <c r="F7" s="188">
        <f>'FLUJO 11 AÑOS'!F26</f>
        <v>0</v>
      </c>
      <c r="G7" s="188">
        <f>'FLUJO 11 AÑOS'!G26</f>
        <v>0</v>
      </c>
      <c r="H7" s="188">
        <f>'FLUJO 11 AÑOS'!H26</f>
        <v>0</v>
      </c>
      <c r="I7" s="188">
        <f>'FLUJO 11 AÑOS'!I26</f>
        <v>0</v>
      </c>
      <c r="J7" s="188">
        <f>'FLUJO 11 AÑOS'!J26</f>
        <v>0</v>
      </c>
      <c r="K7" s="188">
        <f>'FLUJO 11 AÑOS'!K26</f>
        <v>0</v>
      </c>
      <c r="L7" s="188">
        <f>'FLUJO 11 AÑOS'!L26</f>
        <v>0</v>
      </c>
      <c r="M7" s="128">
        <f>SUM(B7:L7)</f>
        <v>0</v>
      </c>
    </row>
    <row r="8" spans="1:14" ht="15" customHeight="1" x14ac:dyDescent="0.2">
      <c r="A8" s="119" t="s">
        <v>870</v>
      </c>
      <c r="B8" s="188">
        <f>'FLUJO 11 AÑOS'!B27</f>
        <v>49548.491379310348</v>
      </c>
      <c r="C8" s="188">
        <f>'FLUJO 11 AÑOS'!C27</f>
        <v>102293.10174696366</v>
      </c>
      <c r="D8" s="188">
        <f>'FLUJO 11 AÑOS'!D27</f>
        <v>124860.37289747142</v>
      </c>
      <c r="E8" s="188">
        <f>'FLUJO 11 AÑOS'!E27</f>
        <v>151250.82878245026</v>
      </c>
      <c r="F8" s="188">
        <f>'FLUJO 11 AÑOS'!F27</f>
        <v>229125.57634005818</v>
      </c>
      <c r="G8" s="188">
        <f>'FLUJO 11 AÑOS'!G27</f>
        <v>272921.7904544904</v>
      </c>
      <c r="H8" s="188">
        <f>'FLUJO 11 AÑOS'!H27</f>
        <v>318211.47213210375</v>
      </c>
      <c r="I8" s="188">
        <f>'FLUJO 11 AÑOS'!I27</f>
        <v>365289.64621554158</v>
      </c>
      <c r="J8" s="188">
        <f>'FLUJO 11 AÑOS'!J27</f>
        <v>279750.11105656996</v>
      </c>
      <c r="K8" s="188">
        <f>'FLUJO 11 AÑOS'!K27</f>
        <v>289925.68630407844</v>
      </c>
      <c r="L8" s="188">
        <f>'FLUJO 11 AÑOS'!L27</f>
        <v>29348.804699752294</v>
      </c>
      <c r="M8" s="128">
        <f>SUM(B8:L8)</f>
        <v>2212525.88200879</v>
      </c>
    </row>
    <row r="9" spans="1:14" ht="15" customHeight="1" x14ac:dyDescent="0.2">
      <c r="A9" s="113" t="s">
        <v>792</v>
      </c>
      <c r="B9" s="128">
        <f t="shared" ref="B9:M9" si="0">B7+B8</f>
        <v>49548.491379310348</v>
      </c>
      <c r="C9" s="128">
        <f t="shared" si="0"/>
        <v>102293.10174696366</v>
      </c>
      <c r="D9" s="128">
        <f t="shared" si="0"/>
        <v>124860.37289747142</v>
      </c>
      <c r="E9" s="128">
        <f t="shared" si="0"/>
        <v>151250.82878245026</v>
      </c>
      <c r="F9" s="128">
        <f t="shared" si="0"/>
        <v>229125.57634005818</v>
      </c>
      <c r="G9" s="128">
        <f t="shared" si="0"/>
        <v>272921.7904544904</v>
      </c>
      <c r="H9" s="128">
        <f t="shared" si="0"/>
        <v>318211.47213210375</v>
      </c>
      <c r="I9" s="128">
        <f t="shared" si="0"/>
        <v>365289.64621554158</v>
      </c>
      <c r="J9" s="128">
        <f t="shared" si="0"/>
        <v>279750.11105656996</v>
      </c>
      <c r="K9" s="128">
        <f t="shared" si="0"/>
        <v>289925.68630407844</v>
      </c>
      <c r="L9" s="128">
        <f t="shared" si="0"/>
        <v>29348.804699752294</v>
      </c>
      <c r="M9" s="128">
        <f t="shared" si="0"/>
        <v>2212525.88200879</v>
      </c>
    </row>
    <row r="10" spans="1:14" ht="15" customHeight="1" x14ac:dyDescent="0.2">
      <c r="B10" s="142">
        <f t="shared" ref="B10:I10" si="1">B8/B6</f>
        <v>1.6516163793103448E-2</v>
      </c>
      <c r="C10" s="142">
        <f t="shared" si="1"/>
        <v>1.2358927863173719E-2</v>
      </c>
      <c r="D10" s="142">
        <f t="shared" si="1"/>
        <v>9.1929560723921933E-3</v>
      </c>
      <c r="E10" s="142">
        <f t="shared" si="1"/>
        <v>7.9201131491557809E-3</v>
      </c>
      <c r="F10" s="142">
        <f t="shared" si="1"/>
        <v>8.232921989328932E-3</v>
      </c>
      <c r="G10" s="142">
        <f t="shared" si="1"/>
        <v>7.3902955155550551E-3</v>
      </c>
      <c r="H10" s="142">
        <f t="shared" si="1"/>
        <v>6.8594710760216376E-3</v>
      </c>
      <c r="I10" s="142">
        <f t="shared" si="1"/>
        <v>6.4968973715798621E-3</v>
      </c>
    </row>
    <row r="11" spans="1:14" ht="15" customHeight="1" x14ac:dyDescent="0.2">
      <c r="A11" s="144" t="s">
        <v>793</v>
      </c>
    </row>
    <row r="12" spans="1:14" ht="15" customHeight="1" x14ac:dyDescent="0.2">
      <c r="A12" s="113" t="s">
        <v>147</v>
      </c>
      <c r="B12" s="189">
        <v>2026</v>
      </c>
      <c r="C12" s="189">
        <v>2027</v>
      </c>
      <c r="D12" s="189">
        <v>2028</v>
      </c>
      <c r="E12" s="189">
        <v>2029</v>
      </c>
      <c r="F12" s="189">
        <v>2030</v>
      </c>
      <c r="G12" s="189">
        <v>2031</v>
      </c>
      <c r="H12" s="189">
        <v>2032</v>
      </c>
      <c r="I12" s="189">
        <v>2033</v>
      </c>
      <c r="J12" s="189">
        <v>2034</v>
      </c>
      <c r="K12" s="189">
        <v>2035</v>
      </c>
      <c r="L12" s="189">
        <v>2036</v>
      </c>
      <c r="M12" s="113" t="s">
        <v>99</v>
      </c>
    </row>
    <row r="13" spans="1:14" ht="15" customHeight="1" x14ac:dyDescent="0.2">
      <c r="A13" s="119" t="s">
        <v>794</v>
      </c>
      <c r="B13" s="188">
        <f>'FLUJO 11 AÑOS'!B21-'FLUJO 11 AÑOS'!B24-'FLUJO 11 AÑOS'!B25-'FLUJO 11 AÑOS'!B26-'FLUJO 11 AÑOS'!B27-'FLUJO 11 AÑOS'!B28-'FLUJO 11 AÑOS'!B29-'FLUJO 11 AÑOS'!B30-'FLUJO 11 AÑOS'!B31</f>
        <v>276858.87315270928</v>
      </c>
      <c r="C13" s="188">
        <f>'FLUJO 11 AÑOS'!C21-'FLUJO 11 AÑOS'!C24-'FLUJO 11 AÑOS'!C25-'FLUJO 11 AÑOS'!C26-'FLUJO 11 AÑOS'!C27-'FLUJO 11 AÑOS'!C28-'FLUJO 11 AÑOS'!C29-'FLUJO 11 AÑOS'!C30-'FLUJO 11 AÑOS'!C31</f>
        <v>967468.6173036684</v>
      </c>
      <c r="D13" s="188">
        <f>'FLUJO 11 AÑOS'!D21-'FLUJO 11 AÑOS'!D24-'FLUJO 11 AÑOS'!D25-'FLUJO 11 AÑOS'!D26-'FLUJO 11 AÑOS'!D27-'FLUJO 11 AÑOS'!D28-'FLUJO 11 AÑOS'!D29-'FLUJO 11 AÑOS'!D30-'FLUJO 11 AÑOS'!D31</f>
        <v>1601449.5580699481</v>
      </c>
      <c r="E13" s="188">
        <f>'FLUJO 11 AÑOS'!E21-'FLUJO 11 AÑOS'!E24-'FLUJO 11 AÑOS'!E25-'FLUJO 11 AÑOS'!E26-'FLUJO 11 AÑOS'!E27-'FLUJO 11 AÑOS'!E28-'FLUJO 11 AÑOS'!E29-'FLUJO 11 AÑOS'!E30-'FLUJO 11 AÑOS'!E31</f>
        <v>2261118.085633378</v>
      </c>
      <c r="F13" s="188">
        <f>'FLUJO 11 AÑOS'!F21-'FLUJO 11 AÑOS'!F24-'FLUJO 11 AÑOS'!F25-'FLUJO 11 AÑOS'!F26-'FLUJO 11 AÑOS'!F27-'FLUJO 11 AÑOS'!F28-'FLUJO 11 AÑOS'!F29-'FLUJO 11 AÑOS'!F30-'FLUJO 11 AÑOS'!F31</f>
        <v>3325778.1589119327</v>
      </c>
      <c r="G13" s="188">
        <f>'FLUJO 11 AÑOS'!G21-'FLUJO 11 AÑOS'!G24-'FLUJO 11 AÑOS'!G25-'FLUJO 11 AÑOS'!G26-'FLUJO 11 AÑOS'!G27-'FLUJO 11 AÑOS'!G28-'FLUJO 11 AÑOS'!G29-'FLUJO 11 AÑOS'!G30-'FLUJO 11 AÑOS'!G31</f>
        <v>4414715.7027913425</v>
      </c>
      <c r="H13" s="188">
        <f>'FLUJO 11 AÑOS'!H21-'FLUJO 11 AÑOS'!H24-'FLUJO 11 AÑOS'!H25-'FLUJO 11 AÑOS'!H26-'FLUJO 11 AÑOS'!H27-'FLUJO 11 AÑOS'!H28-'FLUJO 11 AÑOS'!H29-'FLUJO 11 AÑOS'!H30-'FLUJO 11 AÑOS'!H31</f>
        <v>5546363.2944164937</v>
      </c>
      <c r="I13" s="188">
        <f>'FLUJO 11 AÑOS'!I21-'FLUJO 11 AÑOS'!I24-'FLUJO 11 AÑOS'!I25-'FLUJO 11 AÑOS'!I26-'FLUJO 11 AÑOS'!I27-'FLUJO 11 AÑOS'!I28-'FLUJO 11 AÑOS'!I29-'FLUJO 11 AÑOS'!I30-'FLUJO 11 AÑOS'!I31</f>
        <v>6722835.1873556115</v>
      </c>
      <c r="J13" s="188">
        <f>'FLUJO 11 AÑOS'!J21-'FLUJO 11 AÑOS'!J24-'FLUJO 11 AÑOS'!J25-'FLUJO 11 AÑOS'!J26-'FLUJO 11 AÑOS'!J27-'FLUJO 11 AÑOS'!J28-'FLUJO 11 AÑOS'!J29-'FLUJO 11 AÑOS'!J30-'FLUJO 11 AÑOS'!J31</f>
        <v>6935671.1697341399</v>
      </c>
      <c r="K13" s="188">
        <f>'FLUJO 11 AÑOS'!K21-'FLUJO 11 AÑOS'!K24-'FLUJO 11 AÑOS'!K25-'FLUJO 11 AÑOS'!K26-'FLUJO 11 AÑOS'!K27-'FLUJO 11 AÑOS'!K28-'FLUJO 11 AÑOS'!K29-'FLUJO 11 AÑOS'!K30-'FLUJO 11 AÑOS'!K31</f>
        <v>7204682.5262724431</v>
      </c>
      <c r="L13" s="188">
        <f>'FLUJO 11 AÑOS'!L21-'FLUJO 11 AÑOS'!L24-'FLUJO 11 AÑOS'!L25-'FLUJO 11 AÑOS'!L26-'FLUJO 11 AÑOS'!L27-'FLUJO 11 AÑOS'!L28-'FLUJO 11 AÑOS'!L29-'FLUJO 11 AÑOS'!L30-'FLUJO 11 AÑOS'!L31</f>
        <v>3029743.4220476244</v>
      </c>
      <c r="M13" s="128">
        <f>SUM(B13:L13)</f>
        <v>42286684.595689289</v>
      </c>
    </row>
    <row r="14" spans="1:14" ht="15" customHeight="1" x14ac:dyDescent="0.2">
      <c r="A14" s="119" t="s">
        <v>795</v>
      </c>
      <c r="B14" s="128">
        <f>MAX(0,B13-'FLUJO 11 AÑOS'!B44*SUPUESTOS!$B$34)*SUPUESTOS!$B$33</f>
        <v>9685.8873152709275</v>
      </c>
      <c r="C14" s="128">
        <f>MAX(0,C13-'FLUJO 11 AÑOS'!C44*SUPUESTOS!$B$34)*SUPUESTOS!$B$33</f>
        <v>47085.708491450583</v>
      </c>
      <c r="D14" s="128">
        <f>MAX(0,D13-'FLUJO 11 AÑOS'!D44*SUPUESTOS!$B$34)*SUPUESTOS!$B$33</f>
        <v>78651.883123369844</v>
      </c>
      <c r="E14" s="128">
        <f>MAX(0,E13-'FLUJO 11 AÑOS'!E44*SUPUESTOS!$B$34)*SUPUESTOS!$B$33</f>
        <v>111529.48434598313</v>
      </c>
      <c r="F14" s="128">
        <f>MAX(0,F13-'FLUJO 11 AÑOS'!F44*SUPUESTOS!$B$34)*SUPUESTOS!$B$33</f>
        <v>165595.36909742674</v>
      </c>
      <c r="G14" s="128">
        <f>MAX(0,G13-'FLUJO 11 AÑOS'!G44*SUPUESTOS!$B$34)*SUPUESTOS!$B$33</f>
        <v>219893.05027539746</v>
      </c>
      <c r="H14" s="128">
        <f>MAX(0,H13-'FLUJO 11 AÑOS'!H44*SUPUESTOS!$B$34)*SUPUESTOS!$B$33</f>
        <v>276295.79682146345</v>
      </c>
      <c r="I14" s="128">
        <f>MAX(0,I13-'FLUJO 11 AÑOS'!I44*SUPUESTOS!$B$34)*SUPUESTOS!$B$33</f>
        <v>334932.04895849113</v>
      </c>
      <c r="J14" s="128">
        <f>MAX(0,J13-'FLUJO 11 AÑOS'!J44*SUPUESTOS!$B$34)*SUPUESTOS!$B$33</f>
        <v>342866.75365437591</v>
      </c>
      <c r="K14" s="128">
        <f>MAX(0,K13-'FLUJO 11 AÑOS'!K44*SUPUESTOS!$B$34)*SUPUESTOS!$B$33</f>
        <v>356209.89135532442</v>
      </c>
      <c r="L14" s="128">
        <f>MAX(0,L13-'FLUJO 11 AÑOS'!L44*SUPUESTOS!$B$34)*SUPUESTOS!$B$33</f>
        <v>0</v>
      </c>
      <c r="M14" s="128">
        <f>SUM(B14:L14)</f>
        <v>1942745.8734385534</v>
      </c>
    </row>
    <row r="15" spans="1:14" ht="15" customHeight="1" x14ac:dyDescent="0.2">
      <c r="A15" s="119" t="s">
        <v>796</v>
      </c>
      <c r="B15" s="188">
        <v>0</v>
      </c>
      <c r="C15" s="188">
        <f t="shared" ref="C15:L15" si="2">B19</f>
        <v>9685.8873152709275</v>
      </c>
      <c r="D15" s="188">
        <f t="shared" si="2"/>
        <v>56771.595806721511</v>
      </c>
      <c r="E15" s="188">
        <f t="shared" si="2"/>
        <v>135423.47893009137</v>
      </c>
      <c r="F15" s="188">
        <f t="shared" si="2"/>
        <v>246952.9632760745</v>
      </c>
      <c r="G15" s="188">
        <f t="shared" si="2"/>
        <v>412548.33237350127</v>
      </c>
      <c r="H15" s="188">
        <f t="shared" si="2"/>
        <v>632441.38264889875</v>
      </c>
      <c r="I15" s="188">
        <f t="shared" si="2"/>
        <v>908737.17947036214</v>
      </c>
      <c r="J15" s="188">
        <f t="shared" si="2"/>
        <v>1243669.2284288532</v>
      </c>
      <c r="K15" s="188">
        <f t="shared" si="2"/>
        <v>1586535.9820832291</v>
      </c>
      <c r="L15" s="188">
        <f t="shared" si="2"/>
        <v>1942745.8734385534</v>
      </c>
      <c r="M15" s="128"/>
    </row>
    <row r="16" spans="1:14" ht="15" customHeight="1" x14ac:dyDescent="0.2">
      <c r="A16" s="119" t="s">
        <v>797</v>
      </c>
      <c r="B16" s="128">
        <f t="shared" ref="B16:L16" si="3">B14+B15</f>
        <v>9685.8873152709275</v>
      </c>
      <c r="C16" s="128">
        <f t="shared" si="3"/>
        <v>56771.595806721511</v>
      </c>
      <c r="D16" s="128">
        <f t="shared" si="3"/>
        <v>135423.47893009137</v>
      </c>
      <c r="E16" s="128">
        <f t="shared" si="3"/>
        <v>246952.9632760745</v>
      </c>
      <c r="F16" s="128">
        <f t="shared" si="3"/>
        <v>412548.33237350127</v>
      </c>
      <c r="G16" s="128">
        <f t="shared" si="3"/>
        <v>632441.38264889875</v>
      </c>
      <c r="H16" s="128">
        <f t="shared" si="3"/>
        <v>908737.17947036214</v>
      </c>
      <c r="I16" s="128">
        <f t="shared" si="3"/>
        <v>1243669.2284288532</v>
      </c>
      <c r="J16" s="128">
        <f t="shared" si="3"/>
        <v>1586535.9820832291</v>
      </c>
      <c r="K16" s="128">
        <f t="shared" si="3"/>
        <v>1942745.8734385534</v>
      </c>
      <c r="L16" s="128">
        <f t="shared" si="3"/>
        <v>1942745.8734385534</v>
      </c>
      <c r="M16" s="128">
        <f>SUM(B14:L14)+B15</f>
        <v>1942745.8734385534</v>
      </c>
      <c r="N16" s="128"/>
    </row>
    <row r="17" spans="1:13" ht="15" customHeight="1" x14ac:dyDescent="0.2">
      <c r="A17" s="119" t="s">
        <v>798</v>
      </c>
      <c r="B17" s="128">
        <f>MAX(0, SUPUESTOS!$B$35*'FLUJO 11 AÑOS'!B44-('FLUJO 11 AÑOS'!B24+'FLUJO 11 AÑOS'!B25+'FLUJO 11 AÑOS'!B26+'FLUJO 11 AÑOS'!B27+'FLUJO 11 AÑOS'!B28))</f>
        <v>0</v>
      </c>
      <c r="C17" s="128">
        <f>MAX(0, SUPUESTOS!$B$35*'FLUJO 11 AÑOS'!C44-('FLUJO 11 AÑOS'!C24+'FLUJO 11 AÑOS'!C25+'FLUJO 11 AÑOS'!C26+'FLUJO 11 AÑOS'!C27+'FLUJO 11 AÑOS'!C28))</f>
        <v>167734.97092545015</v>
      </c>
      <c r="D17" s="128">
        <f>MAX(0, SUPUESTOS!$B$35*'FLUJO 11 AÑOS'!D44-('FLUJO 11 AÑOS'!D24+'FLUJO 11 AÑOS'!D25+'FLUJO 11 AÑOS'!D26+'FLUJO 11 AÑOS'!D27+'FLUJO 11 AÑOS'!D28))</f>
        <v>362426.77832669497</v>
      </c>
      <c r="E17" s="128">
        <f>MAX(0, SUPUESTOS!$B$35*'FLUJO 11 AÑOS'!E44-('FLUJO 11 AÑOS'!E24+'FLUJO 11 AÑOS'!E25+'FLUJO 11 AÑOS'!E26+'FLUJO 11 AÑOS'!E27+'FLUJO 11 AÑOS'!E28))</f>
        <v>556631.3326665808</v>
      </c>
      <c r="F17" s="128">
        <f>MAX(0, SUPUESTOS!$B$35*'FLUJO 11 AÑOS'!F44-('FLUJO 11 AÑOS'!F24+'FLUJO 11 AÑOS'!F25+'FLUJO 11 AÑOS'!F26+'FLUJO 11 AÑOS'!F27+'FLUJO 11 AÑOS'!F28))</f>
        <v>828090.73561838537</v>
      </c>
      <c r="G17" s="128">
        <f>MAX(0, SUPUESTOS!$B$35*'FLUJO 11 AÑOS'!G44-('FLUJO 11 AÑOS'!G24+'FLUJO 11 AÑOS'!G25+'FLUJO 11 AÑOS'!G26+'FLUJO 11 AÑOS'!G27+'FLUJO 11 AÑOS'!G28))</f>
        <v>1148268.3429037551</v>
      </c>
      <c r="H17" s="128">
        <f>MAX(0, SUPUESTOS!$B$35*'FLUJO 11 AÑOS'!H44-('FLUJO 11 AÑOS'!H24+'FLUJO 11 AÑOS'!H25+'FLUJO 11 AÑOS'!H26+'FLUJO 11 AÑOS'!H27+'FLUJO 11 AÑOS'!H28))</f>
        <v>1481392.0786691359</v>
      </c>
      <c r="I17" s="128">
        <f>MAX(0, SUPUESTOS!$B$35*'FLUJO 11 AÑOS'!I44-('FLUJO 11 AÑOS'!I24+'FLUJO 11 AÑOS'!I25+'FLUJO 11 AÑOS'!I26+'FLUJO 11 AÑOS'!I27+'FLUJO 11 AÑOS'!I28))</f>
        <v>1827720.1522982586</v>
      </c>
      <c r="J17" s="128">
        <f>MAX(0, SUPUESTOS!$B$35*'FLUJO 11 AÑOS'!J44-('FLUJO 11 AÑOS'!J24+'FLUJO 11 AÑOS'!J25+'FLUJO 11 AÑOS'!J26+'FLUJO 11 AÑOS'!J27+'FLUJO 11 AÑOS'!J28))</f>
        <v>2002252.3110703505</v>
      </c>
      <c r="K17" s="128">
        <f>MAX(0, SUPUESTOS!$B$35*'FLUJO 11 AÑOS'!K44-('FLUJO 11 AÑOS'!K24+'FLUJO 11 AÑOS'!K25+'FLUJO 11 AÑOS'!K26+'FLUJO 11 AÑOS'!K27+'FLUJO 11 AÑOS'!K28))</f>
        <v>2082463.3888420542</v>
      </c>
      <c r="L17" s="128">
        <f>MAX(0, SUPUESTOS!$B$35*'FLUJO 11 AÑOS'!L44-('FLUJO 11 AÑOS'!L24+'FLUJO 11 AÑOS'!L25+'FLUJO 11 AÑOS'!L26+'FLUJO 11 AÑOS'!L27+'FLUJO 11 AÑOS'!L28))</f>
        <v>2436956.4454855877</v>
      </c>
      <c r="M17" s="128">
        <f>SUM(B17:L17)</f>
        <v>12893936.536806254</v>
      </c>
    </row>
    <row r="18" spans="1:13" ht="15" customHeight="1" x14ac:dyDescent="0.2">
      <c r="A18" s="113" t="s">
        <v>799</v>
      </c>
      <c r="B18" s="190">
        <v>0</v>
      </c>
      <c r="C18" s="190">
        <v>0</v>
      </c>
      <c r="D18" s="190">
        <v>0</v>
      </c>
      <c r="E18" s="190">
        <v>0</v>
      </c>
      <c r="F18" s="190">
        <v>0</v>
      </c>
      <c r="G18" s="190">
        <v>0</v>
      </c>
      <c r="H18" s="190">
        <v>0</v>
      </c>
      <c r="I18" s="190">
        <v>0</v>
      </c>
      <c r="J18" s="190">
        <v>0</v>
      </c>
      <c r="K18" s="190">
        <v>0</v>
      </c>
      <c r="L18" s="190">
        <f>MIN(L16,L17)</f>
        <v>1942745.8734385534</v>
      </c>
      <c r="M18" s="190">
        <f>SUM(B18:L18)</f>
        <v>1942745.8734385534</v>
      </c>
    </row>
    <row r="19" spans="1:13" ht="15" customHeight="1" x14ac:dyDescent="0.2">
      <c r="A19" s="119" t="s">
        <v>800</v>
      </c>
      <c r="B19" s="128">
        <f t="shared" ref="B19:L19" si="4">B16-B18</f>
        <v>9685.8873152709275</v>
      </c>
      <c r="C19" s="128">
        <f t="shared" si="4"/>
        <v>56771.595806721511</v>
      </c>
      <c r="D19" s="128">
        <f t="shared" si="4"/>
        <v>135423.47893009137</v>
      </c>
      <c r="E19" s="128">
        <f t="shared" si="4"/>
        <v>246952.9632760745</v>
      </c>
      <c r="F19" s="128">
        <f t="shared" si="4"/>
        <v>412548.33237350127</v>
      </c>
      <c r="G19" s="128">
        <f t="shared" si="4"/>
        <v>632441.38264889875</v>
      </c>
      <c r="H19" s="128">
        <f t="shared" si="4"/>
        <v>908737.17947036214</v>
      </c>
      <c r="I19" s="128">
        <f t="shared" si="4"/>
        <v>1243669.2284288532</v>
      </c>
      <c r="J19" s="128">
        <f t="shared" si="4"/>
        <v>1586535.9820832291</v>
      </c>
      <c r="K19" s="128">
        <f t="shared" si="4"/>
        <v>1942745.8734385534</v>
      </c>
      <c r="L19" s="128">
        <f t="shared" si="4"/>
        <v>0</v>
      </c>
      <c r="M19" s="128">
        <f>L19</f>
        <v>0</v>
      </c>
    </row>
    <row r="20" spans="1:13" ht="15" customHeight="1" x14ac:dyDescent="0.2">
      <c r="A20" s="191" t="s">
        <v>801</v>
      </c>
    </row>
    <row r="21" spans="1:13" ht="15" customHeight="1" x14ac:dyDescent="0.2">
      <c r="A21" s="113" t="s">
        <v>802</v>
      </c>
    </row>
    <row r="22" spans="1:13" ht="15" customHeight="1" x14ac:dyDescent="0.2">
      <c r="A22" s="113" t="s">
        <v>147</v>
      </c>
      <c r="B22" s="189">
        <v>2026</v>
      </c>
      <c r="C22" s="189">
        <v>2027</v>
      </c>
      <c r="D22" s="189">
        <v>2028</v>
      </c>
      <c r="E22" s="189">
        <v>2029</v>
      </c>
      <c r="F22" s="189">
        <v>2030</v>
      </c>
      <c r="G22" s="189">
        <v>2031</v>
      </c>
      <c r="H22" s="189">
        <v>2032</v>
      </c>
      <c r="I22" s="189">
        <v>2033</v>
      </c>
      <c r="J22" s="189">
        <v>2034</v>
      </c>
      <c r="K22" s="189">
        <v>2035</v>
      </c>
      <c r="L22" s="189">
        <v>2036</v>
      </c>
      <c r="M22" s="113" t="s">
        <v>99</v>
      </c>
    </row>
    <row r="23" spans="1:13" ht="15" customHeight="1" x14ac:dyDescent="0.2">
      <c r="A23" s="119" t="s">
        <v>726</v>
      </c>
      <c r="B23" s="188">
        <f>'FLUJO 11 AÑOS'!B10</f>
        <v>3963879.3103448274</v>
      </c>
      <c r="C23" s="188">
        <f>'FLUJO 11 AÑOS'!C10</f>
        <v>8183448.1397570921</v>
      </c>
      <c r="D23" s="188">
        <f>'FLUJO 11 AÑOS'!D10</f>
        <v>9988829.8317977134</v>
      </c>
      <c r="E23" s="188">
        <f>'FLUJO 11 AÑOS'!E10</f>
        <v>12100066.302596021</v>
      </c>
      <c r="F23" s="188">
        <f>'FLUJO 11 AÑOS'!F10</f>
        <v>18330046.107204653</v>
      </c>
      <c r="G23" s="188">
        <f>'FLUJO 11 AÑOS'!G10</f>
        <v>21833743.236359231</v>
      </c>
      <c r="H23" s="188">
        <f>'FLUJO 11 AÑOS'!H10</f>
        <v>25456917.770568296</v>
      </c>
      <c r="I23" s="188">
        <f>'FLUJO 11 AÑOS'!I10</f>
        <v>29223171.697243325</v>
      </c>
      <c r="J23" s="188">
        <f>'FLUJO 11 AÑOS'!J10</f>
        <v>22380008.884525597</v>
      </c>
      <c r="K23" s="188">
        <f>'FLUJO 11 AÑOS'!K10</f>
        <v>23194054.904326275</v>
      </c>
      <c r="L23" s="188">
        <f>'FLUJO 11 AÑOS'!L10</f>
        <v>2347904.3759801835</v>
      </c>
      <c r="M23" s="128">
        <f>SUM(B23:L23)</f>
        <v>177002070.56070322</v>
      </c>
    </row>
    <row r="24" spans="1:13" ht="15" customHeight="1" x14ac:dyDescent="0.2">
      <c r="A24" s="119" t="s">
        <v>803</v>
      </c>
      <c r="B24" s="128">
        <f>(B23/(1+SUPUESTOS!$B$73))*SUPUESTOS!$B$73</f>
        <v>188756.15763546797</v>
      </c>
      <c r="C24" s="128">
        <f>(C23/(1+SUPUESTOS!$B$73))*SUPUESTOS!$B$73</f>
        <v>389688.00665509963</v>
      </c>
      <c r="D24" s="128">
        <f>(D23/(1+SUPUESTOS!$B$73))*SUPUESTOS!$B$73</f>
        <v>475658.56341893872</v>
      </c>
      <c r="E24" s="128">
        <f>(E23/(1+SUPUESTOS!$B$73))*SUPUESTOS!$B$73</f>
        <v>576193.63345695334</v>
      </c>
      <c r="F24" s="128">
        <f>(F23/(1+SUPUESTOS!$B$73))*SUPUESTOS!$B$73</f>
        <v>872859.33843831683</v>
      </c>
      <c r="G24" s="128">
        <f>(G23/(1+SUPUESTOS!$B$73))*SUPUESTOS!$B$73</f>
        <v>1039702.0588742491</v>
      </c>
      <c r="H24" s="128">
        <f>(H23/(1+SUPUESTOS!$B$73))*SUPUESTOS!$B$73</f>
        <v>1212234.1795508713</v>
      </c>
      <c r="I24" s="128">
        <f>(I23/(1+SUPUESTOS!$B$73))*SUPUESTOS!$B$73</f>
        <v>1391579.6046306347</v>
      </c>
      <c r="J24" s="128">
        <f>(J23/(1+SUPUESTOS!$B$73))*SUPUESTOS!$B$73</f>
        <v>1065714.7087869332</v>
      </c>
      <c r="K24" s="128">
        <f>(K23/(1+SUPUESTOS!$B$73))*SUPUESTOS!$B$73</f>
        <v>1104478.804967918</v>
      </c>
      <c r="L24" s="128">
        <f>(L23/(1+SUPUESTOS!$B$73))*SUPUESTOS!$B$73</f>
        <v>111804.97028477065</v>
      </c>
      <c r="M24" s="128">
        <f>SUM(B24:L24)</f>
        <v>8428670.0267001521</v>
      </c>
    </row>
    <row r="25" spans="1:13" ht="15" customHeight="1" x14ac:dyDescent="0.2">
      <c r="A25" s="119" t="s">
        <v>804</v>
      </c>
      <c r="B25" s="128">
        <f>(B23/(1+SUPUESTOS!$B$73))*SUPUESTOS!$B$74</f>
        <v>188756.15763546797</v>
      </c>
      <c r="C25" s="128">
        <f>(C23/(1+SUPUESTOS!$B$73))*SUPUESTOS!$B$74</f>
        <v>389688.00665509963</v>
      </c>
      <c r="D25" s="128">
        <f>(D23/(1+SUPUESTOS!$B$73))*SUPUESTOS!$B$74</f>
        <v>475658.56341893872</v>
      </c>
      <c r="E25" s="128">
        <f>(E23/(1+SUPUESTOS!$B$73))*SUPUESTOS!$B$74</f>
        <v>576193.63345695334</v>
      </c>
      <c r="F25" s="128">
        <f>(F23/(1+SUPUESTOS!$B$73))*SUPUESTOS!$B$74</f>
        <v>872859.33843831683</v>
      </c>
      <c r="G25" s="128">
        <f>(G23/(1+SUPUESTOS!$B$73))*SUPUESTOS!$B$74</f>
        <v>1039702.0588742491</v>
      </c>
      <c r="H25" s="128">
        <f>(H23/(1+SUPUESTOS!$B$73))*SUPUESTOS!$B$74</f>
        <v>1212234.1795508713</v>
      </c>
      <c r="I25" s="128">
        <f>(I23/(1+SUPUESTOS!$B$73))*SUPUESTOS!$B$74</f>
        <v>1391579.6046306347</v>
      </c>
      <c r="J25" s="128">
        <f>(J23/(1+SUPUESTOS!$B$73))*SUPUESTOS!$B$74</f>
        <v>1065714.7087869332</v>
      </c>
      <c r="K25" s="128">
        <f>(K23/(1+SUPUESTOS!$B$73))*SUPUESTOS!$B$74</f>
        <v>1104478.804967918</v>
      </c>
      <c r="L25" s="128">
        <f>(L23/(1+SUPUESTOS!$B$73))*SUPUESTOS!$B$74</f>
        <v>111804.97028477065</v>
      </c>
      <c r="M25" s="128">
        <f>SUM(B25:L25)</f>
        <v>8428670.0267001521</v>
      </c>
    </row>
    <row r="26" spans="1:13" ht="15" customHeight="1" x14ac:dyDescent="0.2">
      <c r="A26" s="113" t="s">
        <v>805</v>
      </c>
      <c r="B26" s="128">
        <f>(B23/(1+SUPUESTOS!$B$73))*SUPUESTOS!$B$75</f>
        <v>0</v>
      </c>
      <c r="C26" s="128">
        <f>(C23/(1+SUPUESTOS!$B$73))*SUPUESTOS!$B$75</f>
        <v>0</v>
      </c>
      <c r="D26" s="128">
        <f>(D23/(1+SUPUESTOS!$B$73))*SUPUESTOS!$B$75</f>
        <v>0</v>
      </c>
      <c r="E26" s="128">
        <f>(E23/(1+SUPUESTOS!$B$73))*SUPUESTOS!$B$75</f>
        <v>0</v>
      </c>
      <c r="F26" s="128">
        <f>(F23/(1+SUPUESTOS!$B$73))*SUPUESTOS!$B$75</f>
        <v>0</v>
      </c>
      <c r="G26" s="128">
        <f>(G23/(1+SUPUESTOS!$B$73))*SUPUESTOS!$B$75</f>
        <v>0</v>
      </c>
      <c r="H26" s="128">
        <f>(H23/(1+SUPUESTOS!$B$73))*SUPUESTOS!$B$75</f>
        <v>0</v>
      </c>
      <c r="I26" s="128">
        <f>(I23/(1+SUPUESTOS!$B$73))*SUPUESTOS!$B$75</f>
        <v>0</v>
      </c>
      <c r="J26" s="128">
        <f>(J23/(1+SUPUESTOS!$B$73))*SUPUESTOS!$B$75</f>
        <v>0</v>
      </c>
      <c r="K26" s="128">
        <f>(K23/(1+SUPUESTOS!$B$73))*SUPUESTOS!$B$75</f>
        <v>0</v>
      </c>
      <c r="L26" s="128">
        <f>(L23/(1+SUPUESTOS!$B$73))*SUPUESTOS!$B$75</f>
        <v>0</v>
      </c>
      <c r="M26" s="128">
        <f>SUM(B26:L26)</f>
        <v>0</v>
      </c>
    </row>
    <row r="27" spans="1:13" ht="15" customHeight="1" x14ac:dyDescent="0.2">
      <c r="A27" s="119" t="s">
        <v>806</v>
      </c>
      <c r="B27" s="128">
        <f>B26*SUPUESTOS!$B$76</f>
        <v>0</v>
      </c>
      <c r="C27" s="128">
        <f>C26*SUPUESTOS!$B$76</f>
        <v>0</v>
      </c>
      <c r="D27" s="128">
        <f>D26*SUPUESTOS!$B$76</f>
        <v>0</v>
      </c>
      <c r="E27" s="128">
        <f>E26*SUPUESTOS!$B$76</f>
        <v>0</v>
      </c>
      <c r="F27" s="128">
        <f>F26*SUPUESTOS!$B$76</f>
        <v>0</v>
      </c>
      <c r="G27" s="128">
        <f>G26*SUPUESTOS!$B$76</f>
        <v>0</v>
      </c>
      <c r="H27" s="128">
        <f>H26*SUPUESTOS!$B$76</f>
        <v>0</v>
      </c>
      <c r="I27" s="128">
        <f>I26*SUPUESTOS!$B$76</f>
        <v>0</v>
      </c>
      <c r="J27" s="128">
        <f>J26*SUPUESTOS!$B$76</f>
        <v>0</v>
      </c>
      <c r="K27" s="128">
        <f>K26*SUPUESTOS!$B$76</f>
        <v>0</v>
      </c>
      <c r="L27" s="128">
        <f>L26*SUPUESTOS!$B$76</f>
        <v>0</v>
      </c>
      <c r="M27" s="128">
        <f>SUM(B27:L27)</f>
        <v>0</v>
      </c>
    </row>
    <row r="28" spans="1:13" ht="15" customHeight="1" x14ac:dyDescent="0.2">
      <c r="A28" s="119" t="s">
        <v>807</v>
      </c>
      <c r="B28" s="128">
        <f t="shared" ref="B28:M28" si="5">B26</f>
        <v>0</v>
      </c>
      <c r="C28" s="128">
        <f t="shared" si="5"/>
        <v>0</v>
      </c>
      <c r="D28" s="128">
        <f t="shared" si="5"/>
        <v>0</v>
      </c>
      <c r="E28" s="128">
        <f t="shared" si="5"/>
        <v>0</v>
      </c>
      <c r="F28" s="128">
        <f t="shared" si="5"/>
        <v>0</v>
      </c>
      <c r="G28" s="128">
        <f t="shared" si="5"/>
        <v>0</v>
      </c>
      <c r="H28" s="128">
        <f t="shared" si="5"/>
        <v>0</v>
      </c>
      <c r="I28" s="128">
        <f t="shared" si="5"/>
        <v>0</v>
      </c>
      <c r="J28" s="128">
        <f t="shared" si="5"/>
        <v>0</v>
      </c>
      <c r="K28" s="128">
        <f t="shared" si="5"/>
        <v>0</v>
      </c>
      <c r="L28" s="128">
        <f t="shared" si="5"/>
        <v>0</v>
      </c>
      <c r="M28" s="128">
        <f t="shared" si="5"/>
        <v>0</v>
      </c>
    </row>
    <row r="29" spans="1:13" ht="15" customHeight="1" x14ac:dyDescent="0.2">
      <c r="A29" s="192" t="s">
        <v>808</v>
      </c>
      <c r="B29" s="193">
        <f>'FLUJO 11 AÑOS'!B78</f>
        <v>0</v>
      </c>
      <c r="C29" s="193">
        <f>'FLUJO 11 AÑOS'!C78</f>
        <v>0</v>
      </c>
      <c r="D29" s="193">
        <f>'FLUJO 11 AÑOS'!D78</f>
        <v>0</v>
      </c>
      <c r="E29" s="193">
        <f>'FLUJO 11 AÑOS'!E78</f>
        <v>0</v>
      </c>
      <c r="F29" s="193">
        <f>'FLUJO 11 AÑOS'!F78</f>
        <v>0</v>
      </c>
      <c r="G29" s="193">
        <f>'FLUJO 11 AÑOS'!G78</f>
        <v>0</v>
      </c>
      <c r="H29" s="193">
        <f>'FLUJO 11 AÑOS'!H78</f>
        <v>0</v>
      </c>
      <c r="I29" s="193">
        <f>'FLUJO 11 AÑOS'!I78</f>
        <v>0</v>
      </c>
      <c r="J29" s="193">
        <f>'FLUJO 11 AÑOS'!J78</f>
        <v>0</v>
      </c>
      <c r="K29" s="193">
        <f>'FLUJO 11 AÑOS'!K78</f>
        <v>0</v>
      </c>
      <c r="L29" s="193">
        <f>'FLUJO 11 AÑOS'!L78</f>
        <v>0</v>
      </c>
      <c r="M29" s="194">
        <f>SUM(B29:L29)</f>
        <v>0</v>
      </c>
    </row>
    <row r="30" spans="1:13" ht="15" customHeight="1" x14ac:dyDescent="0.2">
      <c r="A30" s="195" t="s">
        <v>809</v>
      </c>
      <c r="B30" s="196">
        <f t="shared" ref="B30:L30" si="6">B9+B18+B28+B29</f>
        <v>49548.491379310348</v>
      </c>
      <c r="C30" s="196">
        <f t="shared" si="6"/>
        <v>102293.10174696366</v>
      </c>
      <c r="D30" s="196">
        <f t="shared" si="6"/>
        <v>124860.37289747142</v>
      </c>
      <c r="E30" s="196">
        <f t="shared" si="6"/>
        <v>151250.82878245026</v>
      </c>
      <c r="F30" s="196">
        <f t="shared" si="6"/>
        <v>229125.57634005818</v>
      </c>
      <c r="G30" s="196">
        <f t="shared" si="6"/>
        <v>272921.7904544904</v>
      </c>
      <c r="H30" s="196">
        <f t="shared" si="6"/>
        <v>318211.47213210375</v>
      </c>
      <c r="I30" s="196">
        <f t="shared" si="6"/>
        <v>365289.64621554158</v>
      </c>
      <c r="J30" s="196">
        <f t="shared" si="6"/>
        <v>279750.11105656996</v>
      </c>
      <c r="K30" s="196">
        <f t="shared" si="6"/>
        <v>289925.68630407844</v>
      </c>
      <c r="L30" s="196">
        <f t="shared" si="6"/>
        <v>1972094.6781383057</v>
      </c>
      <c r="M30" s="196">
        <f>SUM(B30:L30)</f>
        <v>4155271.755447343</v>
      </c>
    </row>
    <row r="31" spans="1:13" ht="15" customHeight="1" x14ac:dyDescent="0.2">
      <c r="A31" s="195" t="s">
        <v>810</v>
      </c>
      <c r="B31" s="197">
        <f>B30</f>
        <v>49548.491379310348</v>
      </c>
      <c r="C31" s="197">
        <f t="shared" ref="C31:L31" si="7">B31+C30</f>
        <v>151841.59312627401</v>
      </c>
      <c r="D31" s="197">
        <f t="shared" si="7"/>
        <v>276701.96602374542</v>
      </c>
      <c r="E31" s="197">
        <f t="shared" si="7"/>
        <v>427952.79480619566</v>
      </c>
      <c r="F31" s="197">
        <f t="shared" si="7"/>
        <v>657078.37114625378</v>
      </c>
      <c r="G31" s="197">
        <f t="shared" si="7"/>
        <v>930000.16160074412</v>
      </c>
      <c r="H31" s="197">
        <f t="shared" si="7"/>
        <v>1248211.6337328479</v>
      </c>
      <c r="I31" s="197">
        <f t="shared" si="7"/>
        <v>1613501.2799483894</v>
      </c>
      <c r="J31" s="197">
        <f t="shared" si="7"/>
        <v>1893251.3910049594</v>
      </c>
      <c r="K31" s="197">
        <f t="shared" si="7"/>
        <v>2183177.0773090376</v>
      </c>
      <c r="L31" s="197">
        <f t="shared" si="7"/>
        <v>4155271.755447343</v>
      </c>
    </row>
    <row r="32" spans="1:13" ht="15" customHeight="1" x14ac:dyDescent="0.2">
      <c r="A32" s="198" t="s">
        <v>811</v>
      </c>
      <c r="B32" s="199">
        <f>MAX(0, ('FLUJO 11 AÑOS'!B24+'FLUJO 11 AÑOS'!B25+'FLUJO 11 AÑOS'!B26+'FLUJO 11 AÑOS'!B27+'FLUJO 11 AÑOS'!B28) - SUPUESTOS!$B$35*'FLUJO 11 AÑOS'!B44)</f>
        <v>23248.491379310348</v>
      </c>
      <c r="C32" s="199">
        <f>MAX(0, ('FLUJO 11 AÑOS'!C24+'FLUJO 11 AÑOS'!C25+'FLUJO 11 AÑOS'!C26+'FLUJO 11 AÑOS'!C27+'FLUJO 11 AÑOS'!C28) - SUPUESTOS!$B$35*'FLUJO 11 AÑOS'!C44)</f>
        <v>0</v>
      </c>
      <c r="D32" s="199">
        <f>MAX(0, ('FLUJO 11 AÑOS'!D24+'FLUJO 11 AÑOS'!D25+'FLUJO 11 AÑOS'!D26+'FLUJO 11 AÑOS'!D27+'FLUJO 11 AÑOS'!D28) - SUPUESTOS!$B$35*'FLUJO 11 AÑOS'!D44)</f>
        <v>0</v>
      </c>
      <c r="E32" s="199">
        <f>MAX(0, ('FLUJO 11 AÑOS'!E24+'FLUJO 11 AÑOS'!E25+'FLUJO 11 AÑOS'!E26+'FLUJO 11 AÑOS'!E27+'FLUJO 11 AÑOS'!E28) - SUPUESTOS!$B$35*'FLUJO 11 AÑOS'!E44)</f>
        <v>0</v>
      </c>
      <c r="F32" s="199">
        <f>MAX(0, ('FLUJO 11 AÑOS'!F24+'FLUJO 11 AÑOS'!F25+'FLUJO 11 AÑOS'!F26+'FLUJO 11 AÑOS'!F27+'FLUJO 11 AÑOS'!F28) - SUPUESTOS!$B$35*'FLUJO 11 AÑOS'!F44)</f>
        <v>0</v>
      </c>
      <c r="G32" s="199">
        <f>MAX(0, ('FLUJO 11 AÑOS'!G24+'FLUJO 11 AÑOS'!G25+'FLUJO 11 AÑOS'!G26+'FLUJO 11 AÑOS'!G27+'FLUJO 11 AÑOS'!G28) - SUPUESTOS!$B$35*'FLUJO 11 AÑOS'!G44)</f>
        <v>0</v>
      </c>
      <c r="H32" s="199">
        <f>MAX(0, ('FLUJO 11 AÑOS'!H24+'FLUJO 11 AÑOS'!H25+'FLUJO 11 AÑOS'!H26+'FLUJO 11 AÑOS'!H27+'FLUJO 11 AÑOS'!H28) - SUPUESTOS!$B$35*'FLUJO 11 AÑOS'!H44)</f>
        <v>0</v>
      </c>
      <c r="I32" s="199">
        <f>MAX(0, ('FLUJO 11 AÑOS'!I24+'FLUJO 11 AÑOS'!I25+'FLUJO 11 AÑOS'!I26+'FLUJO 11 AÑOS'!I27+'FLUJO 11 AÑOS'!I28) - SUPUESTOS!$B$35*'FLUJO 11 AÑOS'!I44)</f>
        <v>0</v>
      </c>
      <c r="J32" s="199">
        <f>MAX(0, ('FLUJO 11 AÑOS'!J24+'FLUJO 11 AÑOS'!J25+'FLUJO 11 AÑOS'!J26+'FLUJO 11 AÑOS'!J27+'FLUJO 11 AÑOS'!J28) - SUPUESTOS!$B$35*'FLUJO 11 AÑOS'!J44)</f>
        <v>0</v>
      </c>
      <c r="K32" s="199">
        <f>MAX(0, ('FLUJO 11 AÑOS'!K24+'FLUJO 11 AÑOS'!K25+'FLUJO 11 AÑOS'!K26+'FLUJO 11 AÑOS'!K27+'FLUJO 11 AÑOS'!K28) - SUPUESTOS!$B$35*'FLUJO 11 AÑOS'!K44)</f>
        <v>0</v>
      </c>
      <c r="L32" s="199">
        <f>MAX(0, ('FLUJO 11 AÑOS'!L24+'FLUJO 11 AÑOS'!L25+'FLUJO 11 AÑOS'!L26+'FLUJO 11 AÑOS'!L27+'FLUJO 11 AÑOS'!L28) - SUPUESTOS!$B$35*'FLUJO 11 AÑOS'!L44)</f>
        <v>0</v>
      </c>
      <c r="M32" s="200">
        <f>SUM(B32:L32)</f>
        <v>23248.491379310348</v>
      </c>
    </row>
    <row r="33" spans="1:5" ht="15" customHeight="1" x14ac:dyDescent="0.2">
      <c r="A33" s="113" t="s">
        <v>813</v>
      </c>
    </row>
    <row r="34" spans="1:5" ht="15.75" customHeight="1" x14ac:dyDescent="0.2"/>
    <row r="35" spans="1:5" ht="15" customHeight="1" x14ac:dyDescent="0.2">
      <c r="A35" s="113" t="s">
        <v>814</v>
      </c>
      <c r="B35" s="113" t="s">
        <v>871</v>
      </c>
      <c r="C35" s="113" t="s">
        <v>815</v>
      </c>
      <c r="D35" s="113"/>
    </row>
    <row r="36" spans="1:5" ht="15" customHeight="1" x14ac:dyDescent="0.2">
      <c r="A36" s="119" t="s">
        <v>816</v>
      </c>
      <c r="B36" s="128">
        <f>M8</f>
        <v>2212525.88200879</v>
      </c>
      <c r="C36" s="128">
        <f>B36/11</f>
        <v>201138.71654625365</v>
      </c>
      <c r="D36" s="202"/>
    </row>
    <row r="37" spans="1:5" ht="15" customHeight="1" x14ac:dyDescent="0.2">
      <c r="A37" s="119" t="s">
        <v>817</v>
      </c>
      <c r="B37" s="128">
        <f>M8+M18</f>
        <v>4155271.7554473435</v>
      </c>
      <c r="C37" s="128">
        <f>B37/11</f>
        <v>377751.97776794032</v>
      </c>
      <c r="D37" s="202"/>
      <c r="E37" s="202"/>
    </row>
    <row r="38" spans="1:5" ht="15" customHeight="1" x14ac:dyDescent="0.2">
      <c r="A38" s="119" t="s">
        <v>818</v>
      </c>
      <c r="B38" s="128">
        <f>M8+M18+M26</f>
        <v>4155271.7554473435</v>
      </c>
      <c r="C38" s="128">
        <f>B38/11</f>
        <v>377751.97776794032</v>
      </c>
      <c r="D38" s="202"/>
      <c r="E38" s="202"/>
    </row>
    <row r="39" spans="1:5" ht="15" customHeight="1" x14ac:dyDescent="0.2">
      <c r="A39" s="119" t="s">
        <v>819</v>
      </c>
      <c r="B39" s="128">
        <f>M8+M18+M26+M29</f>
        <v>4155271.7554473435</v>
      </c>
      <c r="C39" s="128">
        <f>B39/11</f>
        <v>377751.97776794032</v>
      </c>
      <c r="D39" s="202"/>
    </row>
    <row r="40" spans="1:5" ht="15.75" customHeight="1" x14ac:dyDescent="0.2"/>
    <row r="41" spans="1:5" ht="15" customHeight="1" x14ac:dyDescent="0.2">
      <c r="A41" s="113" t="s">
        <v>820</v>
      </c>
    </row>
    <row r="42" spans="1:5" ht="15" customHeight="1" x14ac:dyDescent="0.2">
      <c r="A42" s="119" t="s">
        <v>821</v>
      </c>
      <c r="B42" s="203">
        <f>'FLUJO 11 AÑOS'!B62</f>
        <v>0.13181270190016892</v>
      </c>
    </row>
    <row r="43" spans="1:5" ht="15" customHeight="1" x14ac:dyDescent="0.2">
      <c r="A43" s="119" t="s">
        <v>20</v>
      </c>
      <c r="B43" s="204">
        <f>'FLUJO 11 AÑOS'!B63</f>
        <v>1.7169144960793359</v>
      </c>
    </row>
    <row r="44" spans="1:5" ht="15" customHeight="1" x14ac:dyDescent="0.2">
      <c r="A44" s="119" t="s">
        <v>872</v>
      </c>
      <c r="B44" s="128">
        <f>M13</f>
        <v>42286684.595689289</v>
      </c>
    </row>
    <row r="45" spans="1:5" ht="15" customHeight="1" x14ac:dyDescent="0.2">
      <c r="A45" s="119" t="s">
        <v>873</v>
      </c>
      <c r="B45" s="128">
        <f>M14</f>
        <v>1942745.8734385534</v>
      </c>
    </row>
    <row r="46" spans="1:5" ht="15" customHeight="1" x14ac:dyDescent="0.2">
      <c r="A46" s="119" t="s">
        <v>874</v>
      </c>
      <c r="B46" s="128">
        <f>M18</f>
        <v>1942745.8734385534</v>
      </c>
    </row>
    <row r="47" spans="1:5" ht="15" customHeight="1" x14ac:dyDescent="0.2">
      <c r="A47" s="119" t="s">
        <v>825</v>
      </c>
      <c r="B47" s="265">
        <f>L19</f>
        <v>0</v>
      </c>
    </row>
    <row r="48" spans="1:5" ht="15" customHeight="1" x14ac:dyDescent="0.2">
      <c r="A48" s="119" t="s">
        <v>826</v>
      </c>
      <c r="B48" s="206">
        <f>SUPUESTOS!B30</f>
        <v>0</v>
      </c>
    </row>
    <row r="49" spans="1:1" ht="15.75" customHeight="1" x14ac:dyDescent="0.2"/>
    <row r="50" spans="1:1" ht="15" customHeight="1" x14ac:dyDescent="0.2">
      <c r="A50" s="113" t="s">
        <v>827</v>
      </c>
    </row>
    <row r="51" spans="1:1" ht="15" customHeight="1" x14ac:dyDescent="0.2">
      <c r="A51" s="119" t="s">
        <v>875</v>
      </c>
    </row>
    <row r="52" spans="1:1" ht="15" customHeight="1" x14ac:dyDescent="0.2">
      <c r="A52" s="119" t="s">
        <v>829</v>
      </c>
    </row>
    <row r="53" spans="1:1" ht="15" customHeight="1" x14ac:dyDescent="0.2">
      <c r="A53" s="119" t="s">
        <v>830</v>
      </c>
    </row>
    <row r="54" spans="1:1" ht="15" customHeight="1" x14ac:dyDescent="0.2">
      <c r="A54" s="119" t="s">
        <v>831</v>
      </c>
    </row>
    <row r="55" spans="1:1" ht="15" customHeight="1" x14ac:dyDescent="0.2">
      <c r="A55" s="119" t="s">
        <v>876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L18">
    <cfRule type="cellIs" dxfId="4" priority="2" operator="lessThan">
      <formula>B14</formula>
    </cfRule>
    <cfRule type="cellIs" dxfId="3" priority="3" operator="greaterThanOrEqual">
      <formula>B16</formula>
    </cfRule>
  </conditionalFormatting>
  <conditionalFormatting sqref="B19:L19">
    <cfRule type="cellIs" dxfId="2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showGridLines="0" zoomScaleNormal="100" workbookViewId="0"/>
  </sheetViews>
  <sheetFormatPr baseColWidth="10" defaultColWidth="14.5" defaultRowHeight="15" customHeight="1" x14ac:dyDescent="0.2"/>
  <cols>
    <col min="1" max="1" width="5" customWidth="1"/>
    <col min="2" max="2" width="45" customWidth="1"/>
    <col min="3" max="3" width="80.33203125" customWidth="1"/>
    <col min="4" max="4" width="25" customWidth="1"/>
    <col min="5" max="26" width="10.6640625" customWidth="1"/>
  </cols>
  <sheetData>
    <row r="1" spans="1:4" ht="15.75" customHeight="1" x14ac:dyDescent="0.2">
      <c r="A1" s="309" t="s">
        <v>877</v>
      </c>
      <c r="B1" s="309"/>
      <c r="C1" s="309"/>
      <c r="D1" s="309"/>
    </row>
    <row r="2" spans="1:4" ht="15" customHeight="1" x14ac:dyDescent="0.2">
      <c r="A2" s="310" t="s">
        <v>878</v>
      </c>
      <c r="B2" s="310"/>
      <c r="C2" s="310"/>
      <c r="D2" s="310"/>
    </row>
    <row r="3" spans="1:4" ht="15" customHeight="1" x14ac:dyDescent="0.2">
      <c r="A3" s="266" t="s">
        <v>879</v>
      </c>
      <c r="B3" s="266" t="s">
        <v>880</v>
      </c>
      <c r="C3" s="266" t="s">
        <v>881</v>
      </c>
      <c r="D3" s="266" t="s">
        <v>882</v>
      </c>
    </row>
    <row r="4" spans="1:4" ht="15" customHeight="1" x14ac:dyDescent="0.2">
      <c r="A4" s="311" t="s">
        <v>883</v>
      </c>
      <c r="B4" s="311"/>
      <c r="C4" s="311"/>
      <c r="D4" s="311"/>
    </row>
    <row r="5" spans="1:4" ht="27.75" customHeight="1" x14ac:dyDescent="0.2">
      <c r="A5" s="267" t="s">
        <v>884</v>
      </c>
      <c r="B5" s="268" t="s">
        <v>885</v>
      </c>
      <c r="C5" s="269" t="s">
        <v>886</v>
      </c>
      <c r="D5" s="270" t="s">
        <v>887</v>
      </c>
    </row>
    <row r="6" spans="1:4" ht="69.75" customHeight="1" x14ac:dyDescent="0.2">
      <c r="A6" s="267" t="s">
        <v>888</v>
      </c>
      <c r="B6" s="268" t="s">
        <v>889</v>
      </c>
      <c r="C6" s="269" t="s">
        <v>890</v>
      </c>
      <c r="D6" s="271" t="s">
        <v>891</v>
      </c>
    </row>
    <row r="7" spans="1:4" ht="42" customHeight="1" x14ac:dyDescent="0.2">
      <c r="A7" s="267" t="s">
        <v>892</v>
      </c>
      <c r="B7" s="268" t="s">
        <v>893</v>
      </c>
      <c r="C7" s="272" t="s">
        <v>894</v>
      </c>
      <c r="D7" s="273" t="s">
        <v>895</v>
      </c>
    </row>
    <row r="8" spans="1:4" ht="42" customHeight="1" x14ac:dyDescent="0.2">
      <c r="A8" s="267" t="s">
        <v>896</v>
      </c>
      <c r="B8" s="268" t="s">
        <v>897</v>
      </c>
      <c r="C8" s="272" t="s">
        <v>898</v>
      </c>
      <c r="D8" s="273" t="s">
        <v>899</v>
      </c>
    </row>
    <row r="9" spans="1:4" ht="42" customHeight="1" x14ac:dyDescent="0.2">
      <c r="A9" s="267" t="s">
        <v>900</v>
      </c>
      <c r="B9" s="268" t="s">
        <v>901</v>
      </c>
      <c r="C9" s="272" t="s">
        <v>902</v>
      </c>
      <c r="D9" s="273" t="s">
        <v>903</v>
      </c>
    </row>
    <row r="10" spans="1:4" ht="55.5" customHeight="1" x14ac:dyDescent="0.2">
      <c r="A10" s="267" t="s">
        <v>904</v>
      </c>
      <c r="B10" s="268" t="s">
        <v>905</v>
      </c>
      <c r="C10" s="269" t="s">
        <v>906</v>
      </c>
      <c r="D10" s="271" t="s">
        <v>907</v>
      </c>
    </row>
    <row r="11" spans="1:4" ht="27.75" customHeight="1" x14ac:dyDescent="0.2">
      <c r="A11" s="267" t="s">
        <v>908</v>
      </c>
      <c r="B11" s="268" t="s">
        <v>909</v>
      </c>
      <c r="C11" s="269" t="s">
        <v>910</v>
      </c>
      <c r="D11" s="274" t="s">
        <v>911</v>
      </c>
    </row>
    <row r="12" spans="1:4" ht="55.5" customHeight="1" x14ac:dyDescent="0.2">
      <c r="A12" s="267" t="s">
        <v>912</v>
      </c>
      <c r="B12" s="268" t="s">
        <v>913</v>
      </c>
      <c r="C12" s="269" t="s">
        <v>914</v>
      </c>
      <c r="D12" s="274" t="s">
        <v>915</v>
      </c>
    </row>
    <row r="13" spans="1:4" ht="42" customHeight="1" x14ac:dyDescent="0.2">
      <c r="A13" s="267" t="s">
        <v>916</v>
      </c>
      <c r="B13" s="268" t="s">
        <v>917</v>
      </c>
      <c r="C13" s="269" t="s">
        <v>918</v>
      </c>
      <c r="D13" s="274" t="s">
        <v>919</v>
      </c>
    </row>
    <row r="14" spans="1:4" ht="27.75" customHeight="1" x14ac:dyDescent="0.2">
      <c r="A14" s="267" t="s">
        <v>920</v>
      </c>
      <c r="B14" s="268" t="s">
        <v>921</v>
      </c>
      <c r="C14" s="269" t="s">
        <v>922</v>
      </c>
      <c r="D14" s="270" t="s">
        <v>923</v>
      </c>
    </row>
    <row r="15" spans="1:4" ht="27.75" customHeight="1" x14ac:dyDescent="0.2">
      <c r="A15" s="267" t="s">
        <v>924</v>
      </c>
      <c r="B15" s="268" t="s">
        <v>925</v>
      </c>
      <c r="C15" s="269" t="s">
        <v>926</v>
      </c>
      <c r="D15" s="274" t="s">
        <v>927</v>
      </c>
    </row>
    <row r="16" spans="1:4" ht="27.75" customHeight="1" x14ac:dyDescent="0.2">
      <c r="A16" s="267" t="s">
        <v>928</v>
      </c>
      <c r="B16" s="268" t="s">
        <v>929</v>
      </c>
      <c r="C16" s="269" t="s">
        <v>930</v>
      </c>
      <c r="D16" s="274" t="s">
        <v>931</v>
      </c>
    </row>
    <row r="17" spans="1:4" ht="42" customHeight="1" x14ac:dyDescent="0.2">
      <c r="A17" s="267" t="s">
        <v>932</v>
      </c>
      <c r="B17" s="268" t="s">
        <v>933</v>
      </c>
      <c r="C17" s="269" t="s">
        <v>934</v>
      </c>
      <c r="D17" s="274" t="s">
        <v>935</v>
      </c>
    </row>
    <row r="18" spans="1:4" ht="27.75" customHeight="1" x14ac:dyDescent="0.2">
      <c r="A18" s="267" t="s">
        <v>936</v>
      </c>
      <c r="B18" s="268" t="s">
        <v>937</v>
      </c>
      <c r="C18" s="269" t="s">
        <v>938</v>
      </c>
      <c r="D18" s="271" t="s">
        <v>939</v>
      </c>
    </row>
    <row r="19" spans="1:4" ht="42" customHeight="1" x14ac:dyDescent="0.2">
      <c r="A19" s="267" t="s">
        <v>940</v>
      </c>
      <c r="B19" s="268" t="s">
        <v>941</v>
      </c>
      <c r="C19" s="269" t="s">
        <v>942</v>
      </c>
      <c r="D19" s="271" t="s">
        <v>907</v>
      </c>
    </row>
    <row r="20" spans="1:4" ht="15.75" customHeight="1" x14ac:dyDescent="0.2">
      <c r="B20" s="275"/>
      <c r="C20" s="276"/>
    </row>
    <row r="21" spans="1:4" ht="15" customHeight="1" x14ac:dyDescent="0.2">
      <c r="A21" s="311" t="s">
        <v>943</v>
      </c>
      <c r="B21" s="311"/>
      <c r="C21" s="311"/>
      <c r="D21" s="311"/>
    </row>
    <row r="22" spans="1:4" ht="27.75" customHeight="1" x14ac:dyDescent="0.2">
      <c r="A22" s="267" t="s">
        <v>884</v>
      </c>
      <c r="B22" s="268" t="s">
        <v>944</v>
      </c>
      <c r="C22" s="269" t="s">
        <v>945</v>
      </c>
      <c r="D22" s="270" t="s">
        <v>946</v>
      </c>
    </row>
    <row r="23" spans="1:4" ht="15" customHeight="1" x14ac:dyDescent="0.2">
      <c r="A23" s="267" t="s">
        <v>888</v>
      </c>
      <c r="B23" s="268" t="s">
        <v>947</v>
      </c>
      <c r="C23" s="269" t="s">
        <v>948</v>
      </c>
      <c r="D23" s="270" t="s">
        <v>949</v>
      </c>
    </row>
    <row r="24" spans="1:4" ht="15" customHeight="1" x14ac:dyDescent="0.2">
      <c r="A24" s="267" t="s">
        <v>892</v>
      </c>
      <c r="B24" s="268" t="s">
        <v>950</v>
      </c>
      <c r="C24" s="269" t="s">
        <v>951</v>
      </c>
      <c r="D24" s="270" t="s">
        <v>949</v>
      </c>
    </row>
    <row r="25" spans="1:4" ht="15" customHeight="1" x14ac:dyDescent="0.2">
      <c r="A25" s="267" t="s">
        <v>896</v>
      </c>
      <c r="B25" s="268" t="s">
        <v>952</v>
      </c>
      <c r="C25" s="269" t="s">
        <v>953</v>
      </c>
      <c r="D25" s="270" t="s">
        <v>949</v>
      </c>
    </row>
    <row r="26" spans="1:4" ht="15" customHeight="1" x14ac:dyDescent="0.2">
      <c r="A26" s="267" t="s">
        <v>900</v>
      </c>
      <c r="B26" s="268" t="s">
        <v>954</v>
      </c>
      <c r="C26" s="269" t="s">
        <v>955</v>
      </c>
      <c r="D26" s="270" t="s">
        <v>949</v>
      </c>
    </row>
    <row r="27" spans="1:4" ht="15" customHeight="1" x14ac:dyDescent="0.2">
      <c r="A27" s="267" t="s">
        <v>904</v>
      </c>
      <c r="B27" s="268" t="s">
        <v>956</v>
      </c>
      <c r="C27" s="269" t="s">
        <v>957</v>
      </c>
      <c r="D27" s="274" t="s">
        <v>958</v>
      </c>
    </row>
    <row r="28" spans="1:4" ht="15" customHeight="1" x14ac:dyDescent="0.2">
      <c r="A28" s="267" t="s">
        <v>908</v>
      </c>
      <c r="B28" s="268" t="s">
        <v>959</v>
      </c>
      <c r="C28" s="269" t="s">
        <v>960</v>
      </c>
      <c r="D28" s="270" t="s">
        <v>949</v>
      </c>
    </row>
    <row r="29" spans="1:4" ht="42" customHeight="1" x14ac:dyDescent="0.2">
      <c r="A29" s="267" t="s">
        <v>912</v>
      </c>
      <c r="B29" s="268" t="s">
        <v>961</v>
      </c>
      <c r="C29" s="269" t="s">
        <v>962</v>
      </c>
      <c r="D29" s="270" t="s">
        <v>963</v>
      </c>
    </row>
    <row r="30" spans="1:4" ht="15" customHeight="1" x14ac:dyDescent="0.2">
      <c r="A30" s="267" t="s">
        <v>916</v>
      </c>
      <c r="B30" s="268" t="s">
        <v>964</v>
      </c>
      <c r="C30" s="269" t="s">
        <v>962</v>
      </c>
      <c r="D30" s="270" t="s">
        <v>963</v>
      </c>
    </row>
    <row r="31" spans="1:4" ht="27.75" customHeight="1" x14ac:dyDescent="0.2">
      <c r="A31" s="267" t="s">
        <v>920</v>
      </c>
      <c r="B31" s="268">
        <v>1.4999999999999999E-2</v>
      </c>
      <c r="C31" s="272" t="s">
        <v>965</v>
      </c>
      <c r="D31" s="273" t="s">
        <v>966</v>
      </c>
    </row>
    <row r="32" spans="1:4" ht="42" customHeight="1" x14ac:dyDescent="0.2">
      <c r="A32" s="267" t="s">
        <v>924</v>
      </c>
      <c r="B32" s="268" t="s">
        <v>967</v>
      </c>
      <c r="C32" s="269" t="s">
        <v>968</v>
      </c>
      <c r="D32" s="274" t="s">
        <v>969</v>
      </c>
    </row>
    <row r="33" spans="1:4" ht="15" customHeight="1" x14ac:dyDescent="0.2">
      <c r="A33" s="267" t="s">
        <v>928</v>
      </c>
      <c r="B33" s="268" t="s">
        <v>970</v>
      </c>
      <c r="C33" s="269" t="s">
        <v>971</v>
      </c>
      <c r="D33" s="277" t="s">
        <v>972</v>
      </c>
    </row>
    <row r="34" spans="1:4" ht="27.75" customHeight="1" x14ac:dyDescent="0.2">
      <c r="A34" s="267" t="s">
        <v>932</v>
      </c>
      <c r="B34" s="268" t="s">
        <v>973</v>
      </c>
      <c r="C34" s="269" t="s">
        <v>974</v>
      </c>
      <c r="D34" s="274" t="s">
        <v>931</v>
      </c>
    </row>
    <row r="35" spans="1:4" ht="15.75" customHeight="1" x14ac:dyDescent="0.2">
      <c r="B35" s="275" t="s">
        <v>975</v>
      </c>
      <c r="C35" s="278" t="s">
        <v>976</v>
      </c>
      <c r="D35" s="279" t="s">
        <v>977</v>
      </c>
    </row>
    <row r="36" spans="1:4" ht="15" customHeight="1" x14ac:dyDescent="0.2">
      <c r="A36" s="311" t="s">
        <v>978</v>
      </c>
      <c r="B36" s="311"/>
      <c r="C36" s="311"/>
      <c r="D36" s="311"/>
    </row>
    <row r="37" spans="1:4" ht="15" customHeight="1" x14ac:dyDescent="0.2">
      <c r="A37" s="266" t="s">
        <v>879</v>
      </c>
      <c r="B37" s="266" t="s">
        <v>147</v>
      </c>
      <c r="C37" s="266" t="s">
        <v>979</v>
      </c>
      <c r="D37" s="266" t="s">
        <v>980</v>
      </c>
    </row>
    <row r="38" spans="1:4" ht="16.5" customHeight="1" x14ac:dyDescent="0.2">
      <c r="A38" s="280" t="s">
        <v>884</v>
      </c>
      <c r="B38" s="281">
        <v>0.05</v>
      </c>
      <c r="C38" s="272" t="s">
        <v>981</v>
      </c>
      <c r="D38" s="273" t="s">
        <v>982</v>
      </c>
    </row>
    <row r="39" spans="1:4" ht="15.75" customHeight="1" x14ac:dyDescent="0.2">
      <c r="A39" s="280" t="s">
        <v>888</v>
      </c>
      <c r="B39" s="282" t="s">
        <v>700</v>
      </c>
      <c r="C39" s="269" t="s">
        <v>983</v>
      </c>
      <c r="D39" s="282" t="s">
        <v>984</v>
      </c>
    </row>
    <row r="40" spans="1:4" ht="15.75" customHeight="1" x14ac:dyDescent="0.2">
      <c r="A40" s="280" t="s">
        <v>892</v>
      </c>
      <c r="B40" s="282" t="s">
        <v>985</v>
      </c>
      <c r="C40" s="272" t="s">
        <v>986</v>
      </c>
      <c r="D40" s="273" t="s">
        <v>987</v>
      </c>
    </row>
    <row r="41" spans="1:4" ht="15.75" customHeight="1" x14ac:dyDescent="0.2">
      <c r="A41" s="280" t="s">
        <v>896</v>
      </c>
      <c r="B41" s="282" t="s">
        <v>225</v>
      </c>
      <c r="C41" s="272" t="s">
        <v>988</v>
      </c>
      <c r="D41" s="283" t="s">
        <v>989</v>
      </c>
    </row>
    <row r="42" spans="1:4" ht="31.5" customHeight="1" x14ac:dyDescent="0.2">
      <c r="A42" s="280" t="s">
        <v>900</v>
      </c>
      <c r="B42" s="282" t="s">
        <v>990</v>
      </c>
      <c r="C42" s="272" t="s">
        <v>991</v>
      </c>
      <c r="D42" s="282" t="s">
        <v>992</v>
      </c>
    </row>
    <row r="43" spans="1:4" ht="15.75" customHeight="1" x14ac:dyDescent="0.2">
      <c r="A43" s="280" t="s">
        <v>904</v>
      </c>
      <c r="B43" s="282" t="s">
        <v>666</v>
      </c>
      <c r="C43" s="269" t="s">
        <v>993</v>
      </c>
      <c r="D43" s="282" t="s">
        <v>705</v>
      </c>
    </row>
    <row r="44" spans="1:4" ht="15.75" customHeight="1" x14ac:dyDescent="0.2">
      <c r="A44" s="280" t="s">
        <v>908</v>
      </c>
      <c r="B44" s="282" t="s">
        <v>994</v>
      </c>
      <c r="C44" s="272" t="s">
        <v>995</v>
      </c>
      <c r="D44" s="282" t="s">
        <v>705</v>
      </c>
    </row>
    <row r="45" spans="1:4" ht="15.75" customHeight="1" x14ac:dyDescent="0.2">
      <c r="A45" s="280" t="s">
        <v>912</v>
      </c>
      <c r="B45" s="282" t="s">
        <v>996</v>
      </c>
      <c r="C45" s="269" t="s">
        <v>997</v>
      </c>
      <c r="D45" s="282" t="s">
        <v>998</v>
      </c>
    </row>
    <row r="46" spans="1:4" ht="15.75" customHeight="1" x14ac:dyDescent="0.2">
      <c r="B46" s="284"/>
    </row>
    <row r="47" spans="1:4" ht="32.25" customHeight="1" x14ac:dyDescent="0.2">
      <c r="A47" s="312" t="s">
        <v>999</v>
      </c>
      <c r="B47" s="312"/>
      <c r="C47" s="312"/>
      <c r="D47" s="312"/>
    </row>
    <row r="48" spans="1:4" ht="15.75" customHeight="1" x14ac:dyDescent="0.2">
      <c r="B48" s="284"/>
    </row>
    <row r="49" spans="1:4" ht="15" customHeight="1" x14ac:dyDescent="0.2">
      <c r="A49" s="313" t="s">
        <v>1000</v>
      </c>
      <c r="B49" s="313"/>
      <c r="C49" s="313"/>
      <c r="D49" s="313"/>
    </row>
    <row r="50" spans="1:4" ht="55.5" customHeight="1" x14ac:dyDescent="0.2">
      <c r="A50" s="286" t="s">
        <v>884</v>
      </c>
      <c r="B50" s="286" t="s">
        <v>1001</v>
      </c>
      <c r="C50" s="287" t="s">
        <v>1002</v>
      </c>
      <c r="D50" s="288" t="s">
        <v>1003</v>
      </c>
    </row>
    <row r="51" spans="1:4" ht="42" customHeight="1" x14ac:dyDescent="0.2">
      <c r="A51" s="286" t="s">
        <v>888</v>
      </c>
      <c r="B51" s="286" t="s">
        <v>1004</v>
      </c>
      <c r="C51" s="286" t="s">
        <v>1005</v>
      </c>
      <c r="D51" s="286" t="s">
        <v>1006</v>
      </c>
    </row>
    <row r="52" spans="1:4" ht="42" customHeight="1" x14ac:dyDescent="0.2">
      <c r="A52" s="286" t="s">
        <v>892</v>
      </c>
      <c r="B52" s="286" t="s">
        <v>1007</v>
      </c>
      <c r="C52" s="286" t="s">
        <v>1008</v>
      </c>
      <c r="D52" s="286" t="s">
        <v>1009</v>
      </c>
    </row>
    <row r="53" spans="1:4" ht="42" customHeight="1" x14ac:dyDescent="0.2">
      <c r="A53" s="286" t="s">
        <v>896</v>
      </c>
      <c r="B53" s="286" t="s">
        <v>1010</v>
      </c>
      <c r="C53" s="286" t="s">
        <v>1011</v>
      </c>
      <c r="D53" s="286" t="s">
        <v>1012</v>
      </c>
    </row>
    <row r="54" spans="1:4" ht="42" customHeight="1" x14ac:dyDescent="0.2">
      <c r="A54" s="286" t="s">
        <v>900</v>
      </c>
      <c r="B54" s="286" t="s">
        <v>1013</v>
      </c>
      <c r="C54" s="286" t="s">
        <v>1014</v>
      </c>
      <c r="D54" s="289" t="s">
        <v>1015</v>
      </c>
    </row>
    <row r="55" spans="1:4" ht="15.75" customHeight="1" x14ac:dyDescent="0.2">
      <c r="A55" s="290" t="s">
        <v>904</v>
      </c>
      <c r="B55" s="290" t="s">
        <v>1016</v>
      </c>
      <c r="C55" s="290" t="s">
        <v>1017</v>
      </c>
      <c r="D55" s="290" t="s">
        <v>1018</v>
      </c>
    </row>
    <row r="56" spans="1:4" ht="15" customHeight="1" x14ac:dyDescent="0.2">
      <c r="A56" s="314" t="s">
        <v>908</v>
      </c>
      <c r="B56" s="314"/>
      <c r="C56" s="314"/>
      <c r="D56" s="314"/>
    </row>
    <row r="57" spans="1:4" ht="27.75" customHeight="1" x14ac:dyDescent="0.2">
      <c r="A57" s="290" t="s">
        <v>912</v>
      </c>
      <c r="B57" s="290" t="s">
        <v>1019</v>
      </c>
      <c r="C57" s="290" t="s">
        <v>1020</v>
      </c>
      <c r="D57" s="290" t="s">
        <v>1021</v>
      </c>
    </row>
    <row r="58" spans="1:4" ht="42" customHeight="1" x14ac:dyDescent="0.2">
      <c r="B58" s="284"/>
    </row>
    <row r="59" spans="1:4" ht="42" customHeight="1" x14ac:dyDescent="0.2">
      <c r="B59" s="284"/>
    </row>
    <row r="60" spans="1:4" ht="27.75" customHeight="1" x14ac:dyDescent="0.2">
      <c r="A60" s="285" t="s">
        <v>1022</v>
      </c>
      <c r="B60" s="284"/>
    </row>
    <row r="61" spans="1:4" ht="27.75" customHeight="1" x14ac:dyDescent="0.2">
      <c r="A61" s="286" t="s">
        <v>884</v>
      </c>
      <c r="B61" s="286" t="s">
        <v>1023</v>
      </c>
      <c r="C61" s="286" t="s">
        <v>1024</v>
      </c>
      <c r="D61" s="286" t="s">
        <v>1025</v>
      </c>
    </row>
    <row r="62" spans="1:4" ht="15.75" customHeight="1" x14ac:dyDescent="0.2">
      <c r="A62" s="286" t="s">
        <v>888</v>
      </c>
      <c r="B62" s="286" t="s">
        <v>1026</v>
      </c>
      <c r="C62" s="286" t="s">
        <v>1027</v>
      </c>
      <c r="D62" s="286" t="s">
        <v>1028</v>
      </c>
    </row>
    <row r="63" spans="1:4" ht="15" customHeight="1" x14ac:dyDescent="0.2">
      <c r="A63" s="315" t="s">
        <v>892</v>
      </c>
      <c r="B63" s="315"/>
      <c r="C63" s="315"/>
      <c r="D63" s="315"/>
    </row>
    <row r="64" spans="1:4" ht="42" customHeight="1" x14ac:dyDescent="0.2">
      <c r="A64" s="286" t="s">
        <v>896</v>
      </c>
      <c r="B64" s="286" t="s">
        <v>1029</v>
      </c>
      <c r="C64" s="286" t="s">
        <v>1030</v>
      </c>
      <c r="D64" s="286" t="s">
        <v>1031</v>
      </c>
    </row>
    <row r="65" spans="1:4" ht="42" customHeight="1" x14ac:dyDescent="0.2">
      <c r="A65" s="286" t="s">
        <v>900</v>
      </c>
      <c r="B65" s="286" t="s">
        <v>1032</v>
      </c>
      <c r="C65" s="286" t="s">
        <v>1033</v>
      </c>
      <c r="D65" s="286" t="s">
        <v>1034</v>
      </c>
    </row>
    <row r="66" spans="1:4" ht="27.75" customHeight="1" x14ac:dyDescent="0.2">
      <c r="B66" s="284"/>
    </row>
    <row r="67" spans="1:4" ht="15.75" customHeight="1" x14ac:dyDescent="0.2">
      <c r="A67" s="285" t="s">
        <v>1035</v>
      </c>
      <c r="B67" s="284"/>
    </row>
    <row r="68" spans="1:4" ht="15.75" customHeight="1" x14ac:dyDescent="0.2">
      <c r="A68" s="286" t="s">
        <v>884</v>
      </c>
      <c r="B68" s="286" t="s">
        <v>1036</v>
      </c>
      <c r="C68" s="286" t="s">
        <v>1037</v>
      </c>
      <c r="D68" s="286" t="s">
        <v>1038</v>
      </c>
    </row>
    <row r="69" spans="1:4" ht="15.75" customHeight="1" x14ac:dyDescent="0.2">
      <c r="A69" s="286" t="s">
        <v>888</v>
      </c>
      <c r="B69" s="286" t="s">
        <v>1039</v>
      </c>
      <c r="C69" s="286" t="s">
        <v>1040</v>
      </c>
      <c r="D69" s="286" t="s">
        <v>1041</v>
      </c>
    </row>
    <row r="70" spans="1:4" ht="15.75" customHeight="1" x14ac:dyDescent="0.2">
      <c r="A70" s="286" t="s">
        <v>892</v>
      </c>
      <c r="B70" s="286" t="s">
        <v>1042</v>
      </c>
      <c r="C70" s="286" t="s">
        <v>1043</v>
      </c>
      <c r="D70" s="289" t="s">
        <v>1044</v>
      </c>
    </row>
    <row r="71" spans="1:4" ht="15.75" customHeight="1" x14ac:dyDescent="0.2">
      <c r="B71" s="284"/>
    </row>
    <row r="72" spans="1:4" ht="15.75" customHeight="1" x14ac:dyDescent="0.2">
      <c r="B72" s="284"/>
    </row>
    <row r="73" spans="1:4" ht="15.75" customHeight="1" x14ac:dyDescent="0.2">
      <c r="B73" s="284"/>
    </row>
    <row r="74" spans="1:4" ht="15.75" customHeight="1" x14ac:dyDescent="0.2">
      <c r="B74" s="284"/>
    </row>
    <row r="75" spans="1:4" ht="15.75" customHeight="1" x14ac:dyDescent="0.2">
      <c r="B75" s="284"/>
    </row>
    <row r="76" spans="1:4" ht="15.75" customHeight="1" x14ac:dyDescent="0.2">
      <c r="B76" s="284"/>
    </row>
    <row r="77" spans="1:4" ht="15.75" customHeight="1" x14ac:dyDescent="0.2">
      <c r="B77" s="284"/>
    </row>
    <row r="78" spans="1:4" ht="15.75" customHeight="1" x14ac:dyDescent="0.2">
      <c r="B78" s="284"/>
    </row>
    <row r="79" spans="1:4" ht="15.75" customHeight="1" x14ac:dyDescent="0.2">
      <c r="B79" s="284"/>
    </row>
    <row r="80" spans="1:4" ht="15.75" customHeight="1" x14ac:dyDescent="0.2">
      <c r="B80" s="284"/>
    </row>
    <row r="81" spans="2:2" ht="15.75" customHeight="1" x14ac:dyDescent="0.2">
      <c r="B81" s="284"/>
    </row>
    <row r="82" spans="2:2" ht="15.75" customHeight="1" x14ac:dyDescent="0.2">
      <c r="B82" s="284"/>
    </row>
    <row r="83" spans="2:2" ht="15.75" customHeight="1" x14ac:dyDescent="0.2">
      <c r="B83" s="284"/>
    </row>
    <row r="84" spans="2:2" ht="15.75" customHeight="1" x14ac:dyDescent="0.2">
      <c r="B84" s="284"/>
    </row>
    <row r="85" spans="2:2" ht="15.75" customHeight="1" x14ac:dyDescent="0.2">
      <c r="B85" s="284"/>
    </row>
    <row r="86" spans="2:2" ht="15.75" customHeight="1" x14ac:dyDescent="0.2">
      <c r="B86" s="284"/>
    </row>
    <row r="87" spans="2:2" ht="15.75" customHeight="1" x14ac:dyDescent="0.2">
      <c r="B87" s="284"/>
    </row>
    <row r="88" spans="2:2" ht="15.75" customHeight="1" x14ac:dyDescent="0.2">
      <c r="B88" s="284"/>
    </row>
    <row r="89" spans="2:2" ht="15.75" customHeight="1" x14ac:dyDescent="0.2">
      <c r="B89" s="284"/>
    </row>
    <row r="90" spans="2:2" ht="15.75" customHeight="1" x14ac:dyDescent="0.2">
      <c r="B90" s="284"/>
    </row>
    <row r="91" spans="2:2" ht="15.75" customHeight="1" x14ac:dyDescent="0.2">
      <c r="B91" s="284"/>
    </row>
    <row r="92" spans="2:2" ht="15.75" customHeight="1" x14ac:dyDescent="0.2">
      <c r="B92" s="284"/>
    </row>
    <row r="93" spans="2:2" ht="15.75" customHeight="1" x14ac:dyDescent="0.2">
      <c r="B93" s="284"/>
    </row>
    <row r="94" spans="2:2" ht="15.75" customHeight="1" x14ac:dyDescent="0.2">
      <c r="B94" s="284"/>
    </row>
    <row r="95" spans="2:2" ht="15.75" customHeight="1" x14ac:dyDescent="0.2">
      <c r="B95" s="284"/>
    </row>
    <row r="96" spans="2:2" ht="15.75" customHeight="1" x14ac:dyDescent="0.2">
      <c r="B96" s="284"/>
    </row>
    <row r="97" spans="2:2" ht="15.75" customHeight="1" x14ac:dyDescent="0.2">
      <c r="B97" s="284"/>
    </row>
    <row r="98" spans="2:2" ht="15.75" customHeight="1" x14ac:dyDescent="0.2">
      <c r="B98" s="284"/>
    </row>
    <row r="99" spans="2:2" ht="15.75" customHeight="1" x14ac:dyDescent="0.2">
      <c r="B99" s="284"/>
    </row>
    <row r="100" spans="2:2" ht="15.75" customHeight="1" x14ac:dyDescent="0.2">
      <c r="B100" s="284"/>
    </row>
    <row r="101" spans="2:2" ht="15.75" customHeight="1" x14ac:dyDescent="0.2">
      <c r="B101" s="284"/>
    </row>
    <row r="102" spans="2:2" ht="15.75" customHeight="1" x14ac:dyDescent="0.2">
      <c r="B102" s="284"/>
    </row>
    <row r="103" spans="2:2" ht="15.75" customHeight="1" x14ac:dyDescent="0.2">
      <c r="B103" s="284"/>
    </row>
    <row r="104" spans="2:2" ht="15.75" customHeight="1" x14ac:dyDescent="0.2">
      <c r="B104" s="284"/>
    </row>
    <row r="105" spans="2:2" ht="15.75" customHeight="1" x14ac:dyDescent="0.2">
      <c r="B105" s="284"/>
    </row>
    <row r="106" spans="2:2" ht="15.75" customHeight="1" x14ac:dyDescent="0.2">
      <c r="B106" s="284"/>
    </row>
    <row r="107" spans="2:2" ht="15.75" customHeight="1" x14ac:dyDescent="0.2">
      <c r="B107" s="284"/>
    </row>
    <row r="108" spans="2:2" ht="15.75" customHeight="1" x14ac:dyDescent="0.2">
      <c r="B108" s="284"/>
    </row>
    <row r="109" spans="2:2" ht="15.75" customHeight="1" x14ac:dyDescent="0.2">
      <c r="B109" s="284"/>
    </row>
    <row r="110" spans="2:2" ht="15.75" customHeight="1" x14ac:dyDescent="0.2">
      <c r="B110" s="284"/>
    </row>
    <row r="111" spans="2:2" ht="15.75" customHeight="1" x14ac:dyDescent="0.2">
      <c r="B111" s="284"/>
    </row>
    <row r="112" spans="2:2" ht="15.75" customHeight="1" x14ac:dyDescent="0.2">
      <c r="B112" s="284"/>
    </row>
    <row r="113" spans="2:2" ht="15.75" customHeight="1" x14ac:dyDescent="0.2">
      <c r="B113" s="284"/>
    </row>
    <row r="114" spans="2:2" ht="15.75" customHeight="1" x14ac:dyDescent="0.2">
      <c r="B114" s="284"/>
    </row>
    <row r="115" spans="2:2" ht="15.75" customHeight="1" x14ac:dyDescent="0.2">
      <c r="B115" s="284"/>
    </row>
    <row r="116" spans="2:2" ht="15.75" customHeight="1" x14ac:dyDescent="0.2">
      <c r="B116" s="284"/>
    </row>
    <row r="117" spans="2:2" ht="15.75" customHeight="1" x14ac:dyDescent="0.2">
      <c r="B117" s="284"/>
    </row>
    <row r="118" spans="2:2" ht="15.75" customHeight="1" x14ac:dyDescent="0.2">
      <c r="B118" s="284"/>
    </row>
    <row r="119" spans="2:2" ht="15.75" customHeight="1" x14ac:dyDescent="0.2">
      <c r="B119" s="284"/>
    </row>
    <row r="120" spans="2:2" ht="15.75" customHeight="1" x14ac:dyDescent="0.2">
      <c r="B120" s="284"/>
    </row>
    <row r="121" spans="2:2" ht="15.75" customHeight="1" x14ac:dyDescent="0.2">
      <c r="B121" s="284"/>
    </row>
    <row r="122" spans="2:2" ht="15.75" customHeight="1" x14ac:dyDescent="0.2">
      <c r="B122" s="284"/>
    </row>
    <row r="123" spans="2:2" ht="15.75" customHeight="1" x14ac:dyDescent="0.2">
      <c r="B123" s="284"/>
    </row>
    <row r="124" spans="2:2" ht="15.75" customHeight="1" x14ac:dyDescent="0.2">
      <c r="B124" s="284"/>
    </row>
    <row r="125" spans="2:2" ht="15.75" customHeight="1" x14ac:dyDescent="0.2">
      <c r="B125" s="284"/>
    </row>
    <row r="126" spans="2:2" ht="15.75" customHeight="1" x14ac:dyDescent="0.2">
      <c r="B126" s="284"/>
    </row>
    <row r="127" spans="2:2" ht="15.75" customHeight="1" x14ac:dyDescent="0.2">
      <c r="B127" s="284"/>
    </row>
    <row r="128" spans="2:2" ht="15.75" customHeight="1" x14ac:dyDescent="0.2">
      <c r="B128" s="284"/>
    </row>
    <row r="129" spans="2:2" ht="15.75" customHeight="1" x14ac:dyDescent="0.2">
      <c r="B129" s="284"/>
    </row>
    <row r="130" spans="2:2" ht="15.75" customHeight="1" x14ac:dyDescent="0.2">
      <c r="B130" s="284"/>
    </row>
    <row r="131" spans="2:2" ht="15.75" customHeight="1" x14ac:dyDescent="0.2">
      <c r="B131" s="284"/>
    </row>
    <row r="132" spans="2:2" ht="15.75" customHeight="1" x14ac:dyDescent="0.2">
      <c r="B132" s="284"/>
    </row>
    <row r="133" spans="2:2" ht="15.75" customHeight="1" x14ac:dyDescent="0.2">
      <c r="B133" s="284"/>
    </row>
    <row r="134" spans="2:2" ht="15.75" customHeight="1" x14ac:dyDescent="0.2">
      <c r="B134" s="284"/>
    </row>
    <row r="135" spans="2:2" ht="15.75" customHeight="1" x14ac:dyDescent="0.2">
      <c r="B135" s="284"/>
    </row>
    <row r="136" spans="2:2" ht="15.75" customHeight="1" x14ac:dyDescent="0.2">
      <c r="B136" s="284"/>
    </row>
    <row r="137" spans="2:2" ht="15.75" customHeight="1" x14ac:dyDescent="0.2">
      <c r="B137" s="284"/>
    </row>
    <row r="138" spans="2:2" ht="15.75" customHeight="1" x14ac:dyDescent="0.2">
      <c r="B138" s="284"/>
    </row>
    <row r="139" spans="2:2" ht="15.75" customHeight="1" x14ac:dyDescent="0.2">
      <c r="B139" s="284"/>
    </row>
    <row r="140" spans="2:2" ht="15.75" customHeight="1" x14ac:dyDescent="0.2">
      <c r="B140" s="284"/>
    </row>
    <row r="141" spans="2:2" ht="15.75" customHeight="1" x14ac:dyDescent="0.2">
      <c r="B141" s="284"/>
    </row>
    <row r="142" spans="2:2" ht="15.75" customHeight="1" x14ac:dyDescent="0.2">
      <c r="B142" s="284"/>
    </row>
    <row r="143" spans="2:2" ht="15.75" customHeight="1" x14ac:dyDescent="0.2">
      <c r="B143" s="284"/>
    </row>
    <row r="144" spans="2:2" ht="15.75" customHeight="1" x14ac:dyDescent="0.2">
      <c r="B144" s="284"/>
    </row>
    <row r="145" spans="2:2" ht="15.75" customHeight="1" x14ac:dyDescent="0.2">
      <c r="B145" s="284"/>
    </row>
    <row r="146" spans="2:2" ht="15.75" customHeight="1" x14ac:dyDescent="0.2">
      <c r="B146" s="284"/>
    </row>
    <row r="147" spans="2:2" ht="15.75" customHeight="1" x14ac:dyDescent="0.2">
      <c r="B147" s="284"/>
    </row>
    <row r="148" spans="2:2" ht="15.75" customHeight="1" x14ac:dyDescent="0.2">
      <c r="B148" s="284"/>
    </row>
    <row r="149" spans="2:2" ht="15.75" customHeight="1" x14ac:dyDescent="0.2">
      <c r="B149" s="284"/>
    </row>
    <row r="150" spans="2:2" ht="15.75" customHeight="1" x14ac:dyDescent="0.2">
      <c r="B150" s="284"/>
    </row>
    <row r="151" spans="2:2" ht="15.75" customHeight="1" x14ac:dyDescent="0.2">
      <c r="B151" s="284"/>
    </row>
    <row r="152" spans="2:2" ht="15.75" customHeight="1" x14ac:dyDescent="0.2">
      <c r="B152" s="284"/>
    </row>
    <row r="153" spans="2:2" ht="15.75" customHeight="1" x14ac:dyDescent="0.2">
      <c r="B153" s="284"/>
    </row>
    <row r="154" spans="2:2" ht="15.75" customHeight="1" x14ac:dyDescent="0.2">
      <c r="B154" s="284"/>
    </row>
    <row r="155" spans="2:2" ht="15.75" customHeight="1" x14ac:dyDescent="0.2">
      <c r="B155" s="284"/>
    </row>
    <row r="156" spans="2:2" ht="15.75" customHeight="1" x14ac:dyDescent="0.2">
      <c r="B156" s="284"/>
    </row>
    <row r="157" spans="2:2" ht="15.75" customHeight="1" x14ac:dyDescent="0.2">
      <c r="B157" s="284"/>
    </row>
    <row r="158" spans="2:2" ht="15.75" customHeight="1" x14ac:dyDescent="0.2">
      <c r="B158" s="284"/>
    </row>
    <row r="159" spans="2:2" ht="15.75" customHeight="1" x14ac:dyDescent="0.2">
      <c r="B159" s="284"/>
    </row>
    <row r="160" spans="2:2" ht="15.75" customHeight="1" x14ac:dyDescent="0.2">
      <c r="B160" s="284"/>
    </row>
    <row r="161" spans="2:2" ht="15.75" customHeight="1" x14ac:dyDescent="0.2">
      <c r="B161" s="284"/>
    </row>
    <row r="162" spans="2:2" ht="15.75" customHeight="1" x14ac:dyDescent="0.2">
      <c r="B162" s="284"/>
    </row>
    <row r="163" spans="2:2" ht="15.75" customHeight="1" x14ac:dyDescent="0.2">
      <c r="B163" s="284"/>
    </row>
    <row r="164" spans="2:2" ht="15.75" customHeight="1" x14ac:dyDescent="0.2">
      <c r="B164" s="284"/>
    </row>
    <row r="165" spans="2:2" ht="15.75" customHeight="1" x14ac:dyDescent="0.2">
      <c r="B165" s="284"/>
    </row>
    <row r="166" spans="2:2" ht="15.75" customHeight="1" x14ac:dyDescent="0.2">
      <c r="B166" s="284"/>
    </row>
    <row r="167" spans="2:2" ht="15.75" customHeight="1" x14ac:dyDescent="0.2">
      <c r="B167" s="284"/>
    </row>
    <row r="168" spans="2:2" ht="15.75" customHeight="1" x14ac:dyDescent="0.2">
      <c r="B168" s="284"/>
    </row>
    <row r="169" spans="2:2" ht="15.75" customHeight="1" x14ac:dyDescent="0.2">
      <c r="B169" s="284"/>
    </row>
    <row r="170" spans="2:2" ht="15.75" customHeight="1" x14ac:dyDescent="0.2">
      <c r="B170" s="284"/>
    </row>
    <row r="171" spans="2:2" ht="15.75" customHeight="1" x14ac:dyDescent="0.2">
      <c r="B171" s="284"/>
    </row>
    <row r="172" spans="2:2" ht="15.75" customHeight="1" x14ac:dyDescent="0.2">
      <c r="B172" s="284"/>
    </row>
    <row r="173" spans="2:2" ht="15.75" customHeight="1" x14ac:dyDescent="0.2">
      <c r="B173" s="284"/>
    </row>
    <row r="174" spans="2:2" ht="15.75" customHeight="1" x14ac:dyDescent="0.2">
      <c r="B174" s="284"/>
    </row>
    <row r="175" spans="2:2" ht="15.75" customHeight="1" x14ac:dyDescent="0.2">
      <c r="B175" s="284"/>
    </row>
    <row r="176" spans="2:2" ht="15.75" customHeight="1" x14ac:dyDescent="0.2">
      <c r="B176" s="284"/>
    </row>
    <row r="177" spans="2:2" ht="15.75" customHeight="1" x14ac:dyDescent="0.2">
      <c r="B177" s="284"/>
    </row>
    <row r="178" spans="2:2" ht="15.75" customHeight="1" x14ac:dyDescent="0.2">
      <c r="B178" s="284"/>
    </row>
    <row r="179" spans="2:2" ht="15.75" customHeight="1" x14ac:dyDescent="0.2">
      <c r="B179" s="284"/>
    </row>
    <row r="180" spans="2:2" ht="15.75" customHeight="1" x14ac:dyDescent="0.2">
      <c r="B180" s="284"/>
    </row>
    <row r="181" spans="2:2" ht="15.75" customHeight="1" x14ac:dyDescent="0.2">
      <c r="B181" s="284"/>
    </row>
    <row r="182" spans="2:2" ht="15.75" customHeight="1" x14ac:dyDescent="0.2">
      <c r="B182" s="284"/>
    </row>
    <row r="183" spans="2:2" ht="15.75" customHeight="1" x14ac:dyDescent="0.2">
      <c r="B183" s="284"/>
    </row>
    <row r="184" spans="2:2" ht="15.75" customHeight="1" x14ac:dyDescent="0.2">
      <c r="B184" s="284"/>
    </row>
    <row r="185" spans="2:2" ht="15.75" customHeight="1" x14ac:dyDescent="0.2">
      <c r="B185" s="284"/>
    </row>
    <row r="186" spans="2:2" ht="15.75" customHeight="1" x14ac:dyDescent="0.2">
      <c r="B186" s="284"/>
    </row>
    <row r="187" spans="2:2" ht="15.75" customHeight="1" x14ac:dyDescent="0.2">
      <c r="B187" s="284"/>
    </row>
    <row r="188" spans="2:2" ht="15.75" customHeight="1" x14ac:dyDescent="0.2">
      <c r="B188" s="284"/>
    </row>
    <row r="189" spans="2:2" ht="15.75" customHeight="1" x14ac:dyDescent="0.2">
      <c r="B189" s="284"/>
    </row>
    <row r="190" spans="2:2" ht="15.75" customHeight="1" x14ac:dyDescent="0.2">
      <c r="B190" s="284"/>
    </row>
    <row r="191" spans="2:2" ht="15.75" customHeight="1" x14ac:dyDescent="0.2">
      <c r="B191" s="284"/>
    </row>
    <row r="192" spans="2:2" ht="15.75" customHeight="1" x14ac:dyDescent="0.2">
      <c r="B192" s="284"/>
    </row>
    <row r="193" spans="2:2" ht="15.75" customHeight="1" x14ac:dyDescent="0.2">
      <c r="B193" s="284"/>
    </row>
    <row r="194" spans="2:2" ht="15.75" customHeight="1" x14ac:dyDescent="0.2">
      <c r="B194" s="284"/>
    </row>
    <row r="195" spans="2:2" ht="15.75" customHeight="1" x14ac:dyDescent="0.2">
      <c r="B195" s="284"/>
    </row>
    <row r="196" spans="2:2" ht="15.75" customHeight="1" x14ac:dyDescent="0.2">
      <c r="B196" s="284"/>
    </row>
    <row r="197" spans="2:2" ht="15.75" customHeight="1" x14ac:dyDescent="0.2">
      <c r="B197" s="284"/>
    </row>
    <row r="198" spans="2:2" ht="15.75" customHeight="1" x14ac:dyDescent="0.2">
      <c r="B198" s="284"/>
    </row>
    <row r="199" spans="2:2" ht="15.75" customHeight="1" x14ac:dyDescent="0.2">
      <c r="B199" s="284"/>
    </row>
    <row r="200" spans="2:2" ht="15.75" customHeight="1" x14ac:dyDescent="0.2">
      <c r="B200" s="284"/>
    </row>
    <row r="201" spans="2:2" ht="15.75" customHeight="1" x14ac:dyDescent="0.2">
      <c r="B201" s="284"/>
    </row>
    <row r="202" spans="2:2" ht="15.75" customHeight="1" x14ac:dyDescent="0.2">
      <c r="B202" s="284"/>
    </row>
    <row r="203" spans="2:2" ht="15.75" customHeight="1" x14ac:dyDescent="0.2">
      <c r="B203" s="284"/>
    </row>
    <row r="204" spans="2:2" ht="15.75" customHeight="1" x14ac:dyDescent="0.2">
      <c r="B204" s="284"/>
    </row>
    <row r="205" spans="2:2" ht="15.75" customHeight="1" x14ac:dyDescent="0.2">
      <c r="B205" s="284"/>
    </row>
    <row r="206" spans="2:2" ht="15.75" customHeight="1" x14ac:dyDescent="0.2">
      <c r="B206" s="284"/>
    </row>
    <row r="207" spans="2:2" ht="15.75" customHeight="1" x14ac:dyDescent="0.2">
      <c r="B207" s="284"/>
    </row>
    <row r="208" spans="2:2" ht="15.75" customHeight="1" x14ac:dyDescent="0.2">
      <c r="B208" s="284"/>
    </row>
    <row r="209" spans="2:2" ht="15.75" customHeight="1" x14ac:dyDescent="0.2">
      <c r="B209" s="284"/>
    </row>
    <row r="210" spans="2:2" ht="15.75" customHeight="1" x14ac:dyDescent="0.2">
      <c r="B210" s="284"/>
    </row>
    <row r="211" spans="2:2" ht="15.75" customHeight="1" x14ac:dyDescent="0.2">
      <c r="B211" s="284"/>
    </row>
    <row r="212" spans="2:2" ht="15.75" customHeight="1" x14ac:dyDescent="0.2">
      <c r="B212" s="284"/>
    </row>
    <row r="213" spans="2:2" ht="15.75" customHeight="1" x14ac:dyDescent="0.2">
      <c r="B213" s="284"/>
    </row>
    <row r="214" spans="2:2" ht="15.75" customHeight="1" x14ac:dyDescent="0.2">
      <c r="B214" s="284"/>
    </row>
    <row r="215" spans="2:2" ht="15.75" customHeight="1" x14ac:dyDescent="0.2">
      <c r="B215" s="284"/>
    </row>
    <row r="216" spans="2:2" ht="15.75" customHeight="1" x14ac:dyDescent="0.2">
      <c r="B216" s="284"/>
    </row>
    <row r="217" spans="2:2" ht="15.75" customHeight="1" x14ac:dyDescent="0.2">
      <c r="B217" s="284"/>
    </row>
    <row r="218" spans="2:2" ht="15.75" customHeight="1" x14ac:dyDescent="0.2">
      <c r="B218" s="284"/>
    </row>
    <row r="219" spans="2:2" ht="15.75" customHeight="1" x14ac:dyDescent="0.2">
      <c r="B219" s="284"/>
    </row>
    <row r="220" spans="2:2" ht="15.75" customHeight="1" x14ac:dyDescent="0.2">
      <c r="B220" s="284"/>
    </row>
    <row r="221" spans="2:2" ht="15.75" customHeight="1" x14ac:dyDescent="0.2">
      <c r="B221" s="284"/>
    </row>
    <row r="222" spans="2:2" ht="15.75" customHeight="1" x14ac:dyDescent="0.2">
      <c r="B222" s="284"/>
    </row>
    <row r="223" spans="2:2" ht="15.75" customHeight="1" x14ac:dyDescent="0.2">
      <c r="B223" s="284"/>
    </row>
    <row r="224" spans="2:2" ht="15.75" customHeight="1" x14ac:dyDescent="0.2">
      <c r="B224" s="284"/>
    </row>
    <row r="225" spans="2:2" ht="15.75" customHeight="1" x14ac:dyDescent="0.2">
      <c r="B225" s="284"/>
    </row>
    <row r="226" spans="2:2" ht="15.75" customHeight="1" x14ac:dyDescent="0.2">
      <c r="B226" s="284"/>
    </row>
    <row r="227" spans="2:2" ht="15.75" customHeight="1" x14ac:dyDescent="0.2">
      <c r="B227" s="284"/>
    </row>
    <row r="228" spans="2:2" ht="15.75" customHeight="1" x14ac:dyDescent="0.2">
      <c r="B228" s="284"/>
    </row>
    <row r="229" spans="2:2" ht="15.75" customHeight="1" x14ac:dyDescent="0.2">
      <c r="B229" s="284"/>
    </row>
    <row r="230" spans="2:2" ht="15.75" customHeight="1" x14ac:dyDescent="0.2">
      <c r="B230" s="284"/>
    </row>
    <row r="231" spans="2:2" ht="15.75" customHeight="1" x14ac:dyDescent="0.2">
      <c r="B231" s="284"/>
    </row>
    <row r="232" spans="2:2" ht="15.75" customHeight="1" x14ac:dyDescent="0.2">
      <c r="B232" s="284"/>
    </row>
    <row r="233" spans="2:2" ht="15.75" customHeight="1" x14ac:dyDescent="0.2">
      <c r="B233" s="284"/>
    </row>
    <row r="234" spans="2:2" ht="15.75" customHeight="1" x14ac:dyDescent="0.2">
      <c r="B234" s="284"/>
    </row>
    <row r="235" spans="2:2" ht="15.75" customHeight="1" x14ac:dyDescent="0.2">
      <c r="B235" s="284"/>
    </row>
    <row r="236" spans="2:2" ht="15.75" customHeight="1" x14ac:dyDescent="0.2">
      <c r="B236" s="284"/>
    </row>
    <row r="237" spans="2:2" ht="15.75" customHeight="1" x14ac:dyDescent="0.2">
      <c r="B237" s="284"/>
    </row>
    <row r="238" spans="2:2" ht="15.75" customHeight="1" x14ac:dyDescent="0.2">
      <c r="B238" s="284"/>
    </row>
    <row r="239" spans="2:2" ht="15.75" customHeight="1" x14ac:dyDescent="0.2">
      <c r="B239" s="284"/>
    </row>
    <row r="240" spans="2:2" ht="15.75" customHeight="1" x14ac:dyDescent="0.2">
      <c r="B240" s="284"/>
    </row>
    <row r="241" spans="2:2" ht="15.75" customHeight="1" x14ac:dyDescent="0.2">
      <c r="B241" s="284"/>
    </row>
    <row r="242" spans="2:2" ht="15.75" customHeight="1" x14ac:dyDescent="0.2">
      <c r="B242" s="284"/>
    </row>
    <row r="243" spans="2:2" ht="15.75" customHeight="1" x14ac:dyDescent="0.2">
      <c r="B243" s="284"/>
    </row>
    <row r="244" spans="2:2" ht="15.75" customHeight="1" x14ac:dyDescent="0.2">
      <c r="B244" s="284"/>
    </row>
    <row r="245" spans="2:2" ht="15.75" customHeight="1" x14ac:dyDescent="0.2">
      <c r="B245" s="284"/>
    </row>
    <row r="246" spans="2:2" ht="15.75" customHeight="1" x14ac:dyDescent="0.2">
      <c r="B246" s="284"/>
    </row>
    <row r="247" spans="2:2" ht="15.75" customHeight="1" x14ac:dyDescent="0.2">
      <c r="B247" s="284"/>
    </row>
    <row r="248" spans="2:2" ht="15.75" customHeight="1" x14ac:dyDescent="0.2">
      <c r="B248" s="284"/>
    </row>
    <row r="249" spans="2:2" ht="15.75" customHeight="1" x14ac:dyDescent="0.2">
      <c r="B249" s="284"/>
    </row>
    <row r="250" spans="2:2" ht="15.75" customHeight="1" x14ac:dyDescent="0.2">
      <c r="B250" s="284"/>
    </row>
    <row r="251" spans="2:2" ht="15.75" customHeight="1" x14ac:dyDescent="0.2">
      <c r="B251" s="284"/>
    </row>
    <row r="252" spans="2:2" ht="15.75" customHeight="1" x14ac:dyDescent="0.2">
      <c r="B252" s="284"/>
    </row>
    <row r="253" spans="2:2" ht="15.75" customHeight="1" x14ac:dyDescent="0.2">
      <c r="B253" s="284"/>
    </row>
    <row r="254" spans="2:2" ht="15.75" customHeight="1" x14ac:dyDescent="0.2">
      <c r="B254" s="284"/>
    </row>
    <row r="255" spans="2:2" ht="15.75" customHeight="1" x14ac:dyDescent="0.2">
      <c r="B255" s="284"/>
    </row>
    <row r="256" spans="2:2" ht="15.75" customHeight="1" x14ac:dyDescent="0.2">
      <c r="B256" s="284"/>
    </row>
    <row r="257" spans="2:2" ht="15.75" customHeight="1" x14ac:dyDescent="0.2">
      <c r="B257" s="284"/>
    </row>
    <row r="258" spans="2:2" ht="15.75" customHeight="1" x14ac:dyDescent="0.2">
      <c r="B258" s="284"/>
    </row>
    <row r="259" spans="2:2" ht="15.75" customHeight="1" x14ac:dyDescent="0.2">
      <c r="B259" s="284"/>
    </row>
    <row r="260" spans="2:2" ht="15.75" customHeight="1" x14ac:dyDescent="0.2">
      <c r="B260" s="284"/>
    </row>
    <row r="261" spans="2:2" ht="15.75" customHeight="1" x14ac:dyDescent="0.2">
      <c r="B261" s="284"/>
    </row>
    <row r="262" spans="2:2" ht="15.75" customHeight="1" x14ac:dyDescent="0.2">
      <c r="B262" s="284"/>
    </row>
    <row r="263" spans="2:2" ht="15.75" customHeight="1" x14ac:dyDescent="0.2">
      <c r="B263" s="284"/>
    </row>
    <row r="264" spans="2:2" ht="15.75" customHeight="1" x14ac:dyDescent="0.2">
      <c r="B264" s="284"/>
    </row>
    <row r="265" spans="2:2" ht="15.75" customHeight="1" x14ac:dyDescent="0.2">
      <c r="B265" s="284"/>
    </row>
    <row r="266" spans="2:2" ht="15.75" customHeight="1" x14ac:dyDescent="0.2">
      <c r="B266" s="284"/>
    </row>
    <row r="267" spans="2:2" ht="15.75" customHeight="1" x14ac:dyDescent="0.2">
      <c r="B267" s="284"/>
    </row>
    <row r="268" spans="2:2" ht="15.75" customHeight="1" x14ac:dyDescent="0.2">
      <c r="B268" s="284"/>
    </row>
    <row r="269" spans="2:2" ht="15.75" customHeight="1" x14ac:dyDescent="0.2">
      <c r="B269" s="284"/>
    </row>
    <row r="270" spans="2:2" ht="15.75" customHeight="1" x14ac:dyDescent="0.2">
      <c r="B270" s="284"/>
    </row>
    <row r="271" spans="2:2" ht="15.75" customHeight="1" x14ac:dyDescent="0.2">
      <c r="B271" s="284"/>
    </row>
    <row r="272" spans="2:2" ht="15.75" customHeight="1" x14ac:dyDescent="0.2">
      <c r="B272" s="284"/>
    </row>
    <row r="273" spans="2:2" ht="15.75" customHeight="1" x14ac:dyDescent="0.2">
      <c r="B273" s="284"/>
    </row>
    <row r="274" spans="2:2" ht="15.75" customHeight="1" x14ac:dyDescent="0.2">
      <c r="B274" s="284"/>
    </row>
    <row r="275" spans="2:2" ht="15.75" customHeight="1" x14ac:dyDescent="0.2">
      <c r="B275" s="284"/>
    </row>
    <row r="276" spans="2:2" ht="15.75" customHeight="1" x14ac:dyDescent="0.2">
      <c r="B276" s="284"/>
    </row>
    <row r="277" spans="2:2" ht="15.75" customHeight="1" x14ac:dyDescent="0.2">
      <c r="B277" s="284"/>
    </row>
    <row r="278" spans="2:2" ht="15.75" customHeight="1" x14ac:dyDescent="0.2">
      <c r="B278" s="284"/>
    </row>
    <row r="279" spans="2:2" ht="15.75" customHeight="1" x14ac:dyDescent="0.2">
      <c r="B279" s="284"/>
    </row>
    <row r="280" spans="2:2" ht="15.75" customHeight="1" x14ac:dyDescent="0.2">
      <c r="B280" s="284"/>
    </row>
    <row r="281" spans="2:2" ht="15.75" customHeight="1" x14ac:dyDescent="0.2">
      <c r="B281" s="284"/>
    </row>
    <row r="282" spans="2:2" ht="15.75" customHeight="1" x14ac:dyDescent="0.2">
      <c r="B282" s="284"/>
    </row>
    <row r="283" spans="2:2" ht="15.75" customHeight="1" x14ac:dyDescent="0.2">
      <c r="B283" s="284"/>
    </row>
    <row r="284" spans="2:2" ht="15.75" customHeight="1" x14ac:dyDescent="0.2">
      <c r="B284" s="284"/>
    </row>
    <row r="285" spans="2:2" ht="15.75" customHeight="1" x14ac:dyDescent="0.2">
      <c r="B285" s="284"/>
    </row>
    <row r="286" spans="2:2" ht="15.75" customHeight="1" x14ac:dyDescent="0.2">
      <c r="B286" s="284"/>
    </row>
    <row r="287" spans="2:2" ht="15.75" customHeight="1" x14ac:dyDescent="0.2">
      <c r="B287" s="284"/>
    </row>
    <row r="288" spans="2:2" ht="15.75" customHeight="1" x14ac:dyDescent="0.2">
      <c r="B288" s="284"/>
    </row>
    <row r="289" spans="2:2" ht="15.75" customHeight="1" x14ac:dyDescent="0.2">
      <c r="B289" s="284"/>
    </row>
    <row r="290" spans="2:2" ht="15.75" customHeight="1" x14ac:dyDescent="0.2">
      <c r="B290" s="284"/>
    </row>
    <row r="291" spans="2:2" ht="15.75" customHeight="1" x14ac:dyDescent="0.2">
      <c r="B291" s="284"/>
    </row>
    <row r="292" spans="2:2" ht="15.75" customHeight="1" x14ac:dyDescent="0.2">
      <c r="B292" s="284"/>
    </row>
    <row r="293" spans="2:2" ht="15.75" customHeight="1" x14ac:dyDescent="0.2">
      <c r="B293" s="284"/>
    </row>
    <row r="294" spans="2:2" ht="15.75" customHeight="1" x14ac:dyDescent="0.2">
      <c r="B294" s="284"/>
    </row>
    <row r="295" spans="2:2" ht="15.75" customHeight="1" x14ac:dyDescent="0.2">
      <c r="B295" s="284"/>
    </row>
    <row r="296" spans="2:2" ht="15.75" customHeight="1" x14ac:dyDescent="0.2">
      <c r="B296" s="284"/>
    </row>
    <row r="297" spans="2:2" ht="15.75" customHeight="1" x14ac:dyDescent="0.2">
      <c r="B297" s="284"/>
    </row>
    <row r="298" spans="2:2" ht="15.75" customHeight="1" x14ac:dyDescent="0.2">
      <c r="B298" s="284"/>
    </row>
    <row r="299" spans="2:2" ht="15.75" customHeight="1" x14ac:dyDescent="0.2">
      <c r="B299" s="284"/>
    </row>
    <row r="300" spans="2:2" ht="15.75" customHeight="1" x14ac:dyDescent="0.2">
      <c r="B300" s="284"/>
    </row>
    <row r="301" spans="2:2" ht="15.75" customHeight="1" x14ac:dyDescent="0.2">
      <c r="B301" s="284"/>
    </row>
    <row r="302" spans="2:2" ht="15.75" customHeight="1" x14ac:dyDescent="0.2">
      <c r="B302" s="284"/>
    </row>
    <row r="303" spans="2:2" ht="15.75" customHeight="1" x14ac:dyDescent="0.2">
      <c r="B303" s="284"/>
    </row>
    <row r="304" spans="2:2" ht="15.75" customHeight="1" x14ac:dyDescent="0.2">
      <c r="B304" s="284"/>
    </row>
    <row r="305" spans="2:2" ht="15.75" customHeight="1" x14ac:dyDescent="0.2">
      <c r="B305" s="284"/>
    </row>
    <row r="306" spans="2:2" ht="15.75" customHeight="1" x14ac:dyDescent="0.2">
      <c r="B306" s="284"/>
    </row>
    <row r="307" spans="2:2" ht="15.75" customHeight="1" x14ac:dyDescent="0.2">
      <c r="B307" s="284"/>
    </row>
    <row r="308" spans="2:2" ht="15.75" customHeight="1" x14ac:dyDescent="0.2">
      <c r="B308" s="284"/>
    </row>
    <row r="309" spans="2:2" ht="15.75" customHeight="1" x14ac:dyDescent="0.2">
      <c r="B309" s="284"/>
    </row>
    <row r="310" spans="2:2" ht="15.75" customHeight="1" x14ac:dyDescent="0.2">
      <c r="B310" s="284"/>
    </row>
    <row r="311" spans="2:2" ht="15.75" customHeight="1" x14ac:dyDescent="0.2">
      <c r="B311" s="284"/>
    </row>
    <row r="312" spans="2:2" ht="15.75" customHeight="1" x14ac:dyDescent="0.2">
      <c r="B312" s="284"/>
    </row>
    <row r="313" spans="2:2" ht="15.75" customHeight="1" x14ac:dyDescent="0.2">
      <c r="B313" s="284"/>
    </row>
    <row r="314" spans="2:2" ht="15.75" customHeight="1" x14ac:dyDescent="0.2">
      <c r="B314" s="284"/>
    </row>
    <row r="315" spans="2:2" ht="15.75" customHeight="1" x14ac:dyDescent="0.2">
      <c r="B315" s="284"/>
    </row>
    <row r="316" spans="2:2" ht="15.75" customHeight="1" x14ac:dyDescent="0.2">
      <c r="B316" s="284"/>
    </row>
    <row r="317" spans="2:2" ht="15.75" customHeight="1" x14ac:dyDescent="0.2">
      <c r="B317" s="284"/>
    </row>
    <row r="318" spans="2:2" ht="15.75" customHeight="1" x14ac:dyDescent="0.2">
      <c r="B318" s="284"/>
    </row>
    <row r="319" spans="2:2" ht="15.75" customHeight="1" x14ac:dyDescent="0.2">
      <c r="B319" s="284"/>
    </row>
    <row r="320" spans="2:2" ht="15.75" customHeight="1" x14ac:dyDescent="0.2">
      <c r="B320" s="284"/>
    </row>
    <row r="321" spans="2:2" ht="15.75" customHeight="1" x14ac:dyDescent="0.2">
      <c r="B321" s="284"/>
    </row>
    <row r="322" spans="2:2" ht="15.75" customHeight="1" x14ac:dyDescent="0.2">
      <c r="B322" s="284"/>
    </row>
    <row r="323" spans="2:2" ht="15.75" customHeight="1" x14ac:dyDescent="0.2">
      <c r="B323" s="284"/>
    </row>
    <row r="324" spans="2:2" ht="15.75" customHeight="1" x14ac:dyDescent="0.2">
      <c r="B324" s="284"/>
    </row>
    <row r="325" spans="2:2" ht="15.75" customHeight="1" x14ac:dyDescent="0.2">
      <c r="B325" s="284"/>
    </row>
    <row r="326" spans="2:2" ht="15.75" customHeight="1" x14ac:dyDescent="0.2">
      <c r="B326" s="284"/>
    </row>
    <row r="327" spans="2:2" ht="15.75" customHeight="1" x14ac:dyDescent="0.2">
      <c r="B327" s="284"/>
    </row>
    <row r="328" spans="2:2" ht="15.75" customHeight="1" x14ac:dyDescent="0.2">
      <c r="B328" s="284"/>
    </row>
    <row r="329" spans="2:2" ht="15.75" customHeight="1" x14ac:dyDescent="0.2">
      <c r="B329" s="284"/>
    </row>
    <row r="330" spans="2:2" ht="15.75" customHeight="1" x14ac:dyDescent="0.2">
      <c r="B330" s="284"/>
    </row>
    <row r="331" spans="2:2" ht="15.75" customHeight="1" x14ac:dyDescent="0.2">
      <c r="B331" s="284"/>
    </row>
    <row r="332" spans="2:2" ht="15.75" customHeight="1" x14ac:dyDescent="0.2">
      <c r="B332" s="284"/>
    </row>
    <row r="333" spans="2:2" ht="15.75" customHeight="1" x14ac:dyDescent="0.2">
      <c r="B333" s="284"/>
    </row>
    <row r="334" spans="2:2" ht="15.75" customHeight="1" x14ac:dyDescent="0.2">
      <c r="B334" s="284"/>
    </row>
    <row r="335" spans="2:2" ht="15.75" customHeight="1" x14ac:dyDescent="0.2">
      <c r="B335" s="284"/>
    </row>
    <row r="336" spans="2:2" ht="15.75" customHeight="1" x14ac:dyDescent="0.2">
      <c r="B336" s="284"/>
    </row>
    <row r="337" spans="2:2" ht="15.75" customHeight="1" x14ac:dyDescent="0.2">
      <c r="B337" s="284"/>
    </row>
    <row r="338" spans="2:2" ht="15.75" customHeight="1" x14ac:dyDescent="0.2">
      <c r="B338" s="284"/>
    </row>
    <row r="339" spans="2:2" ht="15.75" customHeight="1" x14ac:dyDescent="0.2">
      <c r="B339" s="284"/>
    </row>
    <row r="340" spans="2:2" ht="15.75" customHeight="1" x14ac:dyDescent="0.2">
      <c r="B340" s="284"/>
    </row>
    <row r="341" spans="2:2" ht="15.75" customHeight="1" x14ac:dyDescent="0.2">
      <c r="B341" s="284"/>
    </row>
    <row r="342" spans="2:2" ht="15.75" customHeight="1" x14ac:dyDescent="0.2">
      <c r="B342" s="284"/>
    </row>
    <row r="343" spans="2:2" ht="15.75" customHeight="1" x14ac:dyDescent="0.2">
      <c r="B343" s="284"/>
    </row>
    <row r="344" spans="2:2" ht="15.75" customHeight="1" x14ac:dyDescent="0.2">
      <c r="B344" s="284"/>
    </row>
    <row r="345" spans="2:2" ht="15.75" customHeight="1" x14ac:dyDescent="0.2">
      <c r="B345" s="284"/>
    </row>
    <row r="346" spans="2:2" ht="15.75" customHeight="1" x14ac:dyDescent="0.2">
      <c r="B346" s="284"/>
    </row>
    <row r="347" spans="2:2" ht="15.75" customHeight="1" x14ac:dyDescent="0.2">
      <c r="B347" s="284"/>
    </row>
    <row r="348" spans="2:2" ht="15.75" customHeight="1" x14ac:dyDescent="0.2">
      <c r="B348" s="284"/>
    </row>
    <row r="349" spans="2:2" ht="15.75" customHeight="1" x14ac:dyDescent="0.2">
      <c r="B349" s="284"/>
    </row>
    <row r="350" spans="2:2" ht="15.75" customHeight="1" x14ac:dyDescent="0.2">
      <c r="B350" s="284"/>
    </row>
    <row r="351" spans="2:2" ht="15.75" customHeight="1" x14ac:dyDescent="0.2">
      <c r="B351" s="284"/>
    </row>
    <row r="352" spans="2:2" ht="15.75" customHeight="1" x14ac:dyDescent="0.2">
      <c r="B352" s="284"/>
    </row>
    <row r="353" spans="2:2" ht="15.75" customHeight="1" x14ac:dyDescent="0.2">
      <c r="B353" s="284"/>
    </row>
    <row r="354" spans="2:2" ht="15.75" customHeight="1" x14ac:dyDescent="0.2">
      <c r="B354" s="284"/>
    </row>
    <row r="355" spans="2:2" ht="15.75" customHeight="1" x14ac:dyDescent="0.2">
      <c r="B355" s="284"/>
    </row>
    <row r="356" spans="2:2" ht="15.75" customHeight="1" x14ac:dyDescent="0.2">
      <c r="B356" s="284"/>
    </row>
    <row r="357" spans="2:2" ht="15.75" customHeight="1" x14ac:dyDescent="0.2">
      <c r="B357" s="284"/>
    </row>
    <row r="358" spans="2:2" ht="15.75" customHeight="1" x14ac:dyDescent="0.2">
      <c r="B358" s="284"/>
    </row>
    <row r="359" spans="2:2" ht="15.75" customHeight="1" x14ac:dyDescent="0.2">
      <c r="B359" s="284"/>
    </row>
    <row r="360" spans="2:2" ht="15.75" customHeight="1" x14ac:dyDescent="0.2">
      <c r="B360" s="284"/>
    </row>
    <row r="361" spans="2:2" ht="15.75" customHeight="1" x14ac:dyDescent="0.2">
      <c r="B361" s="284"/>
    </row>
    <row r="362" spans="2:2" ht="15.75" customHeight="1" x14ac:dyDescent="0.2">
      <c r="B362" s="284"/>
    </row>
    <row r="363" spans="2:2" ht="15.75" customHeight="1" x14ac:dyDescent="0.2">
      <c r="B363" s="284"/>
    </row>
    <row r="364" spans="2:2" ht="15.75" customHeight="1" x14ac:dyDescent="0.2">
      <c r="B364" s="284"/>
    </row>
    <row r="365" spans="2:2" ht="15.75" customHeight="1" x14ac:dyDescent="0.2">
      <c r="B365" s="284"/>
    </row>
    <row r="366" spans="2:2" ht="15.75" customHeight="1" x14ac:dyDescent="0.2">
      <c r="B366" s="284"/>
    </row>
    <row r="367" spans="2:2" ht="15.75" customHeight="1" x14ac:dyDescent="0.2">
      <c r="B367" s="284"/>
    </row>
    <row r="368" spans="2:2" ht="15.75" customHeight="1" x14ac:dyDescent="0.2">
      <c r="B368" s="284"/>
    </row>
    <row r="369" spans="2:2" ht="15.75" customHeight="1" x14ac:dyDescent="0.2">
      <c r="B369" s="284"/>
    </row>
    <row r="370" spans="2:2" ht="15.75" customHeight="1" x14ac:dyDescent="0.2">
      <c r="B370" s="284"/>
    </row>
    <row r="371" spans="2:2" ht="15.75" customHeight="1" x14ac:dyDescent="0.2">
      <c r="B371" s="284"/>
    </row>
    <row r="372" spans="2:2" ht="15.75" customHeight="1" x14ac:dyDescent="0.2">
      <c r="B372" s="284"/>
    </row>
    <row r="373" spans="2:2" ht="15.75" customHeight="1" x14ac:dyDescent="0.2">
      <c r="B373" s="284"/>
    </row>
    <row r="374" spans="2:2" ht="15.75" customHeight="1" x14ac:dyDescent="0.2">
      <c r="B374" s="284"/>
    </row>
    <row r="375" spans="2:2" ht="15.75" customHeight="1" x14ac:dyDescent="0.2">
      <c r="B375" s="284"/>
    </row>
    <row r="376" spans="2:2" ht="15.75" customHeight="1" x14ac:dyDescent="0.2">
      <c r="B376" s="284"/>
    </row>
    <row r="377" spans="2:2" ht="15.75" customHeight="1" x14ac:dyDescent="0.2">
      <c r="B377" s="284"/>
    </row>
    <row r="378" spans="2:2" ht="15.75" customHeight="1" x14ac:dyDescent="0.2">
      <c r="B378" s="284"/>
    </row>
    <row r="379" spans="2:2" ht="15.75" customHeight="1" x14ac:dyDescent="0.2">
      <c r="B379" s="284"/>
    </row>
    <row r="380" spans="2:2" ht="15.75" customHeight="1" x14ac:dyDescent="0.2">
      <c r="B380" s="284"/>
    </row>
    <row r="381" spans="2:2" ht="15.75" customHeight="1" x14ac:dyDescent="0.2">
      <c r="B381" s="284"/>
    </row>
    <row r="382" spans="2:2" ht="15.75" customHeight="1" x14ac:dyDescent="0.2">
      <c r="B382" s="284"/>
    </row>
    <row r="383" spans="2:2" ht="15.75" customHeight="1" x14ac:dyDescent="0.2">
      <c r="B383" s="284"/>
    </row>
    <row r="384" spans="2:2" ht="15.75" customHeight="1" x14ac:dyDescent="0.2">
      <c r="B384" s="284"/>
    </row>
    <row r="385" spans="2:2" ht="15.75" customHeight="1" x14ac:dyDescent="0.2">
      <c r="B385" s="284"/>
    </row>
    <row r="386" spans="2:2" ht="15.75" customHeight="1" x14ac:dyDescent="0.2">
      <c r="B386" s="284"/>
    </row>
    <row r="387" spans="2:2" ht="15.75" customHeight="1" x14ac:dyDescent="0.2">
      <c r="B387" s="284"/>
    </row>
    <row r="388" spans="2:2" ht="15.75" customHeight="1" x14ac:dyDescent="0.2">
      <c r="B388" s="284"/>
    </row>
    <row r="389" spans="2:2" ht="15.75" customHeight="1" x14ac:dyDescent="0.2">
      <c r="B389" s="284"/>
    </row>
    <row r="390" spans="2:2" ht="15.75" customHeight="1" x14ac:dyDescent="0.2">
      <c r="B390" s="284"/>
    </row>
    <row r="391" spans="2:2" ht="15.75" customHeight="1" x14ac:dyDescent="0.2">
      <c r="B391" s="284"/>
    </row>
    <row r="392" spans="2:2" ht="15.75" customHeight="1" x14ac:dyDescent="0.2">
      <c r="B392" s="284"/>
    </row>
    <row r="393" spans="2:2" ht="15.75" customHeight="1" x14ac:dyDescent="0.2">
      <c r="B393" s="284"/>
    </row>
    <row r="394" spans="2:2" ht="15.75" customHeight="1" x14ac:dyDescent="0.2">
      <c r="B394" s="284"/>
    </row>
    <row r="395" spans="2:2" ht="15.75" customHeight="1" x14ac:dyDescent="0.2">
      <c r="B395" s="284"/>
    </row>
    <row r="396" spans="2:2" ht="15.75" customHeight="1" x14ac:dyDescent="0.2">
      <c r="B396" s="284"/>
    </row>
    <row r="397" spans="2:2" ht="15.75" customHeight="1" x14ac:dyDescent="0.2">
      <c r="B397" s="284"/>
    </row>
    <row r="398" spans="2:2" ht="15.75" customHeight="1" x14ac:dyDescent="0.2">
      <c r="B398" s="284"/>
    </row>
    <row r="399" spans="2:2" ht="15.75" customHeight="1" x14ac:dyDescent="0.2">
      <c r="B399" s="284"/>
    </row>
    <row r="400" spans="2:2" ht="15.75" customHeight="1" x14ac:dyDescent="0.2">
      <c r="B400" s="284"/>
    </row>
    <row r="401" spans="2:2" ht="15.75" customHeight="1" x14ac:dyDescent="0.2">
      <c r="B401" s="284"/>
    </row>
    <row r="402" spans="2:2" ht="15.75" customHeight="1" x14ac:dyDescent="0.2">
      <c r="B402" s="284"/>
    </row>
    <row r="403" spans="2:2" ht="15.75" customHeight="1" x14ac:dyDescent="0.2">
      <c r="B403" s="284"/>
    </row>
    <row r="404" spans="2:2" ht="15.75" customHeight="1" x14ac:dyDescent="0.2">
      <c r="B404" s="284"/>
    </row>
    <row r="405" spans="2:2" ht="15.75" customHeight="1" x14ac:dyDescent="0.2">
      <c r="B405" s="284"/>
    </row>
    <row r="406" spans="2:2" ht="15.75" customHeight="1" x14ac:dyDescent="0.2">
      <c r="B406" s="284"/>
    </row>
    <row r="407" spans="2:2" ht="15.75" customHeight="1" x14ac:dyDescent="0.2">
      <c r="B407" s="284"/>
    </row>
    <row r="408" spans="2:2" ht="15.75" customHeight="1" x14ac:dyDescent="0.2">
      <c r="B408" s="284"/>
    </row>
    <row r="409" spans="2:2" ht="15.75" customHeight="1" x14ac:dyDescent="0.2">
      <c r="B409" s="284"/>
    </row>
    <row r="410" spans="2:2" ht="15.75" customHeight="1" x14ac:dyDescent="0.2">
      <c r="B410" s="284"/>
    </row>
    <row r="411" spans="2:2" ht="15.75" customHeight="1" x14ac:dyDescent="0.2">
      <c r="B411" s="284"/>
    </row>
    <row r="412" spans="2:2" ht="15.75" customHeight="1" x14ac:dyDescent="0.2">
      <c r="B412" s="284"/>
    </row>
    <row r="413" spans="2:2" ht="15.75" customHeight="1" x14ac:dyDescent="0.2">
      <c r="B413" s="284"/>
    </row>
    <row r="414" spans="2:2" ht="15.75" customHeight="1" x14ac:dyDescent="0.2">
      <c r="B414" s="284"/>
    </row>
    <row r="415" spans="2:2" ht="15.75" customHeight="1" x14ac:dyDescent="0.2">
      <c r="B415" s="284"/>
    </row>
    <row r="416" spans="2:2" ht="15.75" customHeight="1" x14ac:dyDescent="0.2">
      <c r="B416" s="284"/>
    </row>
    <row r="417" spans="2:2" ht="15.75" customHeight="1" x14ac:dyDescent="0.2">
      <c r="B417" s="284"/>
    </row>
    <row r="418" spans="2:2" ht="15.75" customHeight="1" x14ac:dyDescent="0.2">
      <c r="B418" s="284"/>
    </row>
    <row r="419" spans="2:2" ht="15.75" customHeight="1" x14ac:dyDescent="0.2">
      <c r="B419" s="284"/>
    </row>
    <row r="420" spans="2:2" ht="15.75" customHeight="1" x14ac:dyDescent="0.2">
      <c r="B420" s="284"/>
    </row>
    <row r="421" spans="2:2" ht="15.75" customHeight="1" x14ac:dyDescent="0.2">
      <c r="B421" s="284"/>
    </row>
    <row r="422" spans="2:2" ht="15.75" customHeight="1" x14ac:dyDescent="0.2">
      <c r="B422" s="284"/>
    </row>
    <row r="423" spans="2:2" ht="15.75" customHeight="1" x14ac:dyDescent="0.2">
      <c r="B423" s="284"/>
    </row>
    <row r="424" spans="2:2" ht="15.75" customHeight="1" x14ac:dyDescent="0.2">
      <c r="B424" s="284"/>
    </row>
    <row r="425" spans="2:2" ht="15.75" customHeight="1" x14ac:dyDescent="0.2">
      <c r="B425" s="284"/>
    </row>
    <row r="426" spans="2:2" ht="15.75" customHeight="1" x14ac:dyDescent="0.2">
      <c r="B426" s="284"/>
    </row>
    <row r="427" spans="2:2" ht="15.75" customHeight="1" x14ac:dyDescent="0.2">
      <c r="B427" s="284"/>
    </row>
    <row r="428" spans="2:2" ht="15.75" customHeight="1" x14ac:dyDescent="0.2">
      <c r="B428" s="284"/>
    </row>
    <row r="429" spans="2:2" ht="15.75" customHeight="1" x14ac:dyDescent="0.2">
      <c r="B429" s="284"/>
    </row>
    <row r="430" spans="2:2" ht="15.75" customHeight="1" x14ac:dyDescent="0.2">
      <c r="B430" s="284"/>
    </row>
    <row r="431" spans="2:2" ht="15.75" customHeight="1" x14ac:dyDescent="0.2">
      <c r="B431" s="284"/>
    </row>
    <row r="432" spans="2:2" ht="15.75" customHeight="1" x14ac:dyDescent="0.2">
      <c r="B432" s="284"/>
    </row>
    <row r="433" spans="2:2" ht="15.75" customHeight="1" x14ac:dyDescent="0.2">
      <c r="B433" s="284"/>
    </row>
    <row r="434" spans="2:2" ht="15.75" customHeight="1" x14ac:dyDescent="0.2">
      <c r="B434" s="284"/>
    </row>
    <row r="435" spans="2:2" ht="15.75" customHeight="1" x14ac:dyDescent="0.2">
      <c r="B435" s="284"/>
    </row>
    <row r="436" spans="2:2" ht="15.75" customHeight="1" x14ac:dyDescent="0.2">
      <c r="B436" s="284"/>
    </row>
    <row r="437" spans="2:2" ht="15.75" customHeight="1" x14ac:dyDescent="0.2">
      <c r="B437" s="284"/>
    </row>
    <row r="438" spans="2:2" ht="15.75" customHeight="1" x14ac:dyDescent="0.2">
      <c r="B438" s="284"/>
    </row>
    <row r="439" spans="2:2" ht="15.75" customHeight="1" x14ac:dyDescent="0.2">
      <c r="B439" s="284"/>
    </row>
    <row r="440" spans="2:2" ht="15.75" customHeight="1" x14ac:dyDescent="0.2">
      <c r="B440" s="284"/>
    </row>
    <row r="441" spans="2:2" ht="15.75" customHeight="1" x14ac:dyDescent="0.2">
      <c r="B441" s="284"/>
    </row>
    <row r="442" spans="2:2" ht="15.75" customHeight="1" x14ac:dyDescent="0.2">
      <c r="B442" s="284"/>
    </row>
    <row r="443" spans="2:2" ht="15.75" customHeight="1" x14ac:dyDescent="0.2">
      <c r="B443" s="284"/>
    </row>
    <row r="444" spans="2:2" ht="15.75" customHeight="1" x14ac:dyDescent="0.2">
      <c r="B444" s="284"/>
    </row>
    <row r="445" spans="2:2" ht="15.75" customHeight="1" x14ac:dyDescent="0.2">
      <c r="B445" s="284"/>
    </row>
    <row r="446" spans="2:2" ht="15.75" customHeight="1" x14ac:dyDescent="0.2">
      <c r="B446" s="284"/>
    </row>
    <row r="447" spans="2:2" ht="15.75" customHeight="1" x14ac:dyDescent="0.2">
      <c r="B447" s="284"/>
    </row>
    <row r="448" spans="2:2" ht="15.75" customHeight="1" x14ac:dyDescent="0.2">
      <c r="B448" s="284"/>
    </row>
    <row r="449" spans="2:2" ht="15.75" customHeight="1" x14ac:dyDescent="0.2">
      <c r="B449" s="284"/>
    </row>
    <row r="450" spans="2:2" ht="15.75" customHeight="1" x14ac:dyDescent="0.2">
      <c r="B450" s="284"/>
    </row>
    <row r="451" spans="2:2" ht="15.75" customHeight="1" x14ac:dyDescent="0.2">
      <c r="B451" s="284"/>
    </row>
    <row r="452" spans="2:2" ht="15.75" customHeight="1" x14ac:dyDescent="0.2">
      <c r="B452" s="284"/>
    </row>
    <row r="453" spans="2:2" ht="15.75" customHeight="1" x14ac:dyDescent="0.2">
      <c r="B453" s="284"/>
    </row>
    <row r="454" spans="2:2" ht="15.75" customHeight="1" x14ac:dyDescent="0.2">
      <c r="B454" s="284"/>
    </row>
    <row r="455" spans="2:2" ht="15.75" customHeight="1" x14ac:dyDescent="0.2">
      <c r="B455" s="284"/>
    </row>
    <row r="456" spans="2:2" ht="15.75" customHeight="1" x14ac:dyDescent="0.2">
      <c r="B456" s="284"/>
    </row>
    <row r="457" spans="2:2" ht="15.75" customHeight="1" x14ac:dyDescent="0.2">
      <c r="B457" s="284"/>
    </row>
    <row r="458" spans="2:2" ht="15.75" customHeight="1" x14ac:dyDescent="0.2">
      <c r="B458" s="284"/>
    </row>
    <row r="459" spans="2:2" ht="15.75" customHeight="1" x14ac:dyDescent="0.2">
      <c r="B459" s="284"/>
    </row>
    <row r="460" spans="2:2" ht="15.75" customHeight="1" x14ac:dyDescent="0.2">
      <c r="B460" s="284"/>
    </row>
    <row r="461" spans="2:2" ht="15.75" customHeight="1" x14ac:dyDescent="0.2">
      <c r="B461" s="284"/>
    </row>
    <row r="462" spans="2:2" ht="15.75" customHeight="1" x14ac:dyDescent="0.2">
      <c r="B462" s="284"/>
    </row>
    <row r="463" spans="2:2" ht="15.75" customHeight="1" x14ac:dyDescent="0.2">
      <c r="B463" s="284"/>
    </row>
    <row r="464" spans="2:2" ht="15.75" customHeight="1" x14ac:dyDescent="0.2">
      <c r="B464" s="284"/>
    </row>
    <row r="465" spans="2:2" ht="15.75" customHeight="1" x14ac:dyDescent="0.2">
      <c r="B465" s="284"/>
    </row>
    <row r="466" spans="2:2" ht="15.75" customHeight="1" x14ac:dyDescent="0.2">
      <c r="B466" s="284"/>
    </row>
    <row r="467" spans="2:2" ht="15.75" customHeight="1" x14ac:dyDescent="0.2">
      <c r="B467" s="284"/>
    </row>
    <row r="468" spans="2:2" ht="15.75" customHeight="1" x14ac:dyDescent="0.2">
      <c r="B468" s="284"/>
    </row>
    <row r="469" spans="2:2" ht="15.75" customHeight="1" x14ac:dyDescent="0.2">
      <c r="B469" s="284"/>
    </row>
    <row r="470" spans="2:2" ht="15.75" customHeight="1" x14ac:dyDescent="0.2">
      <c r="B470" s="284"/>
    </row>
    <row r="471" spans="2:2" ht="15.75" customHeight="1" x14ac:dyDescent="0.2">
      <c r="B471" s="284"/>
    </row>
    <row r="472" spans="2:2" ht="15.75" customHeight="1" x14ac:dyDescent="0.2">
      <c r="B472" s="284"/>
    </row>
    <row r="473" spans="2:2" ht="15.75" customHeight="1" x14ac:dyDescent="0.2">
      <c r="B473" s="284"/>
    </row>
    <row r="474" spans="2:2" ht="15.75" customHeight="1" x14ac:dyDescent="0.2">
      <c r="B474" s="284"/>
    </row>
    <row r="475" spans="2:2" ht="15.75" customHeight="1" x14ac:dyDescent="0.2">
      <c r="B475" s="284"/>
    </row>
    <row r="476" spans="2:2" ht="15.75" customHeight="1" x14ac:dyDescent="0.2">
      <c r="B476" s="284"/>
    </row>
    <row r="477" spans="2:2" ht="15.75" customHeight="1" x14ac:dyDescent="0.2">
      <c r="B477" s="284"/>
    </row>
    <row r="478" spans="2:2" ht="15.75" customHeight="1" x14ac:dyDescent="0.2">
      <c r="B478" s="284"/>
    </row>
    <row r="479" spans="2:2" ht="15.75" customHeight="1" x14ac:dyDescent="0.2">
      <c r="B479" s="284"/>
    </row>
    <row r="480" spans="2:2" ht="15.75" customHeight="1" x14ac:dyDescent="0.2">
      <c r="B480" s="284"/>
    </row>
    <row r="481" spans="2:2" ht="15.75" customHeight="1" x14ac:dyDescent="0.2">
      <c r="B481" s="284"/>
    </row>
    <row r="482" spans="2:2" ht="15.75" customHeight="1" x14ac:dyDescent="0.2">
      <c r="B482" s="284"/>
    </row>
    <row r="483" spans="2:2" ht="15.75" customHeight="1" x14ac:dyDescent="0.2">
      <c r="B483" s="284"/>
    </row>
    <row r="484" spans="2:2" ht="15.75" customHeight="1" x14ac:dyDescent="0.2">
      <c r="B484" s="284"/>
    </row>
    <row r="485" spans="2:2" ht="15.75" customHeight="1" x14ac:dyDescent="0.2">
      <c r="B485" s="284"/>
    </row>
    <row r="486" spans="2:2" ht="15.75" customHeight="1" x14ac:dyDescent="0.2">
      <c r="B486" s="284"/>
    </row>
    <row r="487" spans="2:2" ht="15.75" customHeight="1" x14ac:dyDescent="0.2">
      <c r="B487" s="284"/>
    </row>
    <row r="488" spans="2:2" ht="15.75" customHeight="1" x14ac:dyDescent="0.2">
      <c r="B488" s="284"/>
    </row>
    <row r="489" spans="2:2" ht="15.75" customHeight="1" x14ac:dyDescent="0.2">
      <c r="B489" s="284"/>
    </row>
    <row r="490" spans="2:2" ht="15.75" customHeight="1" x14ac:dyDescent="0.2">
      <c r="B490" s="284"/>
    </row>
    <row r="491" spans="2:2" ht="15.75" customHeight="1" x14ac:dyDescent="0.2">
      <c r="B491" s="284"/>
    </row>
    <row r="492" spans="2:2" ht="15.75" customHeight="1" x14ac:dyDescent="0.2">
      <c r="B492" s="284"/>
    </row>
    <row r="493" spans="2:2" ht="15.75" customHeight="1" x14ac:dyDescent="0.2">
      <c r="B493" s="284"/>
    </row>
    <row r="494" spans="2:2" ht="15.75" customHeight="1" x14ac:dyDescent="0.2">
      <c r="B494" s="284"/>
    </row>
    <row r="495" spans="2:2" ht="15.75" customHeight="1" x14ac:dyDescent="0.2">
      <c r="B495" s="284"/>
    </row>
    <row r="496" spans="2:2" ht="15.75" customHeight="1" x14ac:dyDescent="0.2">
      <c r="B496" s="284"/>
    </row>
    <row r="497" spans="2:2" ht="15.75" customHeight="1" x14ac:dyDescent="0.2">
      <c r="B497" s="284"/>
    </row>
    <row r="498" spans="2:2" ht="15.75" customHeight="1" x14ac:dyDescent="0.2">
      <c r="B498" s="284"/>
    </row>
    <row r="499" spans="2:2" ht="15.75" customHeight="1" x14ac:dyDescent="0.2">
      <c r="B499" s="284"/>
    </row>
    <row r="500" spans="2:2" ht="15.75" customHeight="1" x14ac:dyDescent="0.2">
      <c r="B500" s="284"/>
    </row>
    <row r="501" spans="2:2" ht="15.75" customHeight="1" x14ac:dyDescent="0.2">
      <c r="B501" s="284"/>
    </row>
    <row r="502" spans="2:2" ht="15.75" customHeight="1" x14ac:dyDescent="0.2">
      <c r="B502" s="284"/>
    </row>
    <row r="503" spans="2:2" ht="15.75" customHeight="1" x14ac:dyDescent="0.2">
      <c r="B503" s="284"/>
    </row>
    <row r="504" spans="2:2" ht="15.75" customHeight="1" x14ac:dyDescent="0.2">
      <c r="B504" s="284"/>
    </row>
    <row r="505" spans="2:2" ht="15.75" customHeight="1" x14ac:dyDescent="0.2">
      <c r="B505" s="284"/>
    </row>
    <row r="506" spans="2:2" ht="15.75" customHeight="1" x14ac:dyDescent="0.2">
      <c r="B506" s="284"/>
    </row>
    <row r="507" spans="2:2" ht="15.75" customHeight="1" x14ac:dyDescent="0.2">
      <c r="B507" s="284"/>
    </row>
    <row r="508" spans="2:2" ht="15.75" customHeight="1" x14ac:dyDescent="0.2">
      <c r="B508" s="284"/>
    </row>
    <row r="509" spans="2:2" ht="15.75" customHeight="1" x14ac:dyDescent="0.2">
      <c r="B509" s="284"/>
    </row>
    <row r="510" spans="2:2" ht="15.75" customHeight="1" x14ac:dyDescent="0.2">
      <c r="B510" s="284"/>
    </row>
    <row r="511" spans="2:2" ht="15.75" customHeight="1" x14ac:dyDescent="0.2">
      <c r="B511" s="284"/>
    </row>
    <row r="512" spans="2:2" ht="15.75" customHeight="1" x14ac:dyDescent="0.2">
      <c r="B512" s="284"/>
    </row>
    <row r="513" spans="2:2" ht="15.75" customHeight="1" x14ac:dyDescent="0.2">
      <c r="B513" s="284"/>
    </row>
    <row r="514" spans="2:2" ht="15.75" customHeight="1" x14ac:dyDescent="0.2">
      <c r="B514" s="284"/>
    </row>
    <row r="515" spans="2:2" ht="15.75" customHeight="1" x14ac:dyDescent="0.2">
      <c r="B515" s="284"/>
    </row>
    <row r="516" spans="2:2" ht="15.75" customHeight="1" x14ac:dyDescent="0.2">
      <c r="B516" s="284"/>
    </row>
    <row r="517" spans="2:2" ht="15.75" customHeight="1" x14ac:dyDescent="0.2">
      <c r="B517" s="284"/>
    </row>
    <row r="518" spans="2:2" ht="15.75" customHeight="1" x14ac:dyDescent="0.2">
      <c r="B518" s="284"/>
    </row>
    <row r="519" spans="2:2" ht="15.75" customHeight="1" x14ac:dyDescent="0.2">
      <c r="B519" s="284"/>
    </row>
    <row r="520" spans="2:2" ht="15.75" customHeight="1" x14ac:dyDescent="0.2">
      <c r="B520" s="284"/>
    </row>
    <row r="521" spans="2:2" ht="15.75" customHeight="1" x14ac:dyDescent="0.2">
      <c r="B521" s="284"/>
    </row>
    <row r="522" spans="2:2" ht="15.75" customHeight="1" x14ac:dyDescent="0.2">
      <c r="B522" s="284"/>
    </row>
    <row r="523" spans="2:2" ht="15.75" customHeight="1" x14ac:dyDescent="0.2">
      <c r="B523" s="284"/>
    </row>
    <row r="524" spans="2:2" ht="15.75" customHeight="1" x14ac:dyDescent="0.2">
      <c r="B524" s="284"/>
    </row>
    <row r="525" spans="2:2" ht="15.75" customHeight="1" x14ac:dyDescent="0.2">
      <c r="B525" s="284"/>
    </row>
    <row r="526" spans="2:2" ht="15.75" customHeight="1" x14ac:dyDescent="0.2">
      <c r="B526" s="284"/>
    </row>
    <row r="527" spans="2:2" ht="15.75" customHeight="1" x14ac:dyDescent="0.2">
      <c r="B527" s="284"/>
    </row>
    <row r="528" spans="2:2" ht="15.75" customHeight="1" x14ac:dyDescent="0.2">
      <c r="B528" s="284"/>
    </row>
    <row r="529" spans="2:2" ht="15.75" customHeight="1" x14ac:dyDescent="0.2">
      <c r="B529" s="284"/>
    </row>
    <row r="530" spans="2:2" ht="15.75" customHeight="1" x14ac:dyDescent="0.2">
      <c r="B530" s="284"/>
    </row>
    <row r="531" spans="2:2" ht="15.75" customHeight="1" x14ac:dyDescent="0.2">
      <c r="B531" s="284"/>
    </row>
    <row r="532" spans="2:2" ht="15.75" customHeight="1" x14ac:dyDescent="0.2">
      <c r="B532" s="284"/>
    </row>
    <row r="533" spans="2:2" ht="15.75" customHeight="1" x14ac:dyDescent="0.2">
      <c r="B533" s="284"/>
    </row>
    <row r="534" spans="2:2" ht="15.75" customHeight="1" x14ac:dyDescent="0.2">
      <c r="B534" s="284"/>
    </row>
    <row r="535" spans="2:2" ht="15.75" customHeight="1" x14ac:dyDescent="0.2">
      <c r="B535" s="284"/>
    </row>
    <row r="536" spans="2:2" ht="15.75" customHeight="1" x14ac:dyDescent="0.2">
      <c r="B536" s="284"/>
    </row>
    <row r="537" spans="2:2" ht="15.75" customHeight="1" x14ac:dyDescent="0.2">
      <c r="B537" s="284"/>
    </row>
    <row r="538" spans="2:2" ht="15.75" customHeight="1" x14ac:dyDescent="0.2">
      <c r="B538" s="284"/>
    </row>
    <row r="539" spans="2:2" ht="15.75" customHeight="1" x14ac:dyDescent="0.2">
      <c r="B539" s="284"/>
    </row>
    <row r="540" spans="2:2" ht="15.75" customHeight="1" x14ac:dyDescent="0.2">
      <c r="B540" s="284"/>
    </row>
    <row r="541" spans="2:2" ht="15.75" customHeight="1" x14ac:dyDescent="0.2">
      <c r="B541" s="284"/>
    </row>
    <row r="542" spans="2:2" ht="15.75" customHeight="1" x14ac:dyDescent="0.2">
      <c r="B542" s="284"/>
    </row>
    <row r="543" spans="2:2" ht="15.75" customHeight="1" x14ac:dyDescent="0.2">
      <c r="B543" s="284"/>
    </row>
    <row r="544" spans="2:2" ht="15.75" customHeight="1" x14ac:dyDescent="0.2">
      <c r="B544" s="284"/>
    </row>
    <row r="545" spans="2:2" ht="15.75" customHeight="1" x14ac:dyDescent="0.2">
      <c r="B545" s="284"/>
    </row>
    <row r="546" spans="2:2" ht="15.75" customHeight="1" x14ac:dyDescent="0.2">
      <c r="B546" s="284"/>
    </row>
    <row r="547" spans="2:2" ht="15.75" customHeight="1" x14ac:dyDescent="0.2">
      <c r="B547" s="284"/>
    </row>
    <row r="548" spans="2:2" ht="15.75" customHeight="1" x14ac:dyDescent="0.2">
      <c r="B548" s="284"/>
    </row>
    <row r="549" spans="2:2" ht="15.75" customHeight="1" x14ac:dyDescent="0.2">
      <c r="B549" s="284"/>
    </row>
    <row r="550" spans="2:2" ht="15.75" customHeight="1" x14ac:dyDescent="0.2">
      <c r="B550" s="284"/>
    </row>
    <row r="551" spans="2:2" ht="15.75" customHeight="1" x14ac:dyDescent="0.2">
      <c r="B551" s="284"/>
    </row>
    <row r="552" spans="2:2" ht="15.75" customHeight="1" x14ac:dyDescent="0.2">
      <c r="B552" s="284"/>
    </row>
    <row r="553" spans="2:2" ht="15.75" customHeight="1" x14ac:dyDescent="0.2">
      <c r="B553" s="284"/>
    </row>
    <row r="554" spans="2:2" ht="15.75" customHeight="1" x14ac:dyDescent="0.2">
      <c r="B554" s="284"/>
    </row>
    <row r="555" spans="2:2" ht="15.75" customHeight="1" x14ac:dyDescent="0.2">
      <c r="B555" s="284"/>
    </row>
    <row r="556" spans="2:2" ht="15.75" customHeight="1" x14ac:dyDescent="0.2">
      <c r="B556" s="284"/>
    </row>
    <row r="557" spans="2:2" ht="15.75" customHeight="1" x14ac:dyDescent="0.2">
      <c r="B557" s="284"/>
    </row>
    <row r="558" spans="2:2" ht="15.75" customHeight="1" x14ac:dyDescent="0.2">
      <c r="B558" s="284"/>
    </row>
    <row r="559" spans="2:2" ht="15.75" customHeight="1" x14ac:dyDescent="0.2">
      <c r="B559" s="284"/>
    </row>
    <row r="560" spans="2:2" ht="15.75" customHeight="1" x14ac:dyDescent="0.2">
      <c r="B560" s="284"/>
    </row>
    <row r="561" spans="2:2" ht="15.75" customHeight="1" x14ac:dyDescent="0.2">
      <c r="B561" s="284"/>
    </row>
    <row r="562" spans="2:2" ht="15.75" customHeight="1" x14ac:dyDescent="0.2">
      <c r="B562" s="284"/>
    </row>
    <row r="563" spans="2:2" ht="15.75" customHeight="1" x14ac:dyDescent="0.2">
      <c r="B563" s="284"/>
    </row>
    <row r="564" spans="2:2" ht="15.75" customHeight="1" x14ac:dyDescent="0.2">
      <c r="B564" s="284"/>
    </row>
    <row r="565" spans="2:2" ht="15.75" customHeight="1" x14ac:dyDescent="0.2">
      <c r="B565" s="284"/>
    </row>
    <row r="566" spans="2:2" ht="15.75" customHeight="1" x14ac:dyDescent="0.2">
      <c r="B566" s="284"/>
    </row>
    <row r="567" spans="2:2" ht="15.75" customHeight="1" x14ac:dyDescent="0.2">
      <c r="B567" s="284"/>
    </row>
    <row r="568" spans="2:2" ht="15.75" customHeight="1" x14ac:dyDescent="0.2">
      <c r="B568" s="284"/>
    </row>
    <row r="569" spans="2:2" ht="15.75" customHeight="1" x14ac:dyDescent="0.2">
      <c r="B569" s="284"/>
    </row>
    <row r="570" spans="2:2" ht="15.75" customHeight="1" x14ac:dyDescent="0.2">
      <c r="B570" s="284"/>
    </row>
    <row r="571" spans="2:2" ht="15.75" customHeight="1" x14ac:dyDescent="0.2">
      <c r="B571" s="284"/>
    </row>
    <row r="572" spans="2:2" ht="15.75" customHeight="1" x14ac:dyDescent="0.2">
      <c r="B572" s="284"/>
    </row>
    <row r="573" spans="2:2" ht="15.75" customHeight="1" x14ac:dyDescent="0.2">
      <c r="B573" s="284"/>
    </row>
    <row r="574" spans="2:2" ht="15.75" customHeight="1" x14ac:dyDescent="0.2">
      <c r="B574" s="284"/>
    </row>
    <row r="575" spans="2:2" ht="15.75" customHeight="1" x14ac:dyDescent="0.2">
      <c r="B575" s="284"/>
    </row>
    <row r="576" spans="2:2" ht="15.75" customHeight="1" x14ac:dyDescent="0.2">
      <c r="B576" s="284"/>
    </row>
    <row r="577" spans="2:2" ht="15.75" customHeight="1" x14ac:dyDescent="0.2">
      <c r="B577" s="284"/>
    </row>
    <row r="578" spans="2:2" ht="15.75" customHeight="1" x14ac:dyDescent="0.2">
      <c r="B578" s="284"/>
    </row>
    <row r="579" spans="2:2" ht="15.75" customHeight="1" x14ac:dyDescent="0.2">
      <c r="B579" s="284"/>
    </row>
    <row r="580" spans="2:2" ht="15.75" customHeight="1" x14ac:dyDescent="0.2">
      <c r="B580" s="284"/>
    </row>
    <row r="581" spans="2:2" ht="15.75" customHeight="1" x14ac:dyDescent="0.2">
      <c r="B581" s="284"/>
    </row>
    <row r="582" spans="2:2" ht="15.75" customHeight="1" x14ac:dyDescent="0.2">
      <c r="B582" s="284"/>
    </row>
    <row r="583" spans="2:2" ht="15.75" customHeight="1" x14ac:dyDescent="0.2">
      <c r="B583" s="284"/>
    </row>
    <row r="584" spans="2:2" ht="15.75" customHeight="1" x14ac:dyDescent="0.2">
      <c r="B584" s="284"/>
    </row>
    <row r="585" spans="2:2" ht="15.75" customHeight="1" x14ac:dyDescent="0.2">
      <c r="B585" s="284"/>
    </row>
    <row r="586" spans="2:2" ht="15.75" customHeight="1" x14ac:dyDescent="0.2">
      <c r="B586" s="284"/>
    </row>
    <row r="587" spans="2:2" ht="15.75" customHeight="1" x14ac:dyDescent="0.2">
      <c r="B587" s="284"/>
    </row>
    <row r="588" spans="2:2" ht="15.75" customHeight="1" x14ac:dyDescent="0.2">
      <c r="B588" s="284"/>
    </row>
    <row r="589" spans="2:2" ht="15.75" customHeight="1" x14ac:dyDescent="0.2">
      <c r="B589" s="284"/>
    </row>
    <row r="590" spans="2:2" ht="15.75" customHeight="1" x14ac:dyDescent="0.2">
      <c r="B590" s="284"/>
    </row>
    <row r="591" spans="2:2" ht="15.75" customHeight="1" x14ac:dyDescent="0.2">
      <c r="B591" s="284"/>
    </row>
    <row r="592" spans="2:2" ht="15.75" customHeight="1" x14ac:dyDescent="0.2">
      <c r="B592" s="284"/>
    </row>
    <row r="593" spans="2:2" ht="15.75" customHeight="1" x14ac:dyDescent="0.2">
      <c r="B593" s="284"/>
    </row>
    <row r="594" spans="2:2" ht="15.75" customHeight="1" x14ac:dyDescent="0.2">
      <c r="B594" s="284"/>
    </row>
    <row r="595" spans="2:2" ht="15.75" customHeight="1" x14ac:dyDescent="0.2">
      <c r="B595" s="284"/>
    </row>
    <row r="596" spans="2:2" ht="15.75" customHeight="1" x14ac:dyDescent="0.2">
      <c r="B596" s="284"/>
    </row>
    <row r="597" spans="2:2" ht="15.75" customHeight="1" x14ac:dyDescent="0.2">
      <c r="B597" s="284"/>
    </row>
    <row r="598" spans="2:2" ht="15.75" customHeight="1" x14ac:dyDescent="0.2">
      <c r="B598" s="284"/>
    </row>
    <row r="599" spans="2:2" ht="15.75" customHeight="1" x14ac:dyDescent="0.2">
      <c r="B599" s="284"/>
    </row>
    <row r="600" spans="2:2" ht="15.75" customHeight="1" x14ac:dyDescent="0.2">
      <c r="B600" s="284"/>
    </row>
    <row r="601" spans="2:2" ht="15.75" customHeight="1" x14ac:dyDescent="0.2">
      <c r="B601" s="284"/>
    </row>
    <row r="602" spans="2:2" ht="15.75" customHeight="1" x14ac:dyDescent="0.2">
      <c r="B602" s="284"/>
    </row>
    <row r="603" spans="2:2" ht="15.75" customHeight="1" x14ac:dyDescent="0.2">
      <c r="B603" s="284"/>
    </row>
    <row r="604" spans="2:2" ht="15.75" customHeight="1" x14ac:dyDescent="0.2">
      <c r="B604" s="284"/>
    </row>
    <row r="605" spans="2:2" ht="15.75" customHeight="1" x14ac:dyDescent="0.2">
      <c r="B605" s="284"/>
    </row>
    <row r="606" spans="2:2" ht="15.75" customHeight="1" x14ac:dyDescent="0.2">
      <c r="B606" s="284"/>
    </row>
    <row r="607" spans="2:2" ht="15.75" customHeight="1" x14ac:dyDescent="0.2">
      <c r="B607" s="284"/>
    </row>
    <row r="608" spans="2:2" ht="15.75" customHeight="1" x14ac:dyDescent="0.2">
      <c r="B608" s="284"/>
    </row>
    <row r="609" spans="2:2" ht="15.75" customHeight="1" x14ac:dyDescent="0.2">
      <c r="B609" s="284"/>
    </row>
    <row r="610" spans="2:2" ht="15.75" customHeight="1" x14ac:dyDescent="0.2">
      <c r="B610" s="284"/>
    </row>
    <row r="611" spans="2:2" ht="15.75" customHeight="1" x14ac:dyDescent="0.2">
      <c r="B611" s="284"/>
    </row>
    <row r="612" spans="2:2" ht="15.75" customHeight="1" x14ac:dyDescent="0.2">
      <c r="B612" s="284"/>
    </row>
    <row r="613" spans="2:2" ht="15.75" customHeight="1" x14ac:dyDescent="0.2">
      <c r="B613" s="284"/>
    </row>
    <row r="614" spans="2:2" ht="15.75" customHeight="1" x14ac:dyDescent="0.2">
      <c r="B614" s="284"/>
    </row>
    <row r="615" spans="2:2" ht="15.75" customHeight="1" x14ac:dyDescent="0.2">
      <c r="B615" s="284"/>
    </row>
    <row r="616" spans="2:2" ht="15.75" customHeight="1" x14ac:dyDescent="0.2">
      <c r="B616" s="284"/>
    </row>
    <row r="617" spans="2:2" ht="15.75" customHeight="1" x14ac:dyDescent="0.2">
      <c r="B617" s="284"/>
    </row>
    <row r="618" spans="2:2" ht="15.75" customHeight="1" x14ac:dyDescent="0.2">
      <c r="B618" s="284"/>
    </row>
    <row r="619" spans="2:2" ht="15.75" customHeight="1" x14ac:dyDescent="0.2">
      <c r="B619" s="284"/>
    </row>
    <row r="620" spans="2:2" ht="15.75" customHeight="1" x14ac:dyDescent="0.2">
      <c r="B620" s="284"/>
    </row>
    <row r="621" spans="2:2" ht="15.75" customHeight="1" x14ac:dyDescent="0.2">
      <c r="B621" s="284"/>
    </row>
    <row r="622" spans="2:2" ht="15.75" customHeight="1" x14ac:dyDescent="0.2">
      <c r="B622" s="284"/>
    </row>
    <row r="623" spans="2:2" ht="15.75" customHeight="1" x14ac:dyDescent="0.2">
      <c r="B623" s="284"/>
    </row>
    <row r="624" spans="2:2" ht="15.75" customHeight="1" x14ac:dyDescent="0.2">
      <c r="B624" s="284"/>
    </row>
    <row r="625" spans="2:2" ht="15.75" customHeight="1" x14ac:dyDescent="0.2">
      <c r="B625" s="284"/>
    </row>
    <row r="626" spans="2:2" ht="15.75" customHeight="1" x14ac:dyDescent="0.2">
      <c r="B626" s="284"/>
    </row>
    <row r="627" spans="2:2" ht="15.75" customHeight="1" x14ac:dyDescent="0.2">
      <c r="B627" s="284"/>
    </row>
    <row r="628" spans="2:2" ht="15.75" customHeight="1" x14ac:dyDescent="0.2">
      <c r="B628" s="284"/>
    </row>
    <row r="629" spans="2:2" ht="15.75" customHeight="1" x14ac:dyDescent="0.2">
      <c r="B629" s="284"/>
    </row>
    <row r="630" spans="2:2" ht="15.75" customHeight="1" x14ac:dyDescent="0.2">
      <c r="B630" s="284"/>
    </row>
    <row r="631" spans="2:2" ht="15.75" customHeight="1" x14ac:dyDescent="0.2">
      <c r="B631" s="284"/>
    </row>
    <row r="632" spans="2:2" ht="15.75" customHeight="1" x14ac:dyDescent="0.2">
      <c r="B632" s="284"/>
    </row>
    <row r="633" spans="2:2" ht="15.75" customHeight="1" x14ac:dyDescent="0.2">
      <c r="B633" s="284"/>
    </row>
    <row r="634" spans="2:2" ht="15.75" customHeight="1" x14ac:dyDescent="0.2">
      <c r="B634" s="284"/>
    </row>
    <row r="635" spans="2:2" ht="15.75" customHeight="1" x14ac:dyDescent="0.2">
      <c r="B635" s="284"/>
    </row>
    <row r="636" spans="2:2" ht="15.75" customHeight="1" x14ac:dyDescent="0.2">
      <c r="B636" s="284"/>
    </row>
    <row r="637" spans="2:2" ht="15.75" customHeight="1" x14ac:dyDescent="0.2">
      <c r="B637" s="284"/>
    </row>
    <row r="638" spans="2:2" ht="15.75" customHeight="1" x14ac:dyDescent="0.2">
      <c r="B638" s="284"/>
    </row>
    <row r="639" spans="2:2" ht="15.75" customHeight="1" x14ac:dyDescent="0.2">
      <c r="B639" s="284"/>
    </row>
    <row r="640" spans="2:2" ht="15.75" customHeight="1" x14ac:dyDescent="0.2">
      <c r="B640" s="284"/>
    </row>
    <row r="641" spans="2:2" ht="15.75" customHeight="1" x14ac:dyDescent="0.2">
      <c r="B641" s="284"/>
    </row>
    <row r="642" spans="2:2" ht="15.75" customHeight="1" x14ac:dyDescent="0.2">
      <c r="B642" s="284"/>
    </row>
    <row r="643" spans="2:2" ht="15.75" customHeight="1" x14ac:dyDescent="0.2">
      <c r="B643" s="284"/>
    </row>
    <row r="644" spans="2:2" ht="15.75" customHeight="1" x14ac:dyDescent="0.2">
      <c r="B644" s="284"/>
    </row>
    <row r="645" spans="2:2" ht="15.75" customHeight="1" x14ac:dyDescent="0.2">
      <c r="B645" s="284"/>
    </row>
    <row r="646" spans="2:2" ht="15.75" customHeight="1" x14ac:dyDescent="0.2">
      <c r="B646" s="284"/>
    </row>
    <row r="647" spans="2:2" ht="15.75" customHeight="1" x14ac:dyDescent="0.2">
      <c r="B647" s="284"/>
    </row>
    <row r="648" spans="2:2" ht="15.75" customHeight="1" x14ac:dyDescent="0.2">
      <c r="B648" s="284"/>
    </row>
    <row r="649" spans="2:2" ht="15.75" customHeight="1" x14ac:dyDescent="0.2">
      <c r="B649" s="284"/>
    </row>
    <row r="650" spans="2:2" ht="15.75" customHeight="1" x14ac:dyDescent="0.2">
      <c r="B650" s="284"/>
    </row>
    <row r="651" spans="2:2" ht="15.75" customHeight="1" x14ac:dyDescent="0.2">
      <c r="B651" s="284"/>
    </row>
    <row r="652" spans="2:2" ht="15.75" customHeight="1" x14ac:dyDescent="0.2">
      <c r="B652" s="284"/>
    </row>
    <row r="653" spans="2:2" ht="15.75" customHeight="1" x14ac:dyDescent="0.2">
      <c r="B653" s="284"/>
    </row>
    <row r="654" spans="2:2" ht="15.75" customHeight="1" x14ac:dyDescent="0.2">
      <c r="B654" s="284"/>
    </row>
    <row r="655" spans="2:2" ht="15.75" customHeight="1" x14ac:dyDescent="0.2">
      <c r="B655" s="284"/>
    </row>
    <row r="656" spans="2:2" ht="15.75" customHeight="1" x14ac:dyDescent="0.2">
      <c r="B656" s="284"/>
    </row>
    <row r="657" spans="2:2" ht="15.75" customHeight="1" x14ac:dyDescent="0.2">
      <c r="B657" s="284"/>
    </row>
    <row r="658" spans="2:2" ht="15.75" customHeight="1" x14ac:dyDescent="0.2">
      <c r="B658" s="284"/>
    </row>
    <row r="659" spans="2:2" ht="15.75" customHeight="1" x14ac:dyDescent="0.2">
      <c r="B659" s="284"/>
    </row>
    <row r="660" spans="2:2" ht="15.75" customHeight="1" x14ac:dyDescent="0.2">
      <c r="B660" s="284"/>
    </row>
    <row r="661" spans="2:2" ht="15.75" customHeight="1" x14ac:dyDescent="0.2">
      <c r="B661" s="284"/>
    </row>
    <row r="662" spans="2:2" ht="15.75" customHeight="1" x14ac:dyDescent="0.2">
      <c r="B662" s="284"/>
    </row>
    <row r="663" spans="2:2" ht="15.75" customHeight="1" x14ac:dyDescent="0.2">
      <c r="B663" s="284"/>
    </row>
    <row r="664" spans="2:2" ht="15.75" customHeight="1" x14ac:dyDescent="0.2">
      <c r="B664" s="284"/>
    </row>
    <row r="665" spans="2:2" ht="15.75" customHeight="1" x14ac:dyDescent="0.2">
      <c r="B665" s="284"/>
    </row>
    <row r="666" spans="2:2" ht="15.75" customHeight="1" x14ac:dyDescent="0.2">
      <c r="B666" s="284"/>
    </row>
    <row r="667" spans="2:2" ht="15.75" customHeight="1" x14ac:dyDescent="0.2">
      <c r="B667" s="284"/>
    </row>
    <row r="668" spans="2:2" ht="15.75" customHeight="1" x14ac:dyDescent="0.2">
      <c r="B668" s="284"/>
    </row>
    <row r="669" spans="2:2" ht="15.75" customHeight="1" x14ac:dyDescent="0.2">
      <c r="B669" s="284"/>
    </row>
    <row r="670" spans="2:2" ht="15.75" customHeight="1" x14ac:dyDescent="0.2">
      <c r="B670" s="284"/>
    </row>
    <row r="671" spans="2:2" ht="15.75" customHeight="1" x14ac:dyDescent="0.2">
      <c r="B671" s="284"/>
    </row>
    <row r="672" spans="2:2" ht="15.75" customHeight="1" x14ac:dyDescent="0.2">
      <c r="B672" s="284"/>
    </row>
    <row r="673" spans="2:2" ht="15.75" customHeight="1" x14ac:dyDescent="0.2">
      <c r="B673" s="284"/>
    </row>
    <row r="674" spans="2:2" ht="15.75" customHeight="1" x14ac:dyDescent="0.2">
      <c r="B674" s="284"/>
    </row>
    <row r="675" spans="2:2" ht="15.75" customHeight="1" x14ac:dyDescent="0.2">
      <c r="B675" s="284"/>
    </row>
    <row r="676" spans="2:2" ht="15.75" customHeight="1" x14ac:dyDescent="0.2">
      <c r="B676" s="284"/>
    </row>
    <row r="677" spans="2:2" ht="15.75" customHeight="1" x14ac:dyDescent="0.2">
      <c r="B677" s="284"/>
    </row>
    <row r="678" spans="2:2" ht="15.75" customHeight="1" x14ac:dyDescent="0.2">
      <c r="B678" s="284"/>
    </row>
    <row r="679" spans="2:2" ht="15.75" customHeight="1" x14ac:dyDescent="0.2">
      <c r="B679" s="284"/>
    </row>
    <row r="680" spans="2:2" ht="15.75" customHeight="1" x14ac:dyDescent="0.2">
      <c r="B680" s="284"/>
    </row>
    <row r="681" spans="2:2" ht="15.75" customHeight="1" x14ac:dyDescent="0.2">
      <c r="B681" s="284"/>
    </row>
    <row r="682" spans="2:2" ht="15.75" customHeight="1" x14ac:dyDescent="0.2">
      <c r="B682" s="284"/>
    </row>
    <row r="683" spans="2:2" ht="15.75" customHeight="1" x14ac:dyDescent="0.2">
      <c r="B683" s="284"/>
    </row>
    <row r="684" spans="2:2" ht="15.75" customHeight="1" x14ac:dyDescent="0.2">
      <c r="B684" s="284"/>
    </row>
    <row r="685" spans="2:2" ht="15.75" customHeight="1" x14ac:dyDescent="0.2">
      <c r="B685" s="284"/>
    </row>
    <row r="686" spans="2:2" ht="15.75" customHeight="1" x14ac:dyDescent="0.2">
      <c r="B686" s="284"/>
    </row>
    <row r="687" spans="2:2" ht="15.75" customHeight="1" x14ac:dyDescent="0.2">
      <c r="B687" s="284"/>
    </row>
    <row r="688" spans="2:2" ht="15.75" customHeight="1" x14ac:dyDescent="0.2">
      <c r="B688" s="284"/>
    </row>
    <row r="689" spans="2:2" ht="15.75" customHeight="1" x14ac:dyDescent="0.2">
      <c r="B689" s="284"/>
    </row>
    <row r="690" spans="2:2" ht="15.75" customHeight="1" x14ac:dyDescent="0.2">
      <c r="B690" s="284"/>
    </row>
    <row r="691" spans="2:2" ht="15.75" customHeight="1" x14ac:dyDescent="0.2">
      <c r="B691" s="284"/>
    </row>
    <row r="692" spans="2:2" ht="15.75" customHeight="1" x14ac:dyDescent="0.2">
      <c r="B692" s="284"/>
    </row>
    <row r="693" spans="2:2" ht="15.75" customHeight="1" x14ac:dyDescent="0.2">
      <c r="B693" s="284"/>
    </row>
    <row r="694" spans="2:2" ht="15.75" customHeight="1" x14ac:dyDescent="0.2">
      <c r="B694" s="284"/>
    </row>
    <row r="695" spans="2:2" ht="15.75" customHeight="1" x14ac:dyDescent="0.2">
      <c r="B695" s="284"/>
    </row>
    <row r="696" spans="2:2" ht="15.75" customHeight="1" x14ac:dyDescent="0.2">
      <c r="B696" s="284"/>
    </row>
    <row r="697" spans="2:2" ht="15.75" customHeight="1" x14ac:dyDescent="0.2">
      <c r="B697" s="284"/>
    </row>
    <row r="698" spans="2:2" ht="15.75" customHeight="1" x14ac:dyDescent="0.2">
      <c r="B698" s="284"/>
    </row>
    <row r="699" spans="2:2" ht="15.75" customHeight="1" x14ac:dyDescent="0.2">
      <c r="B699" s="284"/>
    </row>
    <row r="700" spans="2:2" ht="15.75" customHeight="1" x14ac:dyDescent="0.2">
      <c r="B700" s="284"/>
    </row>
    <row r="701" spans="2:2" ht="15.75" customHeight="1" x14ac:dyDescent="0.2">
      <c r="B701" s="284"/>
    </row>
    <row r="702" spans="2:2" ht="15.75" customHeight="1" x14ac:dyDescent="0.2">
      <c r="B702" s="284"/>
    </row>
    <row r="703" spans="2:2" ht="15.75" customHeight="1" x14ac:dyDescent="0.2">
      <c r="B703" s="284"/>
    </row>
    <row r="704" spans="2:2" ht="15.75" customHeight="1" x14ac:dyDescent="0.2">
      <c r="B704" s="284"/>
    </row>
    <row r="705" spans="2:2" ht="15.75" customHeight="1" x14ac:dyDescent="0.2">
      <c r="B705" s="284"/>
    </row>
    <row r="706" spans="2:2" ht="15.75" customHeight="1" x14ac:dyDescent="0.2">
      <c r="B706" s="284"/>
    </row>
    <row r="707" spans="2:2" ht="15.75" customHeight="1" x14ac:dyDescent="0.2">
      <c r="B707" s="284"/>
    </row>
    <row r="708" spans="2:2" ht="15.75" customHeight="1" x14ac:dyDescent="0.2">
      <c r="B708" s="284"/>
    </row>
    <row r="709" spans="2:2" ht="15.75" customHeight="1" x14ac:dyDescent="0.2">
      <c r="B709" s="284"/>
    </row>
    <row r="710" spans="2:2" ht="15.75" customHeight="1" x14ac:dyDescent="0.2">
      <c r="B710" s="284"/>
    </row>
    <row r="711" spans="2:2" ht="15.75" customHeight="1" x14ac:dyDescent="0.2">
      <c r="B711" s="284"/>
    </row>
    <row r="712" spans="2:2" ht="15.75" customHeight="1" x14ac:dyDescent="0.2">
      <c r="B712" s="284"/>
    </row>
    <row r="713" spans="2:2" ht="15.75" customHeight="1" x14ac:dyDescent="0.2">
      <c r="B713" s="284"/>
    </row>
    <row r="714" spans="2:2" ht="15.75" customHeight="1" x14ac:dyDescent="0.2">
      <c r="B714" s="284"/>
    </row>
    <row r="715" spans="2:2" ht="15.75" customHeight="1" x14ac:dyDescent="0.2">
      <c r="B715" s="284"/>
    </row>
    <row r="716" spans="2:2" ht="15.75" customHeight="1" x14ac:dyDescent="0.2">
      <c r="B716" s="284"/>
    </row>
    <row r="717" spans="2:2" ht="15.75" customHeight="1" x14ac:dyDescent="0.2">
      <c r="B717" s="284"/>
    </row>
    <row r="718" spans="2:2" ht="15.75" customHeight="1" x14ac:dyDescent="0.2">
      <c r="B718" s="284"/>
    </row>
    <row r="719" spans="2:2" ht="15.75" customHeight="1" x14ac:dyDescent="0.2">
      <c r="B719" s="284"/>
    </row>
    <row r="720" spans="2:2" ht="15.75" customHeight="1" x14ac:dyDescent="0.2">
      <c r="B720" s="284"/>
    </row>
    <row r="721" spans="2:2" ht="15.75" customHeight="1" x14ac:dyDescent="0.2">
      <c r="B721" s="284"/>
    </row>
    <row r="722" spans="2:2" ht="15.75" customHeight="1" x14ac:dyDescent="0.2">
      <c r="B722" s="284"/>
    </row>
    <row r="723" spans="2:2" ht="15.75" customHeight="1" x14ac:dyDescent="0.2">
      <c r="B723" s="284"/>
    </row>
    <row r="724" spans="2:2" ht="15.75" customHeight="1" x14ac:dyDescent="0.2">
      <c r="B724" s="284"/>
    </row>
    <row r="725" spans="2:2" ht="15.75" customHeight="1" x14ac:dyDescent="0.2">
      <c r="B725" s="284"/>
    </row>
    <row r="726" spans="2:2" ht="15.75" customHeight="1" x14ac:dyDescent="0.2">
      <c r="B726" s="284"/>
    </row>
    <row r="727" spans="2:2" ht="15.75" customHeight="1" x14ac:dyDescent="0.2">
      <c r="B727" s="284"/>
    </row>
    <row r="728" spans="2:2" ht="15.75" customHeight="1" x14ac:dyDescent="0.2">
      <c r="B728" s="284"/>
    </row>
    <row r="729" spans="2:2" ht="15.75" customHeight="1" x14ac:dyDescent="0.2">
      <c r="B729" s="284"/>
    </row>
    <row r="730" spans="2:2" ht="15.75" customHeight="1" x14ac:dyDescent="0.2">
      <c r="B730" s="284"/>
    </row>
    <row r="731" spans="2:2" ht="15.75" customHeight="1" x14ac:dyDescent="0.2">
      <c r="B731" s="284"/>
    </row>
    <row r="732" spans="2:2" ht="15.75" customHeight="1" x14ac:dyDescent="0.2">
      <c r="B732" s="284"/>
    </row>
    <row r="733" spans="2:2" ht="15.75" customHeight="1" x14ac:dyDescent="0.2">
      <c r="B733" s="284"/>
    </row>
    <row r="734" spans="2:2" ht="15.75" customHeight="1" x14ac:dyDescent="0.2">
      <c r="B734" s="284"/>
    </row>
    <row r="735" spans="2:2" ht="15.75" customHeight="1" x14ac:dyDescent="0.2">
      <c r="B735" s="284"/>
    </row>
    <row r="736" spans="2:2" ht="15.75" customHeight="1" x14ac:dyDescent="0.2">
      <c r="B736" s="284"/>
    </row>
    <row r="737" spans="2:2" ht="15.75" customHeight="1" x14ac:dyDescent="0.2">
      <c r="B737" s="284"/>
    </row>
    <row r="738" spans="2:2" ht="15.75" customHeight="1" x14ac:dyDescent="0.2">
      <c r="B738" s="284"/>
    </row>
    <row r="739" spans="2:2" ht="15.75" customHeight="1" x14ac:dyDescent="0.2">
      <c r="B739" s="284"/>
    </row>
    <row r="740" spans="2:2" ht="15.75" customHeight="1" x14ac:dyDescent="0.2">
      <c r="B740" s="284"/>
    </row>
    <row r="741" spans="2:2" ht="15.75" customHeight="1" x14ac:dyDescent="0.2">
      <c r="B741" s="284"/>
    </row>
    <row r="742" spans="2:2" ht="15.75" customHeight="1" x14ac:dyDescent="0.2">
      <c r="B742" s="284"/>
    </row>
    <row r="743" spans="2:2" ht="15.75" customHeight="1" x14ac:dyDescent="0.2">
      <c r="B743" s="284"/>
    </row>
    <row r="744" spans="2:2" ht="15.75" customHeight="1" x14ac:dyDescent="0.2">
      <c r="B744" s="284"/>
    </row>
    <row r="745" spans="2:2" ht="15.75" customHeight="1" x14ac:dyDescent="0.2">
      <c r="B745" s="284"/>
    </row>
    <row r="746" spans="2:2" ht="15.75" customHeight="1" x14ac:dyDescent="0.2">
      <c r="B746" s="284"/>
    </row>
    <row r="747" spans="2:2" ht="15.75" customHeight="1" x14ac:dyDescent="0.2">
      <c r="B747" s="284"/>
    </row>
    <row r="748" spans="2:2" ht="15.75" customHeight="1" x14ac:dyDescent="0.2">
      <c r="B748" s="284"/>
    </row>
    <row r="749" spans="2:2" ht="15.75" customHeight="1" x14ac:dyDescent="0.2">
      <c r="B749" s="284"/>
    </row>
    <row r="750" spans="2:2" ht="15.75" customHeight="1" x14ac:dyDescent="0.2">
      <c r="B750" s="284"/>
    </row>
    <row r="751" spans="2:2" ht="15.75" customHeight="1" x14ac:dyDescent="0.2">
      <c r="B751" s="284"/>
    </row>
    <row r="752" spans="2:2" ht="15.75" customHeight="1" x14ac:dyDescent="0.2">
      <c r="B752" s="284"/>
    </row>
    <row r="753" spans="2:2" ht="15.75" customHeight="1" x14ac:dyDescent="0.2">
      <c r="B753" s="284"/>
    </row>
    <row r="754" spans="2:2" ht="15.75" customHeight="1" x14ac:dyDescent="0.2">
      <c r="B754" s="284"/>
    </row>
    <row r="755" spans="2:2" ht="15.75" customHeight="1" x14ac:dyDescent="0.2">
      <c r="B755" s="284"/>
    </row>
    <row r="756" spans="2:2" ht="15.75" customHeight="1" x14ac:dyDescent="0.2">
      <c r="B756" s="284"/>
    </row>
    <row r="757" spans="2:2" ht="15.75" customHeight="1" x14ac:dyDescent="0.2">
      <c r="B757" s="284"/>
    </row>
    <row r="758" spans="2:2" ht="15.75" customHeight="1" x14ac:dyDescent="0.2">
      <c r="B758" s="284"/>
    </row>
    <row r="759" spans="2:2" ht="15.75" customHeight="1" x14ac:dyDescent="0.2">
      <c r="B759" s="284"/>
    </row>
    <row r="760" spans="2:2" ht="15.75" customHeight="1" x14ac:dyDescent="0.2">
      <c r="B760" s="284"/>
    </row>
    <row r="761" spans="2:2" ht="15.75" customHeight="1" x14ac:dyDescent="0.2">
      <c r="B761" s="284"/>
    </row>
    <row r="762" spans="2:2" ht="15.75" customHeight="1" x14ac:dyDescent="0.2">
      <c r="B762" s="284"/>
    </row>
    <row r="763" spans="2:2" ht="15.75" customHeight="1" x14ac:dyDescent="0.2">
      <c r="B763" s="284"/>
    </row>
    <row r="764" spans="2:2" ht="15.75" customHeight="1" x14ac:dyDescent="0.2">
      <c r="B764" s="284"/>
    </row>
    <row r="765" spans="2:2" ht="15.75" customHeight="1" x14ac:dyDescent="0.2">
      <c r="B765" s="284"/>
    </row>
    <row r="766" spans="2:2" ht="15.75" customHeight="1" x14ac:dyDescent="0.2">
      <c r="B766" s="284"/>
    </row>
    <row r="767" spans="2:2" ht="15.75" customHeight="1" x14ac:dyDescent="0.2">
      <c r="B767" s="284"/>
    </row>
    <row r="768" spans="2:2" ht="15.75" customHeight="1" x14ac:dyDescent="0.2">
      <c r="B768" s="284"/>
    </row>
    <row r="769" spans="2:2" ht="15.75" customHeight="1" x14ac:dyDescent="0.2">
      <c r="B769" s="284"/>
    </row>
    <row r="770" spans="2:2" ht="15.75" customHeight="1" x14ac:dyDescent="0.2">
      <c r="B770" s="284"/>
    </row>
    <row r="771" spans="2:2" ht="15.75" customHeight="1" x14ac:dyDescent="0.2">
      <c r="B771" s="284"/>
    </row>
    <row r="772" spans="2:2" ht="15.75" customHeight="1" x14ac:dyDescent="0.2">
      <c r="B772" s="284"/>
    </row>
    <row r="773" spans="2:2" ht="15.75" customHeight="1" x14ac:dyDescent="0.2">
      <c r="B773" s="284"/>
    </row>
    <row r="774" spans="2:2" ht="15.75" customHeight="1" x14ac:dyDescent="0.2">
      <c r="B774" s="284"/>
    </row>
    <row r="775" spans="2:2" ht="15.75" customHeight="1" x14ac:dyDescent="0.2">
      <c r="B775" s="284"/>
    </row>
    <row r="776" spans="2:2" ht="15.75" customHeight="1" x14ac:dyDescent="0.2">
      <c r="B776" s="284"/>
    </row>
    <row r="777" spans="2:2" ht="15.75" customHeight="1" x14ac:dyDescent="0.2">
      <c r="B777" s="284"/>
    </row>
    <row r="778" spans="2:2" ht="15.75" customHeight="1" x14ac:dyDescent="0.2">
      <c r="B778" s="284"/>
    </row>
    <row r="779" spans="2:2" ht="15.75" customHeight="1" x14ac:dyDescent="0.2">
      <c r="B779" s="284"/>
    </row>
    <row r="780" spans="2:2" ht="15.75" customHeight="1" x14ac:dyDescent="0.2">
      <c r="B780" s="284"/>
    </row>
    <row r="781" spans="2:2" ht="15.75" customHeight="1" x14ac:dyDescent="0.2">
      <c r="B781" s="284"/>
    </row>
    <row r="782" spans="2:2" ht="15.75" customHeight="1" x14ac:dyDescent="0.2">
      <c r="B782" s="284"/>
    </row>
    <row r="783" spans="2:2" ht="15.75" customHeight="1" x14ac:dyDescent="0.2">
      <c r="B783" s="284"/>
    </row>
    <row r="784" spans="2:2" ht="15.75" customHeight="1" x14ac:dyDescent="0.2">
      <c r="B784" s="284"/>
    </row>
    <row r="785" spans="2:2" ht="15.75" customHeight="1" x14ac:dyDescent="0.2">
      <c r="B785" s="284"/>
    </row>
    <row r="786" spans="2:2" ht="15.75" customHeight="1" x14ac:dyDescent="0.2">
      <c r="B786" s="284"/>
    </row>
    <row r="787" spans="2:2" ht="15.75" customHeight="1" x14ac:dyDescent="0.2">
      <c r="B787" s="284"/>
    </row>
    <row r="788" spans="2:2" ht="15.75" customHeight="1" x14ac:dyDescent="0.2">
      <c r="B788" s="284"/>
    </row>
    <row r="789" spans="2:2" ht="15.75" customHeight="1" x14ac:dyDescent="0.2">
      <c r="B789" s="284"/>
    </row>
    <row r="790" spans="2:2" ht="15.75" customHeight="1" x14ac:dyDescent="0.2">
      <c r="B790" s="284"/>
    </row>
    <row r="791" spans="2:2" ht="15.75" customHeight="1" x14ac:dyDescent="0.2">
      <c r="B791" s="284"/>
    </row>
    <row r="792" spans="2:2" ht="15.75" customHeight="1" x14ac:dyDescent="0.2">
      <c r="B792" s="284"/>
    </row>
    <row r="793" spans="2:2" ht="15.75" customHeight="1" x14ac:dyDescent="0.2">
      <c r="B793" s="284"/>
    </row>
    <row r="794" spans="2:2" ht="15.75" customHeight="1" x14ac:dyDescent="0.2">
      <c r="B794" s="284"/>
    </row>
    <row r="795" spans="2:2" ht="15.75" customHeight="1" x14ac:dyDescent="0.2">
      <c r="B795" s="284"/>
    </row>
    <row r="796" spans="2:2" ht="15.75" customHeight="1" x14ac:dyDescent="0.2">
      <c r="B796" s="284"/>
    </row>
    <row r="797" spans="2:2" ht="15.75" customHeight="1" x14ac:dyDescent="0.2">
      <c r="B797" s="284"/>
    </row>
    <row r="798" spans="2:2" ht="15.75" customHeight="1" x14ac:dyDescent="0.2">
      <c r="B798" s="284"/>
    </row>
    <row r="799" spans="2:2" ht="15.75" customHeight="1" x14ac:dyDescent="0.2">
      <c r="B799" s="284"/>
    </row>
    <row r="800" spans="2:2" ht="15.75" customHeight="1" x14ac:dyDescent="0.2">
      <c r="B800" s="284"/>
    </row>
    <row r="801" spans="2:2" ht="15.75" customHeight="1" x14ac:dyDescent="0.2">
      <c r="B801" s="284"/>
    </row>
    <row r="802" spans="2:2" ht="15.75" customHeight="1" x14ac:dyDescent="0.2">
      <c r="B802" s="284"/>
    </row>
    <row r="803" spans="2:2" ht="15.75" customHeight="1" x14ac:dyDescent="0.2">
      <c r="B803" s="284"/>
    </row>
    <row r="804" spans="2:2" ht="15.75" customHeight="1" x14ac:dyDescent="0.2">
      <c r="B804" s="284"/>
    </row>
    <row r="805" spans="2:2" ht="15.75" customHeight="1" x14ac:dyDescent="0.2">
      <c r="B805" s="284"/>
    </row>
    <row r="806" spans="2:2" ht="15.75" customHeight="1" x14ac:dyDescent="0.2">
      <c r="B806" s="284"/>
    </row>
    <row r="807" spans="2:2" ht="15.75" customHeight="1" x14ac:dyDescent="0.2">
      <c r="B807" s="284"/>
    </row>
    <row r="808" spans="2:2" ht="15.75" customHeight="1" x14ac:dyDescent="0.2">
      <c r="B808" s="284"/>
    </row>
    <row r="809" spans="2:2" ht="15.75" customHeight="1" x14ac:dyDescent="0.2">
      <c r="B809" s="284"/>
    </row>
    <row r="810" spans="2:2" ht="15.75" customHeight="1" x14ac:dyDescent="0.2">
      <c r="B810" s="284"/>
    </row>
    <row r="811" spans="2:2" ht="15.75" customHeight="1" x14ac:dyDescent="0.2">
      <c r="B811" s="284"/>
    </row>
    <row r="812" spans="2:2" ht="15.75" customHeight="1" x14ac:dyDescent="0.2">
      <c r="B812" s="284"/>
    </row>
    <row r="813" spans="2:2" ht="15.75" customHeight="1" x14ac:dyDescent="0.2">
      <c r="B813" s="284"/>
    </row>
    <row r="814" spans="2:2" ht="15.75" customHeight="1" x14ac:dyDescent="0.2">
      <c r="B814" s="284"/>
    </row>
    <row r="815" spans="2:2" ht="15.75" customHeight="1" x14ac:dyDescent="0.2">
      <c r="B815" s="284"/>
    </row>
    <row r="816" spans="2:2" ht="15.75" customHeight="1" x14ac:dyDescent="0.2">
      <c r="B816" s="284"/>
    </row>
    <row r="817" spans="2:2" ht="15.75" customHeight="1" x14ac:dyDescent="0.2">
      <c r="B817" s="284"/>
    </row>
    <row r="818" spans="2:2" ht="15.75" customHeight="1" x14ac:dyDescent="0.2">
      <c r="B818" s="284"/>
    </row>
    <row r="819" spans="2:2" ht="15.75" customHeight="1" x14ac:dyDescent="0.2">
      <c r="B819" s="284"/>
    </row>
    <row r="820" spans="2:2" ht="15.75" customHeight="1" x14ac:dyDescent="0.2">
      <c r="B820" s="284"/>
    </row>
    <row r="821" spans="2:2" ht="15.75" customHeight="1" x14ac:dyDescent="0.2">
      <c r="B821" s="284"/>
    </row>
    <row r="822" spans="2:2" ht="15.75" customHeight="1" x14ac:dyDescent="0.2">
      <c r="B822" s="284"/>
    </row>
    <row r="823" spans="2:2" ht="15.75" customHeight="1" x14ac:dyDescent="0.2">
      <c r="B823" s="284"/>
    </row>
    <row r="824" spans="2:2" ht="15.75" customHeight="1" x14ac:dyDescent="0.2">
      <c r="B824" s="284"/>
    </row>
    <row r="825" spans="2:2" ht="15.75" customHeight="1" x14ac:dyDescent="0.2">
      <c r="B825" s="284"/>
    </row>
    <row r="826" spans="2:2" ht="15.75" customHeight="1" x14ac:dyDescent="0.2">
      <c r="B826" s="284"/>
    </row>
    <row r="827" spans="2:2" ht="15.75" customHeight="1" x14ac:dyDescent="0.2">
      <c r="B827" s="284"/>
    </row>
    <row r="828" spans="2:2" ht="15.75" customHeight="1" x14ac:dyDescent="0.2">
      <c r="B828" s="284"/>
    </row>
    <row r="829" spans="2:2" ht="15.75" customHeight="1" x14ac:dyDescent="0.2">
      <c r="B829" s="284"/>
    </row>
    <row r="830" spans="2:2" ht="15.75" customHeight="1" x14ac:dyDescent="0.2">
      <c r="B830" s="284"/>
    </row>
    <row r="831" spans="2:2" ht="15.75" customHeight="1" x14ac:dyDescent="0.2">
      <c r="B831" s="284"/>
    </row>
    <row r="832" spans="2:2" ht="15.75" customHeight="1" x14ac:dyDescent="0.2">
      <c r="B832" s="284"/>
    </row>
    <row r="833" spans="2:2" ht="15.75" customHeight="1" x14ac:dyDescent="0.2">
      <c r="B833" s="284"/>
    </row>
    <row r="834" spans="2:2" ht="15.75" customHeight="1" x14ac:dyDescent="0.2">
      <c r="B834" s="284"/>
    </row>
    <row r="835" spans="2:2" ht="15.75" customHeight="1" x14ac:dyDescent="0.2">
      <c r="B835" s="284"/>
    </row>
    <row r="836" spans="2:2" ht="15.75" customHeight="1" x14ac:dyDescent="0.2">
      <c r="B836" s="284"/>
    </row>
    <row r="837" spans="2:2" ht="15.75" customHeight="1" x14ac:dyDescent="0.2">
      <c r="B837" s="284"/>
    </row>
    <row r="838" spans="2:2" ht="15.75" customHeight="1" x14ac:dyDescent="0.2">
      <c r="B838" s="284"/>
    </row>
    <row r="839" spans="2:2" ht="15.75" customHeight="1" x14ac:dyDescent="0.2">
      <c r="B839" s="284"/>
    </row>
    <row r="840" spans="2:2" ht="15.75" customHeight="1" x14ac:dyDescent="0.2">
      <c r="B840" s="284"/>
    </row>
    <row r="841" spans="2:2" ht="15.75" customHeight="1" x14ac:dyDescent="0.2">
      <c r="B841" s="284"/>
    </row>
    <row r="842" spans="2:2" ht="15.75" customHeight="1" x14ac:dyDescent="0.2">
      <c r="B842" s="284"/>
    </row>
    <row r="843" spans="2:2" ht="15.75" customHeight="1" x14ac:dyDescent="0.2">
      <c r="B843" s="284"/>
    </row>
    <row r="844" spans="2:2" ht="15.75" customHeight="1" x14ac:dyDescent="0.2">
      <c r="B844" s="284"/>
    </row>
    <row r="845" spans="2:2" ht="15.75" customHeight="1" x14ac:dyDescent="0.2">
      <c r="B845" s="284"/>
    </row>
    <row r="846" spans="2:2" ht="15.75" customHeight="1" x14ac:dyDescent="0.2">
      <c r="B846" s="284"/>
    </row>
    <row r="847" spans="2:2" ht="15.75" customHeight="1" x14ac:dyDescent="0.2">
      <c r="B847" s="284"/>
    </row>
    <row r="848" spans="2:2" ht="15.75" customHeight="1" x14ac:dyDescent="0.2">
      <c r="B848" s="284"/>
    </row>
    <row r="849" spans="2:2" ht="15.75" customHeight="1" x14ac:dyDescent="0.2">
      <c r="B849" s="284"/>
    </row>
    <row r="850" spans="2:2" ht="15.75" customHeight="1" x14ac:dyDescent="0.2">
      <c r="B850" s="284"/>
    </row>
    <row r="851" spans="2:2" ht="15.75" customHeight="1" x14ac:dyDescent="0.2">
      <c r="B851" s="284"/>
    </row>
    <row r="852" spans="2:2" ht="15.75" customHeight="1" x14ac:dyDescent="0.2">
      <c r="B852" s="284"/>
    </row>
    <row r="853" spans="2:2" ht="15.75" customHeight="1" x14ac:dyDescent="0.2">
      <c r="B853" s="284"/>
    </row>
    <row r="854" spans="2:2" ht="15.75" customHeight="1" x14ac:dyDescent="0.2">
      <c r="B854" s="284"/>
    </row>
    <row r="855" spans="2:2" ht="15.75" customHeight="1" x14ac:dyDescent="0.2">
      <c r="B855" s="284"/>
    </row>
    <row r="856" spans="2:2" ht="15.75" customHeight="1" x14ac:dyDescent="0.2">
      <c r="B856" s="284"/>
    </row>
    <row r="857" spans="2:2" ht="15.75" customHeight="1" x14ac:dyDescent="0.2">
      <c r="B857" s="284"/>
    </row>
    <row r="858" spans="2:2" ht="15.75" customHeight="1" x14ac:dyDescent="0.2">
      <c r="B858" s="284"/>
    </row>
    <row r="859" spans="2:2" ht="15.75" customHeight="1" x14ac:dyDescent="0.2">
      <c r="B859" s="284"/>
    </row>
    <row r="860" spans="2:2" ht="15.75" customHeight="1" x14ac:dyDescent="0.2">
      <c r="B860" s="284"/>
    </row>
    <row r="861" spans="2:2" ht="15.75" customHeight="1" x14ac:dyDescent="0.2">
      <c r="B861" s="284"/>
    </row>
    <row r="862" spans="2:2" ht="15.75" customHeight="1" x14ac:dyDescent="0.2">
      <c r="B862" s="284"/>
    </row>
    <row r="863" spans="2:2" ht="15.75" customHeight="1" x14ac:dyDescent="0.2">
      <c r="B863" s="284"/>
    </row>
    <row r="864" spans="2:2" ht="15.75" customHeight="1" x14ac:dyDescent="0.2">
      <c r="B864" s="284"/>
    </row>
    <row r="865" spans="2:2" ht="15.75" customHeight="1" x14ac:dyDescent="0.2">
      <c r="B865" s="284"/>
    </row>
    <row r="866" spans="2:2" ht="15.75" customHeight="1" x14ac:dyDescent="0.2">
      <c r="B866" s="284"/>
    </row>
    <row r="867" spans="2:2" ht="15.75" customHeight="1" x14ac:dyDescent="0.2">
      <c r="B867" s="284"/>
    </row>
    <row r="868" spans="2:2" ht="15.75" customHeight="1" x14ac:dyDescent="0.2">
      <c r="B868" s="284"/>
    </row>
    <row r="869" spans="2:2" ht="15.75" customHeight="1" x14ac:dyDescent="0.2">
      <c r="B869" s="284"/>
    </row>
    <row r="870" spans="2:2" ht="15.75" customHeight="1" x14ac:dyDescent="0.2">
      <c r="B870" s="284"/>
    </row>
    <row r="871" spans="2:2" ht="15.75" customHeight="1" x14ac:dyDescent="0.2">
      <c r="B871" s="284"/>
    </row>
    <row r="872" spans="2:2" ht="15.75" customHeight="1" x14ac:dyDescent="0.2">
      <c r="B872" s="284"/>
    </row>
    <row r="873" spans="2:2" ht="15.75" customHeight="1" x14ac:dyDescent="0.2">
      <c r="B873" s="284"/>
    </row>
    <row r="874" spans="2:2" ht="15.75" customHeight="1" x14ac:dyDescent="0.2">
      <c r="B874" s="284"/>
    </row>
    <row r="875" spans="2:2" ht="15.75" customHeight="1" x14ac:dyDescent="0.2">
      <c r="B875" s="284"/>
    </row>
    <row r="876" spans="2:2" ht="15.75" customHeight="1" x14ac:dyDescent="0.2">
      <c r="B876" s="284"/>
    </row>
    <row r="877" spans="2:2" ht="15.75" customHeight="1" x14ac:dyDescent="0.2">
      <c r="B877" s="284"/>
    </row>
    <row r="878" spans="2:2" ht="15.75" customHeight="1" x14ac:dyDescent="0.2">
      <c r="B878" s="284"/>
    </row>
    <row r="879" spans="2:2" ht="15.75" customHeight="1" x14ac:dyDescent="0.2">
      <c r="B879" s="284"/>
    </row>
    <row r="880" spans="2:2" ht="15.75" customHeight="1" x14ac:dyDescent="0.2">
      <c r="B880" s="284"/>
    </row>
    <row r="881" spans="2:2" ht="15.75" customHeight="1" x14ac:dyDescent="0.2">
      <c r="B881" s="284"/>
    </row>
    <row r="882" spans="2:2" ht="15.75" customHeight="1" x14ac:dyDescent="0.2">
      <c r="B882" s="284"/>
    </row>
    <row r="883" spans="2:2" ht="15.75" customHeight="1" x14ac:dyDescent="0.2">
      <c r="B883" s="284"/>
    </row>
    <row r="884" spans="2:2" ht="15.75" customHeight="1" x14ac:dyDescent="0.2">
      <c r="B884" s="284"/>
    </row>
    <row r="885" spans="2:2" ht="15.75" customHeight="1" x14ac:dyDescent="0.2">
      <c r="B885" s="284"/>
    </row>
    <row r="886" spans="2:2" ht="15.75" customHeight="1" x14ac:dyDescent="0.2">
      <c r="B886" s="284"/>
    </row>
    <row r="887" spans="2:2" ht="15.75" customHeight="1" x14ac:dyDescent="0.2">
      <c r="B887" s="284"/>
    </row>
    <row r="888" spans="2:2" ht="15.75" customHeight="1" x14ac:dyDescent="0.2">
      <c r="B888" s="284"/>
    </row>
    <row r="889" spans="2:2" ht="15.75" customHeight="1" x14ac:dyDescent="0.2">
      <c r="B889" s="284"/>
    </row>
    <row r="890" spans="2:2" ht="15.75" customHeight="1" x14ac:dyDescent="0.2">
      <c r="B890" s="284"/>
    </row>
    <row r="891" spans="2:2" ht="15.75" customHeight="1" x14ac:dyDescent="0.2">
      <c r="B891" s="284"/>
    </row>
    <row r="892" spans="2:2" ht="15.75" customHeight="1" x14ac:dyDescent="0.2">
      <c r="B892" s="284"/>
    </row>
    <row r="893" spans="2:2" ht="15.75" customHeight="1" x14ac:dyDescent="0.2">
      <c r="B893" s="284"/>
    </row>
    <row r="894" spans="2:2" ht="15.75" customHeight="1" x14ac:dyDescent="0.2">
      <c r="B894" s="284"/>
    </row>
    <row r="895" spans="2:2" ht="15.75" customHeight="1" x14ac:dyDescent="0.2">
      <c r="B895" s="284"/>
    </row>
    <row r="896" spans="2:2" ht="15.75" customHeight="1" x14ac:dyDescent="0.2">
      <c r="B896" s="284"/>
    </row>
    <row r="897" spans="2:2" ht="15.75" customHeight="1" x14ac:dyDescent="0.2">
      <c r="B897" s="284"/>
    </row>
    <row r="898" spans="2:2" ht="15.75" customHeight="1" x14ac:dyDescent="0.2">
      <c r="B898" s="284"/>
    </row>
    <row r="899" spans="2:2" ht="15.75" customHeight="1" x14ac:dyDescent="0.2">
      <c r="B899" s="284"/>
    </row>
    <row r="900" spans="2:2" ht="15.75" customHeight="1" x14ac:dyDescent="0.2">
      <c r="B900" s="284"/>
    </row>
    <row r="901" spans="2:2" ht="15.75" customHeight="1" x14ac:dyDescent="0.2">
      <c r="B901" s="284"/>
    </row>
    <row r="902" spans="2:2" ht="15.75" customHeight="1" x14ac:dyDescent="0.2">
      <c r="B902" s="284"/>
    </row>
    <row r="903" spans="2:2" ht="15.75" customHeight="1" x14ac:dyDescent="0.2">
      <c r="B903" s="284"/>
    </row>
    <row r="904" spans="2:2" ht="15.75" customHeight="1" x14ac:dyDescent="0.2">
      <c r="B904" s="284"/>
    </row>
    <row r="905" spans="2:2" ht="15.75" customHeight="1" x14ac:dyDescent="0.2">
      <c r="B905" s="284"/>
    </row>
    <row r="906" spans="2:2" ht="15.75" customHeight="1" x14ac:dyDescent="0.2">
      <c r="B906" s="284"/>
    </row>
    <row r="907" spans="2:2" ht="15.75" customHeight="1" x14ac:dyDescent="0.2">
      <c r="B907" s="284"/>
    </row>
    <row r="908" spans="2:2" ht="15.75" customHeight="1" x14ac:dyDescent="0.2">
      <c r="B908" s="284"/>
    </row>
    <row r="909" spans="2:2" ht="15.75" customHeight="1" x14ac:dyDescent="0.2">
      <c r="B909" s="284"/>
    </row>
    <row r="910" spans="2:2" ht="15.75" customHeight="1" x14ac:dyDescent="0.2">
      <c r="B910" s="284"/>
    </row>
    <row r="911" spans="2:2" ht="15.75" customHeight="1" x14ac:dyDescent="0.2">
      <c r="B911" s="284"/>
    </row>
    <row r="912" spans="2:2" ht="15.75" customHeight="1" x14ac:dyDescent="0.2">
      <c r="B912" s="284"/>
    </row>
    <row r="913" spans="2:2" ht="15.75" customHeight="1" x14ac:dyDescent="0.2">
      <c r="B913" s="284"/>
    </row>
    <row r="914" spans="2:2" ht="15.75" customHeight="1" x14ac:dyDescent="0.2">
      <c r="B914" s="284"/>
    </row>
    <row r="915" spans="2:2" ht="15.75" customHeight="1" x14ac:dyDescent="0.2">
      <c r="B915" s="284"/>
    </row>
    <row r="916" spans="2:2" ht="15.75" customHeight="1" x14ac:dyDescent="0.2">
      <c r="B916" s="284"/>
    </row>
    <row r="917" spans="2:2" ht="15.75" customHeight="1" x14ac:dyDescent="0.2">
      <c r="B917" s="284"/>
    </row>
    <row r="918" spans="2:2" ht="15.75" customHeight="1" x14ac:dyDescent="0.2">
      <c r="B918" s="284"/>
    </row>
    <row r="919" spans="2:2" ht="15.75" customHeight="1" x14ac:dyDescent="0.2">
      <c r="B919" s="284"/>
    </row>
    <row r="920" spans="2:2" ht="15.75" customHeight="1" x14ac:dyDescent="0.2">
      <c r="B920" s="284"/>
    </row>
    <row r="921" spans="2:2" ht="15.75" customHeight="1" x14ac:dyDescent="0.2">
      <c r="B921" s="284"/>
    </row>
    <row r="922" spans="2:2" ht="15.75" customHeight="1" x14ac:dyDescent="0.2">
      <c r="B922" s="284"/>
    </row>
    <row r="923" spans="2:2" ht="15.75" customHeight="1" x14ac:dyDescent="0.2">
      <c r="B923" s="284"/>
    </row>
    <row r="924" spans="2:2" ht="15.75" customHeight="1" x14ac:dyDescent="0.2">
      <c r="B924" s="284"/>
    </row>
    <row r="925" spans="2:2" ht="15.75" customHeight="1" x14ac:dyDescent="0.2">
      <c r="B925" s="284"/>
    </row>
    <row r="926" spans="2:2" ht="15.75" customHeight="1" x14ac:dyDescent="0.2">
      <c r="B926" s="284"/>
    </row>
    <row r="927" spans="2:2" ht="15.75" customHeight="1" x14ac:dyDescent="0.2">
      <c r="B927" s="284"/>
    </row>
    <row r="928" spans="2:2" ht="15.75" customHeight="1" x14ac:dyDescent="0.2">
      <c r="B928" s="284"/>
    </row>
    <row r="929" spans="2:2" ht="15.75" customHeight="1" x14ac:dyDescent="0.2">
      <c r="B929" s="284"/>
    </row>
    <row r="930" spans="2:2" ht="15.75" customHeight="1" x14ac:dyDescent="0.2">
      <c r="B930" s="284"/>
    </row>
    <row r="931" spans="2:2" ht="15.75" customHeight="1" x14ac:dyDescent="0.2">
      <c r="B931" s="284"/>
    </row>
    <row r="932" spans="2:2" ht="15.75" customHeight="1" x14ac:dyDescent="0.2">
      <c r="B932" s="284"/>
    </row>
    <row r="933" spans="2:2" ht="15.75" customHeight="1" x14ac:dyDescent="0.2">
      <c r="B933" s="284"/>
    </row>
    <row r="934" spans="2:2" ht="15.75" customHeight="1" x14ac:dyDescent="0.2">
      <c r="B934" s="284"/>
    </row>
    <row r="935" spans="2:2" ht="15.75" customHeight="1" x14ac:dyDescent="0.2">
      <c r="B935" s="284"/>
    </row>
    <row r="936" spans="2:2" ht="15.75" customHeight="1" x14ac:dyDescent="0.2">
      <c r="B936" s="284"/>
    </row>
    <row r="937" spans="2:2" ht="15.75" customHeight="1" x14ac:dyDescent="0.2">
      <c r="B937" s="284"/>
    </row>
    <row r="938" spans="2:2" ht="15.75" customHeight="1" x14ac:dyDescent="0.2">
      <c r="B938" s="284"/>
    </row>
    <row r="939" spans="2:2" ht="15.75" customHeight="1" x14ac:dyDescent="0.2">
      <c r="B939" s="284"/>
    </row>
    <row r="940" spans="2:2" ht="15.75" customHeight="1" x14ac:dyDescent="0.2">
      <c r="B940" s="284"/>
    </row>
    <row r="941" spans="2:2" ht="15.75" customHeight="1" x14ac:dyDescent="0.2">
      <c r="B941" s="284"/>
    </row>
    <row r="942" spans="2:2" ht="15.75" customHeight="1" x14ac:dyDescent="0.2">
      <c r="B942" s="284"/>
    </row>
    <row r="943" spans="2:2" ht="15.75" customHeight="1" x14ac:dyDescent="0.2">
      <c r="B943" s="284"/>
    </row>
    <row r="944" spans="2:2" ht="15.75" customHeight="1" x14ac:dyDescent="0.2">
      <c r="B944" s="284"/>
    </row>
    <row r="945" spans="2:2" ht="15.75" customHeight="1" x14ac:dyDescent="0.2">
      <c r="B945" s="284"/>
    </row>
    <row r="946" spans="2:2" ht="15.75" customHeight="1" x14ac:dyDescent="0.2">
      <c r="B946" s="284"/>
    </row>
    <row r="947" spans="2:2" ht="15.75" customHeight="1" x14ac:dyDescent="0.2">
      <c r="B947" s="284"/>
    </row>
    <row r="948" spans="2:2" ht="15.75" customHeight="1" x14ac:dyDescent="0.2">
      <c r="B948" s="284"/>
    </row>
    <row r="949" spans="2:2" ht="15.75" customHeight="1" x14ac:dyDescent="0.2">
      <c r="B949" s="284"/>
    </row>
    <row r="950" spans="2:2" ht="15.75" customHeight="1" x14ac:dyDescent="0.2">
      <c r="B950" s="284"/>
    </row>
    <row r="951" spans="2:2" ht="15.75" customHeight="1" x14ac:dyDescent="0.2">
      <c r="B951" s="284"/>
    </row>
    <row r="952" spans="2:2" ht="15.75" customHeight="1" x14ac:dyDescent="0.2">
      <c r="B952" s="284"/>
    </row>
    <row r="953" spans="2:2" ht="15.75" customHeight="1" x14ac:dyDescent="0.2">
      <c r="B953" s="284"/>
    </row>
    <row r="954" spans="2:2" ht="15.75" customHeight="1" x14ac:dyDescent="0.2">
      <c r="B954" s="284"/>
    </row>
    <row r="955" spans="2:2" ht="15.75" customHeight="1" x14ac:dyDescent="0.2">
      <c r="B955" s="284"/>
    </row>
    <row r="956" spans="2:2" ht="15.75" customHeight="1" x14ac:dyDescent="0.2">
      <c r="B956" s="284"/>
    </row>
    <row r="957" spans="2:2" ht="15.75" customHeight="1" x14ac:dyDescent="0.2">
      <c r="B957" s="284"/>
    </row>
    <row r="958" spans="2:2" ht="15.75" customHeight="1" x14ac:dyDescent="0.2">
      <c r="B958" s="284"/>
    </row>
    <row r="959" spans="2:2" ht="15.75" customHeight="1" x14ac:dyDescent="0.2">
      <c r="B959" s="284"/>
    </row>
    <row r="960" spans="2:2" ht="15.75" customHeight="1" x14ac:dyDescent="0.2">
      <c r="B960" s="284"/>
    </row>
    <row r="961" spans="2:2" ht="15.75" customHeight="1" x14ac:dyDescent="0.2">
      <c r="B961" s="284"/>
    </row>
    <row r="962" spans="2:2" ht="15.75" customHeight="1" x14ac:dyDescent="0.2">
      <c r="B962" s="284"/>
    </row>
    <row r="963" spans="2:2" ht="15.75" customHeight="1" x14ac:dyDescent="0.2">
      <c r="B963" s="284"/>
    </row>
    <row r="964" spans="2:2" ht="15.75" customHeight="1" x14ac:dyDescent="0.2">
      <c r="B964" s="284"/>
    </row>
    <row r="965" spans="2:2" ht="15.75" customHeight="1" x14ac:dyDescent="0.2">
      <c r="B965" s="284"/>
    </row>
    <row r="966" spans="2:2" ht="15.75" customHeight="1" x14ac:dyDescent="0.2">
      <c r="B966" s="284"/>
    </row>
    <row r="967" spans="2:2" ht="15.75" customHeight="1" x14ac:dyDescent="0.2">
      <c r="B967" s="284"/>
    </row>
    <row r="968" spans="2:2" ht="15.75" customHeight="1" x14ac:dyDescent="0.2">
      <c r="B968" s="284"/>
    </row>
    <row r="969" spans="2:2" ht="15.75" customHeight="1" x14ac:dyDescent="0.2">
      <c r="B969" s="284"/>
    </row>
    <row r="970" spans="2:2" ht="15.75" customHeight="1" x14ac:dyDescent="0.2">
      <c r="B970" s="284"/>
    </row>
    <row r="971" spans="2:2" ht="15.75" customHeight="1" x14ac:dyDescent="0.2">
      <c r="B971" s="284"/>
    </row>
    <row r="972" spans="2:2" ht="15.75" customHeight="1" x14ac:dyDescent="0.2">
      <c r="B972" s="284"/>
    </row>
    <row r="973" spans="2:2" ht="15.75" customHeight="1" x14ac:dyDescent="0.2">
      <c r="B973" s="284"/>
    </row>
    <row r="974" spans="2:2" ht="15.75" customHeight="1" x14ac:dyDescent="0.2">
      <c r="B974" s="284"/>
    </row>
    <row r="975" spans="2:2" ht="15.75" customHeight="1" x14ac:dyDescent="0.2">
      <c r="B975" s="284"/>
    </row>
    <row r="976" spans="2:2" ht="15.75" customHeight="1" x14ac:dyDescent="0.2">
      <c r="B976" s="284"/>
    </row>
    <row r="977" spans="2:2" ht="15.75" customHeight="1" x14ac:dyDescent="0.2">
      <c r="B977" s="284"/>
    </row>
    <row r="978" spans="2:2" ht="15.75" customHeight="1" x14ac:dyDescent="0.2">
      <c r="B978" s="284"/>
    </row>
    <row r="979" spans="2:2" ht="15.75" customHeight="1" x14ac:dyDescent="0.2">
      <c r="B979" s="284"/>
    </row>
    <row r="980" spans="2:2" ht="15.75" customHeight="1" x14ac:dyDescent="0.2">
      <c r="B980" s="284"/>
    </row>
    <row r="981" spans="2:2" ht="15.75" customHeight="1" x14ac:dyDescent="0.2">
      <c r="B981" s="284"/>
    </row>
    <row r="982" spans="2:2" ht="15.75" customHeight="1" x14ac:dyDescent="0.2">
      <c r="B982" s="284"/>
    </row>
    <row r="983" spans="2:2" ht="15.75" customHeight="1" x14ac:dyDescent="0.2">
      <c r="B983" s="284"/>
    </row>
    <row r="984" spans="2:2" ht="15.75" customHeight="1" x14ac:dyDescent="0.2">
      <c r="B984" s="284"/>
    </row>
    <row r="985" spans="2:2" ht="15.75" customHeight="1" x14ac:dyDescent="0.2">
      <c r="B985" s="284"/>
    </row>
    <row r="986" spans="2:2" ht="15.75" customHeight="1" x14ac:dyDescent="0.2">
      <c r="B986" s="284"/>
    </row>
    <row r="987" spans="2:2" ht="15.75" customHeight="1" x14ac:dyDescent="0.2">
      <c r="B987" s="284"/>
    </row>
    <row r="988" spans="2:2" ht="15.75" customHeight="1" x14ac:dyDescent="0.2">
      <c r="B988" s="284"/>
    </row>
    <row r="989" spans="2:2" ht="15.75" customHeight="1" x14ac:dyDescent="0.2">
      <c r="B989" s="284"/>
    </row>
    <row r="990" spans="2:2" ht="15.75" customHeight="1" x14ac:dyDescent="0.2">
      <c r="B990" s="284"/>
    </row>
    <row r="991" spans="2:2" ht="15.75" customHeight="1" x14ac:dyDescent="0.2">
      <c r="B991" s="284"/>
    </row>
    <row r="992" spans="2:2" ht="15.75" customHeight="1" x14ac:dyDescent="0.2">
      <c r="B992" s="284"/>
    </row>
    <row r="993" spans="2:2" ht="15.75" customHeight="1" x14ac:dyDescent="0.2">
      <c r="B993" s="284"/>
    </row>
    <row r="994" spans="2:2" ht="15.75" customHeight="1" x14ac:dyDescent="0.2">
      <c r="B994" s="284"/>
    </row>
    <row r="995" spans="2:2" ht="15.75" customHeight="1" x14ac:dyDescent="0.2">
      <c r="B995" s="284"/>
    </row>
    <row r="996" spans="2:2" ht="15.75" customHeight="1" x14ac:dyDescent="0.2">
      <c r="B996" s="284"/>
    </row>
    <row r="997" spans="2:2" ht="15.75" customHeight="1" x14ac:dyDescent="0.2">
      <c r="B997" s="284"/>
    </row>
    <row r="998" spans="2:2" ht="15.75" customHeight="1" x14ac:dyDescent="0.2">
      <c r="B998" s="284"/>
    </row>
    <row r="999" spans="2:2" ht="15.75" customHeight="1" x14ac:dyDescent="0.2">
      <c r="B999" s="284"/>
    </row>
    <row r="1000" spans="2:2" ht="15.75" customHeight="1" x14ac:dyDescent="0.2">
      <c r="B1000" s="284"/>
    </row>
  </sheetData>
  <mergeCells count="9">
    <mergeCell ref="A47:D47"/>
    <mergeCell ref="A49:D49"/>
    <mergeCell ref="A56:D56"/>
    <mergeCell ref="A63:D63"/>
    <mergeCell ref="A1:D1"/>
    <mergeCell ref="A2:D2"/>
    <mergeCell ref="A4:D4"/>
    <mergeCell ref="A21:D21"/>
    <mergeCell ref="A36:D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1000"/>
  <sheetViews>
    <sheetView showGridLines="0" zoomScaleNormal="100" workbookViewId="0"/>
  </sheetViews>
  <sheetFormatPr baseColWidth="10" defaultColWidth="14.5" defaultRowHeight="15" customHeight="1" x14ac:dyDescent="0.2"/>
  <cols>
    <col min="1" max="1" width="5" customWidth="1"/>
    <col min="2" max="2" width="8" customWidth="1"/>
    <col min="3" max="3" width="55" customWidth="1"/>
    <col min="4" max="4" width="18" customWidth="1"/>
    <col min="5" max="5" width="30" customWidth="1"/>
    <col min="6" max="6" width="15" customWidth="1"/>
    <col min="7" max="7" width="73.1640625" customWidth="1"/>
    <col min="8" max="26" width="8.83203125" customWidth="1"/>
  </cols>
  <sheetData>
    <row r="1" spans="1:7" ht="30" customHeight="1" x14ac:dyDescent="0.2">
      <c r="A1" s="316" t="s">
        <v>1045</v>
      </c>
      <c r="B1" s="316"/>
      <c r="C1" s="316"/>
      <c r="D1" s="316"/>
      <c r="E1" s="316"/>
      <c r="F1" s="316"/>
      <c r="G1" s="316"/>
    </row>
    <row r="2" spans="1:7" ht="15" customHeight="1" x14ac:dyDescent="0.2">
      <c r="A2" s="317" t="s">
        <v>1046</v>
      </c>
      <c r="B2" s="317"/>
      <c r="C2" s="317"/>
      <c r="D2" s="317"/>
      <c r="E2" s="317"/>
      <c r="F2" s="317"/>
      <c r="G2" s="317"/>
    </row>
    <row r="4" spans="1:7" ht="24.75" customHeight="1" x14ac:dyDescent="0.2">
      <c r="A4" s="318" t="s">
        <v>1047</v>
      </c>
      <c r="B4" s="318"/>
      <c r="C4" s="318"/>
      <c r="D4" s="318"/>
      <c r="E4" s="318"/>
      <c r="F4" s="318"/>
      <c r="G4" s="318"/>
    </row>
    <row r="5" spans="1:7" ht="21.75" customHeight="1" x14ac:dyDescent="0.2">
      <c r="A5" s="291" t="s">
        <v>879</v>
      </c>
      <c r="B5" s="291" t="s">
        <v>1048</v>
      </c>
      <c r="C5" s="291" t="s">
        <v>1049</v>
      </c>
      <c r="D5" s="291" t="s">
        <v>980</v>
      </c>
      <c r="E5" s="291" t="s">
        <v>1050</v>
      </c>
      <c r="F5" s="291" t="s">
        <v>1051</v>
      </c>
      <c r="G5" s="291" t="s">
        <v>1052</v>
      </c>
    </row>
    <row r="6" spans="1:7" ht="34.5" customHeight="1" x14ac:dyDescent="0.2">
      <c r="A6" s="292">
        <v>1</v>
      </c>
      <c r="B6" s="293" t="s">
        <v>1053</v>
      </c>
      <c r="C6" s="292" t="s">
        <v>1054</v>
      </c>
      <c r="D6" s="292" t="s">
        <v>1055</v>
      </c>
      <c r="E6" s="292" t="s">
        <v>1056</v>
      </c>
      <c r="F6" s="292" t="s">
        <v>1057</v>
      </c>
      <c r="G6" s="292" t="s">
        <v>1058</v>
      </c>
    </row>
    <row r="7" spans="1:7" ht="34.5" customHeight="1" x14ac:dyDescent="0.2">
      <c r="A7" s="292">
        <v>2</v>
      </c>
      <c r="B7" s="293" t="s">
        <v>1053</v>
      </c>
      <c r="C7" s="292" t="s">
        <v>1059</v>
      </c>
      <c r="D7" s="292" t="s">
        <v>1060</v>
      </c>
      <c r="E7" s="292" t="s">
        <v>1061</v>
      </c>
      <c r="F7" s="292" t="s">
        <v>1057</v>
      </c>
      <c r="G7" s="292" t="s">
        <v>1062</v>
      </c>
    </row>
    <row r="8" spans="1:7" ht="34.5" customHeight="1" x14ac:dyDescent="0.2">
      <c r="A8" s="292">
        <v>3</v>
      </c>
      <c r="B8" s="293" t="s">
        <v>1053</v>
      </c>
      <c r="C8" s="292" t="s">
        <v>1063</v>
      </c>
      <c r="D8" s="292" t="s">
        <v>1064</v>
      </c>
      <c r="E8" s="292" t="s">
        <v>1065</v>
      </c>
      <c r="F8" s="292" t="s">
        <v>1057</v>
      </c>
      <c r="G8" s="292" t="s">
        <v>1066</v>
      </c>
    </row>
    <row r="9" spans="1:7" ht="34.5" customHeight="1" x14ac:dyDescent="0.2">
      <c r="A9" s="292">
        <v>4</v>
      </c>
      <c r="B9" s="293" t="s">
        <v>1053</v>
      </c>
      <c r="C9" s="292" t="s">
        <v>1067</v>
      </c>
      <c r="D9" s="292" t="s">
        <v>1064</v>
      </c>
      <c r="E9" s="292" t="s">
        <v>1056</v>
      </c>
      <c r="F9" s="292" t="s">
        <v>1068</v>
      </c>
      <c r="G9" s="292" t="s">
        <v>949</v>
      </c>
    </row>
    <row r="10" spans="1:7" ht="34.5" customHeight="1" x14ac:dyDescent="0.2">
      <c r="A10" s="292">
        <v>5</v>
      </c>
      <c r="B10" s="293" t="s">
        <v>1053</v>
      </c>
      <c r="C10" s="292" t="s">
        <v>1069</v>
      </c>
      <c r="D10" s="292" t="s">
        <v>1055</v>
      </c>
      <c r="E10" s="292" t="s">
        <v>1056</v>
      </c>
      <c r="F10" s="292" t="s">
        <v>1068</v>
      </c>
      <c r="G10" s="292" t="s">
        <v>949</v>
      </c>
    </row>
    <row r="11" spans="1:7" ht="34.5" customHeight="1" x14ac:dyDescent="0.2">
      <c r="A11" s="294">
        <v>6</v>
      </c>
      <c r="B11" s="295" t="s">
        <v>1070</v>
      </c>
      <c r="C11" s="294" t="s">
        <v>1071</v>
      </c>
      <c r="D11" s="292" t="s">
        <v>1064</v>
      </c>
      <c r="E11" s="294" t="s">
        <v>1072</v>
      </c>
      <c r="F11" s="294" t="s">
        <v>1068</v>
      </c>
      <c r="G11" s="294" t="s">
        <v>1073</v>
      </c>
    </row>
    <row r="12" spans="1:7" ht="34.5" customHeight="1" x14ac:dyDescent="0.2">
      <c r="A12" s="294">
        <v>7</v>
      </c>
      <c r="B12" s="295" t="s">
        <v>1070</v>
      </c>
      <c r="C12" s="294" t="s">
        <v>1074</v>
      </c>
      <c r="D12" s="292" t="s">
        <v>1055</v>
      </c>
      <c r="E12" s="294" t="s">
        <v>1056</v>
      </c>
      <c r="F12" s="294" t="s">
        <v>1068</v>
      </c>
      <c r="G12" s="294" t="s">
        <v>949</v>
      </c>
    </row>
    <row r="13" spans="1:7" ht="34.5" customHeight="1" x14ac:dyDescent="0.2">
      <c r="A13" s="294">
        <v>8</v>
      </c>
      <c r="B13" s="295" t="s">
        <v>1070</v>
      </c>
      <c r="C13" s="294" t="s">
        <v>1075</v>
      </c>
      <c r="D13" s="292" t="s">
        <v>1055</v>
      </c>
      <c r="E13" s="294" t="s">
        <v>1076</v>
      </c>
      <c r="F13" s="294" t="s">
        <v>1068</v>
      </c>
      <c r="G13" s="294" t="s">
        <v>1077</v>
      </c>
    </row>
    <row r="14" spans="1:7" ht="34.5" customHeight="1" x14ac:dyDescent="0.2">
      <c r="A14" s="294">
        <v>9</v>
      </c>
      <c r="B14" s="295" t="s">
        <v>1070</v>
      </c>
      <c r="C14" s="294" t="s">
        <v>1078</v>
      </c>
      <c r="D14" s="292" t="s">
        <v>1064</v>
      </c>
      <c r="E14" s="294" t="s">
        <v>1056</v>
      </c>
      <c r="F14" s="294" t="s">
        <v>1068</v>
      </c>
      <c r="G14" s="294" t="s">
        <v>949</v>
      </c>
    </row>
    <row r="15" spans="1:7" ht="34.5" customHeight="1" x14ac:dyDescent="0.2">
      <c r="A15" s="292">
        <v>10</v>
      </c>
      <c r="B15" s="293" t="s">
        <v>1053</v>
      </c>
      <c r="C15" s="292" t="s">
        <v>1079</v>
      </c>
      <c r="D15" s="292" t="s">
        <v>1055</v>
      </c>
      <c r="E15" s="292" t="s">
        <v>194</v>
      </c>
      <c r="F15" s="292" t="s">
        <v>1080</v>
      </c>
      <c r="G15" s="292" t="s">
        <v>1081</v>
      </c>
    </row>
    <row r="16" spans="1:7" ht="34.5" customHeight="1" x14ac:dyDescent="0.2">
      <c r="A16" s="292">
        <v>11</v>
      </c>
      <c r="B16" s="293" t="s">
        <v>1053</v>
      </c>
      <c r="C16" s="292" t="s">
        <v>1082</v>
      </c>
      <c r="D16" s="292" t="s">
        <v>1060</v>
      </c>
      <c r="E16" s="292" t="s">
        <v>1083</v>
      </c>
      <c r="F16" s="292" t="s">
        <v>1084</v>
      </c>
      <c r="G16" s="292" t="s">
        <v>949</v>
      </c>
    </row>
    <row r="18" spans="1:7" ht="24.75" customHeight="1" x14ac:dyDescent="0.2">
      <c r="A18" s="318" t="s">
        <v>1085</v>
      </c>
      <c r="B18" s="318"/>
      <c r="C18" s="318"/>
      <c r="D18" s="318"/>
      <c r="E18" s="318"/>
      <c r="F18" s="318"/>
      <c r="G18" s="318"/>
    </row>
    <row r="19" spans="1:7" ht="21.75" customHeight="1" x14ac:dyDescent="0.2">
      <c r="A19" s="291" t="s">
        <v>879</v>
      </c>
      <c r="B19" s="291" t="s">
        <v>1048</v>
      </c>
      <c r="C19" s="291" t="s">
        <v>1049</v>
      </c>
      <c r="D19" s="291" t="s">
        <v>980</v>
      </c>
      <c r="E19" s="291" t="s">
        <v>1050</v>
      </c>
      <c r="F19" s="291" t="s">
        <v>1051</v>
      </c>
      <c r="G19" s="291" t="s">
        <v>1052</v>
      </c>
    </row>
    <row r="20" spans="1:7" ht="91.5" customHeight="1" x14ac:dyDescent="0.2">
      <c r="A20" s="292">
        <v>12</v>
      </c>
      <c r="B20" s="293" t="s">
        <v>1053</v>
      </c>
      <c r="C20" s="292" t="s">
        <v>1086</v>
      </c>
      <c r="D20" s="292" t="s">
        <v>1060</v>
      </c>
      <c r="E20" s="292" t="s">
        <v>1087</v>
      </c>
      <c r="F20" s="292" t="s">
        <v>1088</v>
      </c>
      <c r="G20" s="292" t="s">
        <v>1089</v>
      </c>
    </row>
    <row r="21" spans="1:7" ht="34.5" customHeight="1" x14ac:dyDescent="0.2">
      <c r="A21" s="294">
        <v>13</v>
      </c>
      <c r="B21" s="295" t="s">
        <v>1070</v>
      </c>
      <c r="C21" s="294" t="s">
        <v>1090</v>
      </c>
      <c r="D21" s="294" t="s">
        <v>1060</v>
      </c>
      <c r="E21" s="294" t="s">
        <v>1087</v>
      </c>
      <c r="F21" s="294" t="s">
        <v>1091</v>
      </c>
      <c r="G21" s="294" t="s">
        <v>949</v>
      </c>
    </row>
    <row r="22" spans="1:7" ht="15.75" customHeight="1" x14ac:dyDescent="0.2"/>
    <row r="23" spans="1:7" ht="24.75" customHeight="1" x14ac:dyDescent="0.2">
      <c r="A23" s="318" t="s">
        <v>1092</v>
      </c>
      <c r="B23" s="318"/>
      <c r="C23" s="318"/>
      <c r="D23" s="318"/>
      <c r="E23" s="318"/>
      <c r="F23" s="318"/>
      <c r="G23" s="318"/>
    </row>
    <row r="24" spans="1:7" ht="15.75" customHeight="1" x14ac:dyDescent="0.2"/>
    <row r="25" spans="1:7" ht="15.75" customHeight="1" x14ac:dyDescent="0.2">
      <c r="A25" s="319" t="s">
        <v>1093</v>
      </c>
      <c r="B25" s="319"/>
      <c r="C25" s="319"/>
      <c r="D25" s="319"/>
      <c r="E25" s="319"/>
      <c r="F25" s="319"/>
      <c r="G25" s="319"/>
    </row>
    <row r="26" spans="1:7" ht="15.75" customHeight="1" x14ac:dyDescent="0.2">
      <c r="A26" s="291" t="s">
        <v>879</v>
      </c>
      <c r="B26" s="291"/>
      <c r="C26" s="291" t="s">
        <v>1094</v>
      </c>
      <c r="D26" s="291" t="s">
        <v>980</v>
      </c>
      <c r="E26" s="291" t="s">
        <v>1095</v>
      </c>
      <c r="F26" s="291" t="s">
        <v>1096</v>
      </c>
      <c r="G26" s="291" t="s">
        <v>1097</v>
      </c>
    </row>
    <row r="27" spans="1:7" ht="30" customHeight="1" x14ac:dyDescent="0.2">
      <c r="A27" s="296" t="s">
        <v>1098</v>
      </c>
      <c r="C27" s="294" t="s">
        <v>1099</v>
      </c>
      <c r="D27" s="294" t="s">
        <v>1100</v>
      </c>
      <c r="E27" s="287"/>
      <c r="F27" s="297" t="s">
        <v>949</v>
      </c>
      <c r="G27" s="298" t="s">
        <v>1101</v>
      </c>
    </row>
    <row r="28" spans="1:7" ht="30" customHeight="1" x14ac:dyDescent="0.2">
      <c r="A28" s="296" t="s">
        <v>1102</v>
      </c>
      <c r="C28" s="294" t="s">
        <v>1103</v>
      </c>
      <c r="D28" s="294" t="s">
        <v>1100</v>
      </c>
      <c r="E28" s="287"/>
      <c r="F28" s="297" t="s">
        <v>949</v>
      </c>
      <c r="G28" s="298" t="s">
        <v>1104</v>
      </c>
    </row>
    <row r="29" spans="1:7" ht="30" customHeight="1" x14ac:dyDescent="0.2">
      <c r="A29" s="296" t="s">
        <v>1105</v>
      </c>
      <c r="C29" s="294" t="s">
        <v>1106</v>
      </c>
      <c r="D29" s="294" t="s">
        <v>1100</v>
      </c>
      <c r="E29" s="287"/>
      <c r="F29" s="297" t="s">
        <v>949</v>
      </c>
      <c r="G29" s="298" t="s">
        <v>1107</v>
      </c>
    </row>
    <row r="30" spans="1:7" ht="30" customHeight="1" x14ac:dyDescent="0.2">
      <c r="A30" s="296" t="s">
        <v>1108</v>
      </c>
      <c r="C30" s="294" t="s">
        <v>897</v>
      </c>
      <c r="D30" s="294" t="s">
        <v>1109</v>
      </c>
      <c r="E30" s="287"/>
      <c r="F30" s="297" t="s">
        <v>949</v>
      </c>
      <c r="G30" s="298" t="s">
        <v>1110</v>
      </c>
    </row>
    <row r="31" spans="1:7" ht="30" customHeight="1" x14ac:dyDescent="0.2">
      <c r="A31" s="296" t="s">
        <v>1111</v>
      </c>
      <c r="C31" s="294" t="s">
        <v>901</v>
      </c>
      <c r="D31" s="294" t="s">
        <v>1060</v>
      </c>
      <c r="E31" s="287"/>
      <c r="F31" s="297" t="s">
        <v>949</v>
      </c>
      <c r="G31" s="298" t="s">
        <v>1112</v>
      </c>
    </row>
    <row r="32" spans="1:7" ht="30" customHeight="1" x14ac:dyDescent="0.2">
      <c r="A32" s="296" t="s">
        <v>1113</v>
      </c>
      <c r="C32" s="294" t="s">
        <v>905</v>
      </c>
      <c r="D32" s="294" t="s">
        <v>1060</v>
      </c>
      <c r="E32" s="287"/>
      <c r="F32" s="297" t="s">
        <v>949</v>
      </c>
      <c r="G32" s="298" t="s">
        <v>1114</v>
      </c>
    </row>
    <row r="33" spans="1:7" ht="30" customHeight="1" x14ac:dyDescent="0.2">
      <c r="A33" s="296" t="s">
        <v>1115</v>
      </c>
      <c r="C33" s="294" t="s">
        <v>909</v>
      </c>
      <c r="D33" s="294" t="s">
        <v>1060</v>
      </c>
      <c r="E33" s="287"/>
      <c r="F33" s="297" t="s">
        <v>949</v>
      </c>
      <c r="G33" s="298"/>
    </row>
    <row r="34" spans="1:7" ht="30" customHeight="1" x14ac:dyDescent="0.2">
      <c r="A34" s="296" t="s">
        <v>1116</v>
      </c>
      <c r="C34" s="294" t="s">
        <v>1117</v>
      </c>
      <c r="D34" s="294" t="s">
        <v>1060</v>
      </c>
      <c r="E34" s="287"/>
      <c r="F34" s="297" t="s">
        <v>949</v>
      </c>
      <c r="G34" s="298" t="s">
        <v>1118</v>
      </c>
    </row>
    <row r="35" spans="1:7" ht="30" customHeight="1" x14ac:dyDescent="0.2">
      <c r="A35" s="296" t="s">
        <v>1119</v>
      </c>
      <c r="C35" s="294" t="s">
        <v>917</v>
      </c>
      <c r="D35" s="294" t="s">
        <v>1100</v>
      </c>
      <c r="E35" s="287"/>
      <c r="F35" s="297" t="s">
        <v>949</v>
      </c>
      <c r="G35" s="298"/>
    </row>
    <row r="36" spans="1:7" ht="30" customHeight="1" x14ac:dyDescent="0.2">
      <c r="A36" s="296" t="s">
        <v>1120</v>
      </c>
      <c r="C36" s="294" t="s">
        <v>921</v>
      </c>
      <c r="D36" s="294" t="s">
        <v>1121</v>
      </c>
      <c r="E36" s="287"/>
      <c r="F36" s="297" t="s">
        <v>949</v>
      </c>
      <c r="G36" s="298"/>
    </row>
    <row r="37" spans="1:7" ht="30" customHeight="1" x14ac:dyDescent="0.2">
      <c r="A37" s="296" t="s">
        <v>1122</v>
      </c>
      <c r="C37" s="294" t="s">
        <v>1123</v>
      </c>
      <c r="D37" s="294" t="s">
        <v>1060</v>
      </c>
      <c r="E37" s="287"/>
      <c r="F37" s="297" t="s">
        <v>949</v>
      </c>
      <c r="G37" s="298" t="s">
        <v>1124</v>
      </c>
    </row>
    <row r="38" spans="1:7" ht="30" customHeight="1" x14ac:dyDescent="0.2">
      <c r="A38" s="296" t="s">
        <v>1125</v>
      </c>
      <c r="C38" s="294" t="s">
        <v>929</v>
      </c>
      <c r="D38" s="294" t="s">
        <v>1121</v>
      </c>
      <c r="E38" s="287"/>
      <c r="F38" s="297" t="s">
        <v>949</v>
      </c>
      <c r="G38" s="298"/>
    </row>
    <row r="39" spans="1:7" ht="30" customHeight="1" x14ac:dyDescent="0.2">
      <c r="A39" s="296" t="s">
        <v>1126</v>
      </c>
      <c r="C39" s="294" t="s">
        <v>1127</v>
      </c>
      <c r="D39" s="294" t="s">
        <v>1100</v>
      </c>
      <c r="E39" s="287"/>
      <c r="F39" s="297" t="s">
        <v>949</v>
      </c>
      <c r="G39" s="298" t="s">
        <v>1128</v>
      </c>
    </row>
    <row r="40" spans="1:7" ht="30" customHeight="1" x14ac:dyDescent="0.2">
      <c r="A40" s="296" t="s">
        <v>1129</v>
      </c>
      <c r="C40" s="294" t="s">
        <v>1130</v>
      </c>
      <c r="D40" s="294" t="s">
        <v>1121</v>
      </c>
      <c r="E40" s="287"/>
      <c r="F40" s="297" t="s">
        <v>949</v>
      </c>
      <c r="G40" s="298" t="s">
        <v>1131</v>
      </c>
    </row>
    <row r="41" spans="1:7" ht="30" customHeight="1" x14ac:dyDescent="0.2">
      <c r="A41" s="296" t="s">
        <v>1132</v>
      </c>
      <c r="C41" s="294" t="s">
        <v>941</v>
      </c>
      <c r="D41" s="294" t="s">
        <v>1121</v>
      </c>
      <c r="E41" s="287"/>
      <c r="F41" s="297" t="s">
        <v>949</v>
      </c>
      <c r="G41" s="298" t="s">
        <v>1133</v>
      </c>
    </row>
    <row r="42" spans="1:7" ht="15.75" customHeight="1" x14ac:dyDescent="0.2"/>
    <row r="43" spans="1:7" ht="15.75" customHeight="1" x14ac:dyDescent="0.2">
      <c r="A43" s="319" t="s">
        <v>1134</v>
      </c>
      <c r="B43" s="319"/>
      <c r="C43" s="319"/>
      <c r="D43" s="319"/>
      <c r="E43" s="319"/>
      <c r="F43" s="319"/>
      <c r="G43" s="319"/>
    </row>
    <row r="44" spans="1:7" ht="15.75" customHeight="1" x14ac:dyDescent="0.2">
      <c r="A44" s="291" t="s">
        <v>879</v>
      </c>
      <c r="B44" s="291"/>
      <c r="C44" s="291" t="s">
        <v>1135</v>
      </c>
      <c r="D44" s="291" t="s">
        <v>980</v>
      </c>
      <c r="E44" s="291" t="s">
        <v>1136</v>
      </c>
      <c r="F44" s="291" t="s">
        <v>1096</v>
      </c>
      <c r="G44" s="291" t="s">
        <v>1137</v>
      </c>
    </row>
    <row r="45" spans="1:7" ht="30" customHeight="1" x14ac:dyDescent="0.2">
      <c r="A45" s="296" t="s">
        <v>1138</v>
      </c>
      <c r="C45" s="294" t="s">
        <v>944</v>
      </c>
      <c r="D45" s="294" t="s">
        <v>1060</v>
      </c>
      <c r="E45" s="287"/>
      <c r="F45" s="297" t="s">
        <v>949</v>
      </c>
      <c r="G45" s="298" t="s">
        <v>1139</v>
      </c>
    </row>
    <row r="46" spans="1:7" ht="30" customHeight="1" x14ac:dyDescent="0.2">
      <c r="A46" s="296" t="s">
        <v>1140</v>
      </c>
      <c r="C46" s="294" t="s">
        <v>947</v>
      </c>
      <c r="D46" s="294" t="s">
        <v>1060</v>
      </c>
      <c r="E46" s="287"/>
      <c r="F46" s="297" t="s">
        <v>949</v>
      </c>
      <c r="G46" s="298"/>
    </row>
    <row r="47" spans="1:7" ht="30" customHeight="1" x14ac:dyDescent="0.2">
      <c r="A47" s="296" t="s">
        <v>1141</v>
      </c>
      <c r="C47" s="294" t="s">
        <v>950</v>
      </c>
      <c r="D47" s="294" t="s">
        <v>1060</v>
      </c>
      <c r="E47" s="287"/>
      <c r="F47" s="297" t="s">
        <v>949</v>
      </c>
      <c r="G47" s="298" t="s">
        <v>1142</v>
      </c>
    </row>
    <row r="48" spans="1:7" ht="30" customHeight="1" x14ac:dyDescent="0.2">
      <c r="A48" s="296" t="s">
        <v>1143</v>
      </c>
      <c r="C48" s="294" t="s">
        <v>952</v>
      </c>
      <c r="D48" s="294" t="s">
        <v>1060</v>
      </c>
      <c r="E48" s="287"/>
      <c r="F48" s="297" t="s">
        <v>949</v>
      </c>
      <c r="G48" s="298" t="s">
        <v>1144</v>
      </c>
    </row>
    <row r="49" spans="1:7" ht="30" customHeight="1" x14ac:dyDescent="0.2">
      <c r="A49" s="296" t="s">
        <v>1145</v>
      </c>
      <c r="C49" s="294" t="s">
        <v>954</v>
      </c>
      <c r="D49" s="294" t="s">
        <v>1060</v>
      </c>
      <c r="E49" s="287"/>
      <c r="F49" s="297" t="s">
        <v>949</v>
      </c>
      <c r="G49" s="298" t="s">
        <v>1146</v>
      </c>
    </row>
    <row r="50" spans="1:7" ht="30" customHeight="1" x14ac:dyDescent="0.2">
      <c r="A50" s="296" t="s">
        <v>1147</v>
      </c>
      <c r="C50" s="294" t="s">
        <v>956</v>
      </c>
      <c r="D50" s="294" t="s">
        <v>1060</v>
      </c>
      <c r="E50" s="287"/>
      <c r="F50" s="297" t="s">
        <v>949</v>
      </c>
      <c r="G50" s="298" t="s">
        <v>1148</v>
      </c>
    </row>
    <row r="51" spans="1:7" ht="30" customHeight="1" x14ac:dyDescent="0.2">
      <c r="A51" s="296" t="s">
        <v>1149</v>
      </c>
      <c r="C51" s="294" t="s">
        <v>959</v>
      </c>
      <c r="D51" s="294" t="s">
        <v>1060</v>
      </c>
      <c r="E51" s="287"/>
      <c r="F51" s="297" t="s">
        <v>949</v>
      </c>
      <c r="G51" s="298"/>
    </row>
    <row r="52" spans="1:7" ht="30" customHeight="1" x14ac:dyDescent="0.2">
      <c r="A52" s="296" t="s">
        <v>1150</v>
      </c>
      <c r="C52" s="294" t="s">
        <v>1151</v>
      </c>
      <c r="D52" s="294" t="s">
        <v>1060</v>
      </c>
      <c r="E52" s="287"/>
      <c r="F52" s="297" t="s">
        <v>949</v>
      </c>
      <c r="G52" s="298" t="s">
        <v>1152</v>
      </c>
    </row>
    <row r="53" spans="1:7" ht="30" customHeight="1" x14ac:dyDescent="0.2">
      <c r="A53" s="296" t="s">
        <v>1153</v>
      </c>
      <c r="C53" s="294" t="s">
        <v>964</v>
      </c>
      <c r="D53" s="294" t="s">
        <v>1060</v>
      </c>
      <c r="E53" s="287"/>
      <c r="F53" s="297" t="s">
        <v>949</v>
      </c>
      <c r="G53" s="298"/>
    </row>
    <row r="54" spans="1:7" ht="30" customHeight="1" x14ac:dyDescent="0.2">
      <c r="A54" s="296" t="s">
        <v>1154</v>
      </c>
      <c r="C54" s="294" t="s">
        <v>1155</v>
      </c>
      <c r="D54" s="294" t="s">
        <v>1060</v>
      </c>
      <c r="E54" s="287"/>
      <c r="F54" s="297" t="s">
        <v>949</v>
      </c>
      <c r="G54" s="298" t="s">
        <v>1156</v>
      </c>
    </row>
    <row r="55" spans="1:7" ht="30" customHeight="1" x14ac:dyDescent="0.2">
      <c r="A55" s="296" t="s">
        <v>1157</v>
      </c>
      <c r="C55" s="294" t="s">
        <v>1158</v>
      </c>
      <c r="D55" s="294" t="s">
        <v>1060</v>
      </c>
      <c r="E55" s="287"/>
      <c r="F55" s="297" t="s">
        <v>949</v>
      </c>
      <c r="G55" s="298" t="s">
        <v>1159</v>
      </c>
    </row>
    <row r="56" spans="1:7" ht="30" customHeight="1" x14ac:dyDescent="0.2">
      <c r="A56" s="296" t="s">
        <v>1160</v>
      </c>
      <c r="C56" s="294" t="s">
        <v>1161</v>
      </c>
      <c r="D56" s="294" t="s">
        <v>1060</v>
      </c>
      <c r="E56" s="287"/>
      <c r="F56" s="297" t="s">
        <v>949</v>
      </c>
      <c r="G56" s="298" t="s">
        <v>1162</v>
      </c>
    </row>
    <row r="57" spans="1:7" ht="30" customHeight="1" x14ac:dyDescent="0.2">
      <c r="A57" s="296" t="s">
        <v>1163</v>
      </c>
      <c r="C57" s="294" t="s">
        <v>973</v>
      </c>
      <c r="D57" s="294" t="s">
        <v>1060</v>
      </c>
      <c r="E57" s="287"/>
      <c r="F57" s="297" t="s">
        <v>949</v>
      </c>
      <c r="G57" s="298" t="s">
        <v>1164</v>
      </c>
    </row>
    <row r="58" spans="1:7" ht="15.75" customHeight="1" x14ac:dyDescent="0.2"/>
    <row r="59" spans="1:7" ht="24.75" customHeight="1" x14ac:dyDescent="0.2">
      <c r="A59" s="318" t="s">
        <v>1165</v>
      </c>
      <c r="B59" s="318"/>
      <c r="C59" s="318"/>
      <c r="D59" s="318"/>
      <c r="E59" s="318"/>
      <c r="F59" s="318"/>
      <c r="G59" s="318"/>
    </row>
    <row r="60" spans="1:7" ht="21.75" customHeight="1" x14ac:dyDescent="0.2">
      <c r="A60" s="291" t="s">
        <v>879</v>
      </c>
      <c r="B60" s="291" t="s">
        <v>1048</v>
      </c>
      <c r="C60" s="291" t="s">
        <v>1166</v>
      </c>
      <c r="D60" s="291" t="s">
        <v>980</v>
      </c>
      <c r="E60" s="291" t="s">
        <v>1050</v>
      </c>
      <c r="F60" s="291" t="s">
        <v>1051</v>
      </c>
      <c r="G60" s="291" t="s">
        <v>1052</v>
      </c>
    </row>
    <row r="61" spans="1:7" ht="39.75" customHeight="1" x14ac:dyDescent="0.2">
      <c r="A61" s="299">
        <v>14</v>
      </c>
      <c r="B61" s="300" t="s">
        <v>1053</v>
      </c>
      <c r="C61" s="292" t="s">
        <v>1167</v>
      </c>
      <c r="D61" s="294" t="s">
        <v>1100</v>
      </c>
      <c r="E61" s="294" t="s">
        <v>1056</v>
      </c>
      <c r="F61" s="301" t="s">
        <v>1168</v>
      </c>
      <c r="G61" s="294" t="s">
        <v>1169</v>
      </c>
    </row>
    <row r="62" spans="1:7" ht="39.75" customHeight="1" x14ac:dyDescent="0.2">
      <c r="A62" s="299">
        <v>15</v>
      </c>
      <c r="B62" s="300" t="s">
        <v>1053</v>
      </c>
      <c r="C62" s="292" t="s">
        <v>1170</v>
      </c>
      <c r="D62" s="294" t="s">
        <v>1100</v>
      </c>
      <c r="E62" s="294" t="s">
        <v>1056</v>
      </c>
      <c r="F62" s="301" t="s">
        <v>1168</v>
      </c>
      <c r="G62" s="294" t="s">
        <v>1171</v>
      </c>
    </row>
    <row r="63" spans="1:7" ht="39.75" customHeight="1" x14ac:dyDescent="0.2">
      <c r="A63" s="299">
        <v>16</v>
      </c>
      <c r="B63" s="300" t="s">
        <v>1053</v>
      </c>
      <c r="C63" s="292" t="s">
        <v>1172</v>
      </c>
      <c r="D63" s="294" t="s">
        <v>1100</v>
      </c>
      <c r="E63" s="294" t="s">
        <v>1056</v>
      </c>
      <c r="F63" s="301" t="s">
        <v>1168</v>
      </c>
      <c r="G63" s="294" t="s">
        <v>1173</v>
      </c>
    </row>
    <row r="64" spans="1:7" ht="39.75" customHeight="1" x14ac:dyDescent="0.2">
      <c r="A64" s="299">
        <v>17</v>
      </c>
      <c r="B64" s="300" t="s">
        <v>1053</v>
      </c>
      <c r="C64" s="292" t="s">
        <v>1174</v>
      </c>
      <c r="D64" s="294" t="s">
        <v>1100</v>
      </c>
      <c r="E64" s="294" t="s">
        <v>1175</v>
      </c>
      <c r="F64" s="301" t="s">
        <v>1168</v>
      </c>
      <c r="G64" s="294" t="s">
        <v>1176</v>
      </c>
    </row>
    <row r="65" spans="1:7" ht="39.75" customHeight="1" x14ac:dyDescent="0.2">
      <c r="A65" s="299">
        <v>18</v>
      </c>
      <c r="B65" s="300" t="s">
        <v>1053</v>
      </c>
      <c r="C65" s="292" t="s">
        <v>1177</v>
      </c>
      <c r="D65" s="294" t="s">
        <v>1100</v>
      </c>
      <c r="E65" s="294" t="s">
        <v>1056</v>
      </c>
      <c r="F65" s="301" t="s">
        <v>1168</v>
      </c>
      <c r="G65" s="294" t="s">
        <v>1178</v>
      </c>
    </row>
    <row r="66" spans="1:7" ht="39.75" customHeight="1" x14ac:dyDescent="0.2">
      <c r="A66" s="299">
        <v>19</v>
      </c>
      <c r="B66" s="300" t="s">
        <v>1053</v>
      </c>
      <c r="C66" s="292" t="s">
        <v>1179</v>
      </c>
      <c r="D66" s="294" t="s">
        <v>1060</v>
      </c>
      <c r="E66" s="294" t="s">
        <v>1180</v>
      </c>
      <c r="F66" s="301" t="s">
        <v>1168</v>
      </c>
      <c r="G66" s="294" t="s">
        <v>1181</v>
      </c>
    </row>
    <row r="67" spans="1:7" ht="39.75" customHeight="1" x14ac:dyDescent="0.2">
      <c r="A67" s="301">
        <v>20</v>
      </c>
      <c r="B67" s="302" t="s">
        <v>1070</v>
      </c>
      <c r="C67" s="294" t="s">
        <v>1182</v>
      </c>
      <c r="D67" s="294" t="s">
        <v>1060</v>
      </c>
      <c r="E67" s="294" t="s">
        <v>1183</v>
      </c>
      <c r="F67" s="301" t="s">
        <v>1184</v>
      </c>
      <c r="G67" s="294" t="s">
        <v>1185</v>
      </c>
    </row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>
      <c r="A71" s="303" t="s">
        <v>1186</v>
      </c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5:G25"/>
    <mergeCell ref="A43:G43"/>
    <mergeCell ref="A59:G59"/>
    <mergeCell ref="A1:G1"/>
    <mergeCell ref="A2:G2"/>
    <mergeCell ref="A4:G4"/>
    <mergeCell ref="A18:G18"/>
    <mergeCell ref="A23:G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showGridLines="0" zoomScaleNormal="10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50" customWidth="1"/>
    <col min="2" max="8" width="15" customWidth="1"/>
    <col min="9" max="9" width="29.6640625" customWidth="1"/>
    <col min="10" max="26" width="8.6640625" customWidth="1"/>
  </cols>
  <sheetData>
    <row r="1" spans="1:7" ht="15.75" customHeight="1" x14ac:dyDescent="0.2">
      <c r="A1" s="149" t="s">
        <v>718</v>
      </c>
      <c r="B1" s="150"/>
      <c r="C1" s="150"/>
      <c r="D1" s="150"/>
      <c r="E1" s="150"/>
      <c r="F1" s="150"/>
      <c r="G1" s="150"/>
    </row>
    <row r="2" spans="1:7" ht="15" customHeight="1" x14ac:dyDescent="0.2">
      <c r="B2" s="152">
        <v>0.96</v>
      </c>
      <c r="C2" s="150"/>
      <c r="D2" s="150"/>
      <c r="E2" s="150"/>
      <c r="F2" s="150"/>
      <c r="G2" s="150"/>
    </row>
    <row r="3" spans="1:7" ht="15" customHeight="1" x14ac:dyDescent="0.2">
      <c r="A3" s="113" t="s">
        <v>719</v>
      </c>
      <c r="B3" s="151">
        <v>2026</v>
      </c>
      <c r="C3" s="151">
        <v>2027</v>
      </c>
      <c r="D3" s="151">
        <v>2028</v>
      </c>
      <c r="E3" s="151">
        <v>2029</v>
      </c>
      <c r="F3" s="151">
        <v>2030</v>
      </c>
      <c r="G3" s="151" t="s">
        <v>99</v>
      </c>
    </row>
    <row r="4" spans="1:7" ht="15" customHeight="1" x14ac:dyDescent="0.2">
      <c r="A4" s="115" t="s">
        <v>720</v>
      </c>
      <c r="B4" s="150"/>
      <c r="C4" s="157"/>
      <c r="D4" s="150"/>
      <c r="E4" s="150"/>
      <c r="F4" s="150"/>
      <c r="G4" s="150"/>
    </row>
    <row r="5" spans="1:7" ht="15" customHeight="1" x14ac:dyDescent="0.2">
      <c r="A5" s="119" t="s">
        <v>721</v>
      </c>
      <c r="B5" s="153">
        <f>(B44*(1-SUPUESTOS!$B$36-SUPUESTOS!$B$37)+B14)*B2</f>
        <v>2829600</v>
      </c>
      <c r="C5" s="154">
        <f>(C44+C14)</f>
        <v>3258256.5182266012</v>
      </c>
      <c r="D5" s="154">
        <f>(D44+D14)</f>
        <v>5081919.879593771</v>
      </c>
      <c r="E5" s="154">
        <f>(E44+E14)</f>
        <v>5343094.1544760242</v>
      </c>
      <c r="F5" s="154">
        <f>(F44+F14)</f>
        <v>5580772.9887416475</v>
      </c>
      <c r="G5" s="155"/>
    </row>
    <row r="6" spans="1:7" ht="15" customHeight="1" x14ac:dyDescent="0.2">
      <c r="A6" s="119" t="s">
        <v>722</v>
      </c>
      <c r="B6" s="153">
        <f>B5*SUPUESTOS!$B$22</f>
        <v>975724.13793103443</v>
      </c>
      <c r="C6" s="153">
        <f>(C5*SUPUESTOS!$B$22)*($B2)</f>
        <v>1078595.2612060471</v>
      </c>
      <c r="D6" s="153">
        <f>(D5*SUPUESTOS!$B$22)*($B2)</f>
        <v>1682290.7187620755</v>
      </c>
      <c r="E6" s="153">
        <f>(E5*SUPUESTOS!$B$22)*($B2)</f>
        <v>1768748.4097575801</v>
      </c>
      <c r="F6" s="153">
        <f>(F5*SUPUESTOS!$B$22)*($B2)</f>
        <v>1847428.2997213728</v>
      </c>
      <c r="G6" s="155"/>
    </row>
    <row r="7" spans="1:7" ht="15" customHeight="1" x14ac:dyDescent="0.2">
      <c r="A7" s="119" t="s">
        <v>723</v>
      </c>
      <c r="B7" s="156">
        <v>1</v>
      </c>
      <c r="C7" s="156">
        <v>1</v>
      </c>
      <c r="D7" s="156">
        <v>1</v>
      </c>
      <c r="E7" s="156">
        <v>1</v>
      </c>
      <c r="F7" s="156">
        <v>0</v>
      </c>
      <c r="G7" s="150"/>
    </row>
    <row r="8" spans="1:7" ht="15" customHeight="1" x14ac:dyDescent="0.2">
      <c r="A8" s="119" t="s">
        <v>724</v>
      </c>
      <c r="B8" s="154">
        <f>IF(B7=1,B6*SUPUESTOS!$B$23,0)</f>
        <v>975724.13793103443</v>
      </c>
      <c r="C8" s="154">
        <f>IF(C7=1,C6*SUPUESTOS!$B$23,0)</f>
        <v>1078595.2612060471</v>
      </c>
      <c r="D8" s="154">
        <f>IF(D7=1,D6*SUPUESTOS!$B$23,0)</f>
        <v>1682290.7187620755</v>
      </c>
      <c r="E8" s="154">
        <f>IF(E7=1,E6*SUPUESTOS!$B$23,0)</f>
        <v>1768748.4097575801</v>
      </c>
      <c r="F8" s="154">
        <f>IF(F7=1,F6*SUPUESTOS!$B$23,0)</f>
        <v>0</v>
      </c>
      <c r="G8" s="155"/>
    </row>
    <row r="9" spans="1:7" ht="15" customHeight="1" x14ac:dyDescent="0.2">
      <c r="A9" s="119" t="s">
        <v>725</v>
      </c>
      <c r="B9" s="154">
        <f>B5-B6+B8</f>
        <v>2829600</v>
      </c>
      <c r="C9" s="154">
        <f>C5-C6+C8</f>
        <v>3258256.5182266012</v>
      </c>
      <c r="D9" s="154">
        <f>D5-D6+D8</f>
        <v>5081919.879593771</v>
      </c>
      <c r="E9" s="154">
        <f>E5-E6+E8</f>
        <v>5343094.1544760242</v>
      </c>
      <c r="F9" s="154">
        <f>F5-F6+F8</f>
        <v>3733344.6890202747</v>
      </c>
      <c r="G9" s="155"/>
    </row>
    <row r="10" spans="1:7" ht="15" customHeight="1" x14ac:dyDescent="0.2">
      <c r="A10" s="119" t="s">
        <v>726</v>
      </c>
      <c r="B10" s="155">
        <f>B5+B8</f>
        <v>3805324.1379310344</v>
      </c>
      <c r="C10" s="155">
        <f>C8+MAX(0,C5-B9)</f>
        <v>1507251.7794326483</v>
      </c>
      <c r="D10" s="155">
        <f>D8+MAX(0,D5-C9)</f>
        <v>3505954.0801292453</v>
      </c>
      <c r="E10" s="155">
        <f>E8+MAX(0,E5-D9)</f>
        <v>2029922.6846398334</v>
      </c>
      <c r="F10" s="155">
        <f>F8+MAX(0,F5-E9)</f>
        <v>237678.83426562324</v>
      </c>
      <c r="G10" s="155">
        <f>SUM(B10:F10)</f>
        <v>11086131.516398385</v>
      </c>
    </row>
    <row r="11" spans="1:7" ht="15" customHeight="1" x14ac:dyDescent="0.2">
      <c r="B11" s="157"/>
      <c r="C11" s="157"/>
      <c r="D11" s="157"/>
      <c r="E11" s="157"/>
      <c r="F11" s="157"/>
      <c r="G11" s="150"/>
    </row>
    <row r="12" spans="1:7" ht="15" customHeight="1" x14ac:dyDescent="0.2">
      <c r="A12" s="158" t="s">
        <v>727</v>
      </c>
      <c r="B12" s="150"/>
      <c r="C12" s="150"/>
      <c r="D12" s="150"/>
      <c r="E12" s="150"/>
      <c r="F12" s="150"/>
      <c r="G12" s="150"/>
    </row>
    <row r="13" spans="1:7" ht="15" customHeight="1" x14ac:dyDescent="0.2">
      <c r="A13" s="119" t="s">
        <v>728</v>
      </c>
      <c r="B13" s="159">
        <v>0</v>
      </c>
      <c r="C13" s="159">
        <v>0</v>
      </c>
      <c r="D13" s="159">
        <v>1</v>
      </c>
      <c r="E13" s="159">
        <v>0</v>
      </c>
      <c r="F13" s="159">
        <v>0</v>
      </c>
      <c r="G13" s="150">
        <v>0</v>
      </c>
    </row>
    <row r="14" spans="1:7" ht="15" customHeight="1" x14ac:dyDescent="0.2">
      <c r="A14" s="119" t="s">
        <v>729</v>
      </c>
      <c r="B14" s="154">
        <f>IF(B13=1, B44*SUPUESTOS!$B$52, 0)</f>
        <v>0</v>
      </c>
      <c r="C14" s="154">
        <f>IF(C13=1, C44*SUPUESTOS!$B$52, B14)</f>
        <v>0</v>
      </c>
      <c r="D14" s="154">
        <f>IF(D13=1, D44*SUPUESTOS!$B$52, C14)</f>
        <v>1693973.2931979238</v>
      </c>
      <c r="E14" s="154">
        <f>IF(E13=1, E44*SUPUESTOS!$B$52, D14)</f>
        <v>1693973.2931979238</v>
      </c>
      <c r="F14" s="154">
        <f>IF(F13=1, F44*SUPUESTOS!$B$52, E14)</f>
        <v>1693973.2931979238</v>
      </c>
      <c r="G14" s="155"/>
    </row>
    <row r="15" spans="1:7" ht="15" customHeight="1" x14ac:dyDescent="0.2">
      <c r="A15" s="119" t="s">
        <v>730</v>
      </c>
      <c r="B15" s="160">
        <f>B5</f>
        <v>2829600</v>
      </c>
      <c r="C15" s="160">
        <f>C5</f>
        <v>3258256.5182266012</v>
      </c>
      <c r="D15" s="160">
        <f>D5</f>
        <v>5081919.879593771</v>
      </c>
      <c r="E15" s="160">
        <f>E5</f>
        <v>5343094.1544760242</v>
      </c>
      <c r="F15" s="160">
        <f>F5</f>
        <v>5580772.9887416475</v>
      </c>
      <c r="G15" s="155"/>
    </row>
    <row r="16" spans="1:7" ht="15" customHeight="1" x14ac:dyDescent="0.2">
      <c r="A16" s="119" t="s">
        <v>731</v>
      </c>
      <c r="B16" s="161">
        <f>IF(B5&gt;0,B14/B5,0)</f>
        <v>0</v>
      </c>
      <c r="C16" s="161">
        <f>IF(C5&gt;0,C14/C5,0)</f>
        <v>0</v>
      </c>
      <c r="D16" s="161">
        <f>IF(D5&gt;0,D14/D5,0)</f>
        <v>0.33333333333333337</v>
      </c>
      <c r="E16" s="161">
        <f>IF(E5&gt;0,E14/E5,0)</f>
        <v>0.31703976089937441</v>
      </c>
      <c r="F16" s="161">
        <f>IF(F5&gt;0,F14/F5,0)</f>
        <v>0.30353739466114366</v>
      </c>
      <c r="G16" s="150"/>
    </row>
    <row r="17" spans="1:7" ht="15" customHeight="1" x14ac:dyDescent="0.2">
      <c r="B17" s="150"/>
      <c r="C17" s="150"/>
      <c r="D17" s="150"/>
      <c r="E17" s="150"/>
      <c r="F17" s="150"/>
      <c r="G17" s="150"/>
    </row>
    <row r="18" spans="1:7" ht="15" customHeight="1" x14ac:dyDescent="0.2">
      <c r="A18" s="115" t="s">
        <v>732</v>
      </c>
      <c r="B18" s="150"/>
      <c r="C18" s="150"/>
      <c r="D18" s="150"/>
      <c r="E18" s="150"/>
      <c r="F18" s="150"/>
      <c r="G18" s="150"/>
    </row>
    <row r="19" spans="1:7" ht="15" customHeight="1" x14ac:dyDescent="0.2">
      <c r="A19" s="119" t="s">
        <v>733</v>
      </c>
      <c r="B19" s="153">
        <f>IF(B7=1,B5*SUPUESTOS!$B$24,B5*SUPUESTOS!$B$24/2)</f>
        <v>350870.4</v>
      </c>
      <c r="C19" s="153">
        <f>IF(C7=1,C5*SUPUESTOS!$B$24,C5*SUPUESTOS!$B$24/2)</f>
        <v>404023.80826009857</v>
      </c>
      <c r="D19" s="153">
        <f>IF(D7=1,D5*SUPUESTOS!$B$24,D5*SUPUESTOS!$B$24/2)</f>
        <v>630158.0650696276</v>
      </c>
      <c r="E19" s="153">
        <f>IF(E7=1,E5*SUPUESTOS!$B$24,E5*SUPUESTOS!$B$24/2)</f>
        <v>662543.67515502695</v>
      </c>
      <c r="F19" s="153">
        <f>IF(F7=1,F5*SUPUESTOS!$B$24,F5*SUPUESTOS!$B$24/2)</f>
        <v>346007.92530198215</v>
      </c>
      <c r="G19" s="155">
        <f>SUM(B19:F19)</f>
        <v>2393603.8737867353</v>
      </c>
    </row>
    <row r="20" spans="1:7" ht="15" customHeight="1" x14ac:dyDescent="0.2">
      <c r="A20" s="119" t="s">
        <v>734</v>
      </c>
      <c r="B20" s="153">
        <f>(B10/(1+SUPUESTOS!$B$38))*SUPUESTOS!$B$38</f>
        <v>181205.91133004928</v>
      </c>
      <c r="C20" s="153">
        <f>(C10/(1+SUPUESTOS!$B$38))*SUPUESTOS!$B$38</f>
        <v>71773.894258697546</v>
      </c>
      <c r="D20" s="153">
        <f>(D10/(1+SUPUESTOS!$B$38))*SUPUESTOS!$B$38</f>
        <v>166950.19429186883</v>
      </c>
      <c r="E20" s="153">
        <f>(E10/(1+SUPUESTOS!$B$38))*SUPUESTOS!$B$38</f>
        <v>96662.984982849215</v>
      </c>
      <c r="F20" s="153">
        <f>(F10/(1+SUPUESTOS!$B$38))*SUPUESTOS!$B$38</f>
        <v>11318.039726934439</v>
      </c>
      <c r="G20" s="155">
        <f>SUM(B20:F20)</f>
        <v>527911.02459039923</v>
      </c>
    </row>
    <row r="21" spans="1:7" ht="15" customHeight="1" x14ac:dyDescent="0.2">
      <c r="A21" s="113" t="s">
        <v>735</v>
      </c>
      <c r="B21" s="155">
        <f>B19+B20</f>
        <v>532076.3113300493</v>
      </c>
      <c r="C21" s="155">
        <f>C19+C20</f>
        <v>475797.70251879608</v>
      </c>
      <c r="D21" s="155">
        <f>D19+D20</f>
        <v>797108.25936149643</v>
      </c>
      <c r="E21" s="155">
        <f>E19+E20</f>
        <v>759206.66013787617</v>
      </c>
      <c r="F21" s="155">
        <f>F19+F20</f>
        <v>357325.9650289166</v>
      </c>
      <c r="G21" s="155">
        <f>SUM(B21:F21)</f>
        <v>2921514.8983771345</v>
      </c>
    </row>
    <row r="22" spans="1:7" ht="15.75" customHeight="1" x14ac:dyDescent="0.2">
      <c r="B22" s="150"/>
      <c r="C22" s="150"/>
      <c r="D22" s="150"/>
      <c r="E22" s="150"/>
      <c r="F22" s="150"/>
      <c r="G22" s="150"/>
    </row>
    <row r="23" spans="1:7" ht="15" customHeight="1" x14ac:dyDescent="0.2">
      <c r="A23" s="115" t="s">
        <v>736</v>
      </c>
      <c r="B23" s="150"/>
      <c r="C23" s="150"/>
      <c r="D23" s="150"/>
      <c r="E23" s="150"/>
      <c r="F23" s="150"/>
      <c r="G23" s="150"/>
    </row>
    <row r="24" spans="1:7" ht="15" customHeight="1" x14ac:dyDescent="0.2">
      <c r="A24" s="119" t="s">
        <v>737</v>
      </c>
      <c r="B24" s="155">
        <f>B44*SUPUESTOS!$B$28</f>
        <v>36000</v>
      </c>
      <c r="C24" s="155">
        <f>C44*SUPUESTOS!$B$28</f>
        <v>39099.078218719216</v>
      </c>
      <c r="D24" s="155">
        <f>D44*SUPUESTOS!$B$28</f>
        <v>40655.359036750175</v>
      </c>
      <c r="E24" s="155">
        <f>E44*SUPUESTOS!$B$28</f>
        <v>43789.450335337213</v>
      </c>
      <c r="F24" s="155">
        <f>F44*SUPUESTOS!$B$28</f>
        <v>46641.596346524682</v>
      </c>
      <c r="G24" s="155">
        <f t="shared" ref="G24:G32" si="0">SUM(B24:F24)</f>
        <v>206185.4839373313</v>
      </c>
    </row>
    <row r="25" spans="1:7" ht="15" customHeight="1" x14ac:dyDescent="0.2">
      <c r="A25" s="119" t="s">
        <v>738</v>
      </c>
      <c r="B25" s="155">
        <f>MAX(B44*SUPUESTOS!$B$29,SUPUESTOS!$B$40)+10000</f>
        <v>31600</v>
      </c>
      <c r="C25" s="155">
        <f>MAX(C44*SUPUESTOS!$B$29,SUPUESTOS!$B$40)</f>
        <v>21600</v>
      </c>
      <c r="D25" s="155">
        <f>MAX(D44*SUPUESTOS!$B$29,SUPUESTOS!$B$40)</f>
        <v>21600</v>
      </c>
      <c r="E25" s="155">
        <f>MAX(E44*SUPUESTOS!$B$29,SUPUESTOS!$B$40)</f>
        <v>21600</v>
      </c>
      <c r="F25" s="155">
        <f>MAX(F44*SUPUESTOS!$B$29,SUPUESTOS!$B$40)</f>
        <v>21600</v>
      </c>
      <c r="G25" s="155">
        <f t="shared" si="0"/>
        <v>118000</v>
      </c>
    </row>
    <row r="26" spans="1:7" ht="15" customHeight="1" x14ac:dyDescent="0.2">
      <c r="A26" s="137" t="s">
        <v>739</v>
      </c>
      <c r="B26" s="163">
        <f>B44*SUPUESTOS!$B$30</f>
        <v>0</v>
      </c>
      <c r="C26" s="163">
        <f>C44*SUPUESTOS!$B$30</f>
        <v>0</v>
      </c>
      <c r="D26" s="163">
        <f>D44*SUPUESTOS!$B$30</f>
        <v>0</v>
      </c>
      <c r="E26" s="163">
        <f>E44*SUPUESTOS!$B$30</f>
        <v>0</v>
      </c>
      <c r="F26" s="163">
        <f>F44*SUPUESTOS!$B$30</f>
        <v>0</v>
      </c>
      <c r="G26" s="163">
        <f t="shared" si="0"/>
        <v>0</v>
      </c>
    </row>
    <row r="27" spans="1:7" ht="15" customHeight="1" x14ac:dyDescent="0.2">
      <c r="A27" s="137" t="s">
        <v>740</v>
      </c>
      <c r="B27" s="163">
        <f>B10*(SUPUESTOS!$B$31)</f>
        <v>47566.551724137935</v>
      </c>
      <c r="C27" s="163">
        <f>C10*(SUPUESTOS!$B$31)</f>
        <v>18840.647242908104</v>
      </c>
      <c r="D27" s="163">
        <f>D10*(SUPUESTOS!$B$31)</f>
        <v>43824.426001615568</v>
      </c>
      <c r="E27" s="163">
        <f>E10*(SUPUESTOS!$B$31)</f>
        <v>25374.033557997918</v>
      </c>
      <c r="F27" s="163">
        <f>F10*(SUPUESTOS!$B$31)</f>
        <v>2970.9854283202908</v>
      </c>
      <c r="G27" s="163">
        <f t="shared" si="0"/>
        <v>138576.64395497984</v>
      </c>
    </row>
    <row r="28" spans="1:7" ht="15" customHeight="1" x14ac:dyDescent="0.2">
      <c r="A28" s="119" t="s">
        <v>741</v>
      </c>
      <c r="B28" s="155">
        <f>SUPUESTOS!$B$42+SUPUESTOS!$B$43+SUPUESTOS!$B$44+SUPUESTOS!$B$45+SUPUESTOS!$B$46+SUPUESTOS!$B$47+SUPUESTOS!$B$48</f>
        <v>68100</v>
      </c>
      <c r="C28" s="155">
        <f>SUPUESTOS!$B$42+SUPUESTOS!$B$43+SUPUESTOS!$B$45+SUPUESTOS!$B$46+SUPUESTOS!$B$47+SUPUESTOS!$B$48</f>
        <v>56000</v>
      </c>
      <c r="D28" s="155">
        <f>SUPUESTOS!$B$42+SUPUESTOS!$B$43+SUPUESTOS!$B$45+SUPUESTOS!$B$46+SUPUESTOS!$B$47+SUPUESTOS!$B$48</f>
        <v>56000</v>
      </c>
      <c r="E28" s="155">
        <f>SUPUESTOS!$B$42+SUPUESTOS!$B$43+SUPUESTOS!$B$45+SUPUESTOS!$B$46+SUPUESTOS!$B$47+SUPUESTOS!$B$48</f>
        <v>56000</v>
      </c>
      <c r="F28" s="155">
        <f>SUPUESTOS!$B$42+SUPUESTOS!$B$43+SUPUESTOS!$B$45+SUPUESTOS!$B$46+SUPUESTOS!$B$47+SUPUESTOS!$B$48</f>
        <v>56000</v>
      </c>
      <c r="G28" s="155">
        <f t="shared" si="0"/>
        <v>292100</v>
      </c>
    </row>
    <row r="29" spans="1:7" ht="15" customHeight="1" x14ac:dyDescent="0.2">
      <c r="A29" s="119" t="s">
        <v>742</v>
      </c>
      <c r="B29" s="155">
        <f>(SUPUESTOS!$B$6+B42)*(SUPUESTOS!$B$36+SUPUESTOS!$B$37)</f>
        <v>52499.999999999993</v>
      </c>
      <c r="C29" s="155">
        <f>C42*(SUPUESTOS!$B$36+SUPUESTOS!$B$37)</f>
        <v>0</v>
      </c>
      <c r="D29" s="155">
        <f>D42*(SUPUESTOS!$B$36+SUPUESTOS!$B$37)</f>
        <v>0</v>
      </c>
      <c r="E29" s="155">
        <f>E42*(SUPUESTOS!$B$36+SUPUESTOS!$B$37)</f>
        <v>0</v>
      </c>
      <c r="F29" s="155">
        <f>F42*(SUPUESTOS!$B$36+SUPUESTOS!$B$37)</f>
        <v>0</v>
      </c>
      <c r="G29" s="155">
        <f t="shared" si="0"/>
        <v>52499.999999999993</v>
      </c>
    </row>
    <row r="30" spans="1:7" ht="15" customHeight="1" x14ac:dyDescent="0.2">
      <c r="A30" s="137" t="s">
        <v>743</v>
      </c>
      <c r="B30" s="155">
        <f>B20*SUPUESTOS!$B$39</f>
        <v>38053.241379310348</v>
      </c>
      <c r="C30" s="155">
        <f>C20*SUPUESTOS!$B$39</f>
        <v>15072.517794326484</v>
      </c>
      <c r="D30" s="155">
        <f>D20*SUPUESTOS!$B$39</f>
        <v>35059.540801292453</v>
      </c>
      <c r="E30" s="155">
        <f>E20*SUPUESTOS!$B$39</f>
        <v>20299.226846398335</v>
      </c>
      <c r="F30" s="155">
        <f>F20*SUPUESTOS!$B$39</f>
        <v>2376.7883426562321</v>
      </c>
      <c r="G30" s="155">
        <f t="shared" si="0"/>
        <v>110861.31516398385</v>
      </c>
    </row>
    <row r="31" spans="1:7" ht="15" customHeight="1" x14ac:dyDescent="0.2">
      <c r="A31" s="164" t="s">
        <v>744</v>
      </c>
      <c r="B31" s="155">
        <f>B14*SUPUESTOS!$B$54</f>
        <v>0</v>
      </c>
      <c r="C31" s="155">
        <f>C14*SUPUESTOS!$B$54</f>
        <v>0</v>
      </c>
      <c r="D31" s="155">
        <f>D14*SUPUESTOS!$B$54</f>
        <v>135517.8634558339</v>
      </c>
      <c r="E31" s="155">
        <f>E14*SUPUESTOS!$B$54</f>
        <v>135517.8634558339</v>
      </c>
      <c r="F31" s="155">
        <f>F14*SUPUESTOS!$B$54</f>
        <v>135517.8634558339</v>
      </c>
      <c r="G31" s="155">
        <f t="shared" si="0"/>
        <v>406553.59036750172</v>
      </c>
    </row>
    <row r="32" spans="1:7" ht="15" customHeight="1" x14ac:dyDescent="0.2">
      <c r="A32" s="113" t="s">
        <v>745</v>
      </c>
      <c r="B32" s="155">
        <f>B24+B25+B26+B27+B28+B29+B30+B31+B34</f>
        <v>273819.79310344829</v>
      </c>
      <c r="C32" s="155">
        <f>C24+C25+C26+C27+C28+C29+C30+C31+C34</f>
        <v>150612.2432559538</v>
      </c>
      <c r="D32" s="155">
        <f>D24+D25+D26+D27+D28+D29+D30+D31+D34</f>
        <v>332657.18929549213</v>
      </c>
      <c r="E32" s="155">
        <f>E24+E25+E26+E27+E28+E29+E30+E31+E34</f>
        <v>302580.5741955674</v>
      </c>
      <c r="F32" s="155">
        <f>F24+F25+F26+F27+F28+F29+F30+F31+F34</f>
        <v>338976.2264789266</v>
      </c>
      <c r="G32" s="155">
        <f t="shared" si="0"/>
        <v>1398646.0263293881</v>
      </c>
    </row>
    <row r="33" spans="1:7" ht="15" customHeight="1" x14ac:dyDescent="0.2">
      <c r="A33" s="165" t="s">
        <v>746</v>
      </c>
      <c r="B33" s="166">
        <f>'RESULTADOS ASESOR TCMC (5Y)'!B14</f>
        <v>6030.9873152709279</v>
      </c>
      <c r="C33" s="166">
        <f>'RESULTADOS ASESOR TCMC (5Y)'!C14</f>
        <v>11803.445062140254</v>
      </c>
      <c r="D33" s="166">
        <f>'RESULTADOS ASESOR TCMC (5Y)'!D14</f>
        <v>25273.051791775852</v>
      </c>
      <c r="E33" s="166">
        <f>'RESULTADOS ASESOR TCMC (5Y)'!E14</f>
        <v>22926.582246034381</v>
      </c>
      <c r="F33" s="166">
        <f>'RESULTADOS ASESOR TCMC (5Y)'!F14</f>
        <v>7834.9264903700741</v>
      </c>
      <c r="G33" s="166">
        <f>'RESULTADOS ASESOR TCMC (5Y)'!G14</f>
        <v>73868.992905591484</v>
      </c>
    </row>
    <row r="34" spans="1:7" ht="15" customHeight="1" x14ac:dyDescent="0.2">
      <c r="A34" s="167" t="s">
        <v>747</v>
      </c>
      <c r="B34" s="168">
        <f>'RESULTADOS ASESOR TCMC (5Y)'!B18</f>
        <v>0</v>
      </c>
      <c r="C34" s="168">
        <f>'RESULTADOS ASESOR TCMC (5Y)'!C18</f>
        <v>0</v>
      </c>
      <c r="D34" s="168">
        <f>'RESULTADOS ASESOR TCMC (5Y)'!D18</f>
        <v>0</v>
      </c>
      <c r="E34" s="168">
        <f>'RESULTADOS ASESOR TCMC (5Y)'!E18</f>
        <v>0</v>
      </c>
      <c r="F34" s="168">
        <f>'RESULTADOS ASESOR TCMC (5Y)'!F18</f>
        <v>73868.992905591484</v>
      </c>
      <c r="G34" s="168">
        <f>'RESULTADOS ASESOR TCMC (5Y)'!G18</f>
        <v>73868.992905591484</v>
      </c>
    </row>
    <row r="35" spans="1:7" ht="15" customHeight="1" x14ac:dyDescent="0.2">
      <c r="A35" s="115" t="s">
        <v>748</v>
      </c>
      <c r="B35" s="150"/>
      <c r="C35" s="150"/>
      <c r="D35" s="150"/>
      <c r="E35" s="150"/>
      <c r="F35" s="150"/>
      <c r="G35" s="150"/>
    </row>
    <row r="36" spans="1:7" ht="15" customHeight="1" x14ac:dyDescent="0.2">
      <c r="A36" s="113" t="s">
        <v>749</v>
      </c>
      <c r="B36" s="155">
        <f>B21-B32</f>
        <v>258256.51822660101</v>
      </c>
      <c r="C36" s="155">
        <f>C21-C32</f>
        <v>325185.45926284231</v>
      </c>
      <c r="D36" s="155">
        <f>D21-D32</f>
        <v>464451.07006600429</v>
      </c>
      <c r="E36" s="155">
        <f>E21-E32</f>
        <v>456626.08594230877</v>
      </c>
      <c r="F36" s="155">
        <f>F21-F32</f>
        <v>18349.738549989997</v>
      </c>
      <c r="G36" s="155">
        <f>SUM(B36:F36)</f>
        <v>1522868.8720477466</v>
      </c>
    </row>
    <row r="37" spans="1:7" ht="15" customHeight="1" x14ac:dyDescent="0.2">
      <c r="A37" s="119" t="s">
        <v>750</v>
      </c>
      <c r="B37" s="172">
        <f>IF(B44&gt;0,B36/B44,0)</f>
        <v>8.6085506075533669E-2</v>
      </c>
      <c r="C37" s="172">
        <f>IF(C44&gt;0,C36/C44,0)</f>
        <v>9.9803516832933023E-2</v>
      </c>
      <c r="D37" s="172">
        <f>IF(D44&gt;0,D36/D44,0)</f>
        <v>0.13708925398381056</v>
      </c>
      <c r="E37" s="172">
        <f>IF(E44&gt;0,E36/E44,0)</f>
        <v>0.12513317681190092</v>
      </c>
      <c r="F37" s="172">
        <f>IF(F44&gt;0,F36/F44,0)</f>
        <v>4.7210404413245838E-3</v>
      </c>
      <c r="G37" s="150"/>
    </row>
    <row r="38" spans="1:7" ht="15" customHeight="1" x14ac:dyDescent="0.2">
      <c r="A38" s="119" t="s">
        <v>751</v>
      </c>
      <c r="B38" s="155">
        <f>B76</f>
        <v>0</v>
      </c>
      <c r="C38" s="155">
        <f>C76</f>
        <v>195495.39109359606</v>
      </c>
      <c r="D38" s="155">
        <f>D76</f>
        <v>203276.79518375086</v>
      </c>
      <c r="E38" s="155">
        <f>E76</f>
        <v>218947.25167668605</v>
      </c>
      <c r="F38" s="155">
        <f>F76</f>
        <v>0</v>
      </c>
      <c r="G38" s="155">
        <f>SUM(B38:F38)</f>
        <v>617719.43795403303</v>
      </c>
    </row>
    <row r="39" spans="1:7" ht="15" customHeight="1" x14ac:dyDescent="0.2">
      <c r="A39" s="119" t="s">
        <v>752</v>
      </c>
      <c r="B39" s="155">
        <f>B36-B38</f>
        <v>258256.51822660101</v>
      </c>
      <c r="C39" s="155">
        <f>C36-C38</f>
        <v>129690.06816924625</v>
      </c>
      <c r="D39" s="155">
        <f>D36-D38</f>
        <v>261174.27488225343</v>
      </c>
      <c r="E39" s="155">
        <f>E36-E38</f>
        <v>237678.83426562272</v>
      </c>
      <c r="F39" s="155">
        <f>F36-F38</f>
        <v>18349.738549989997</v>
      </c>
      <c r="G39" s="155">
        <f>SUM(B39:F39)</f>
        <v>905149.43409371341</v>
      </c>
    </row>
    <row r="40" spans="1:7" ht="15.75" customHeight="1" x14ac:dyDescent="0.2">
      <c r="B40" s="150"/>
      <c r="C40" s="150"/>
      <c r="D40" s="150"/>
      <c r="E40" s="150"/>
      <c r="F40" s="150"/>
      <c r="G40" s="150"/>
    </row>
    <row r="41" spans="1:7" ht="15" customHeight="1" x14ac:dyDescent="0.2">
      <c r="A41" s="115" t="s">
        <v>753</v>
      </c>
      <c r="B41" s="150"/>
      <c r="C41" s="150"/>
      <c r="D41" s="150"/>
      <c r="E41" s="150"/>
      <c r="F41" s="150"/>
      <c r="G41" s="150"/>
    </row>
    <row r="42" spans="1:7" ht="15" customHeight="1" x14ac:dyDescent="0.2">
      <c r="A42" s="113" t="s">
        <v>754</v>
      </c>
      <c r="B42" s="173">
        <v>0</v>
      </c>
      <c r="C42" s="173">
        <v>0</v>
      </c>
      <c r="D42" s="173">
        <v>0</v>
      </c>
      <c r="E42" s="173">
        <v>0</v>
      </c>
      <c r="F42" s="173">
        <v>0</v>
      </c>
      <c r="G42" s="162">
        <f>SUM(B42:F42)</f>
        <v>0</v>
      </c>
    </row>
    <row r="43" spans="1:7" ht="15" customHeight="1" x14ac:dyDescent="0.2">
      <c r="A43" s="119" t="s">
        <v>755</v>
      </c>
      <c r="B43" s="150"/>
      <c r="C43" s="150"/>
      <c r="D43" s="150"/>
      <c r="E43" s="150"/>
      <c r="F43" s="150"/>
      <c r="G43" s="150"/>
    </row>
    <row r="44" spans="1:7" ht="15" customHeight="1" x14ac:dyDescent="0.2">
      <c r="A44" s="119" t="s">
        <v>756</v>
      </c>
      <c r="B44" s="153">
        <f>SUPUESTOS!$B$6+B42</f>
        <v>3000000</v>
      </c>
      <c r="C44" s="155">
        <f>B45-B38+C42</f>
        <v>3258256.5182266012</v>
      </c>
      <c r="D44" s="155">
        <f>C45-C38+D42</f>
        <v>3387946.5863958476</v>
      </c>
      <c r="E44" s="155">
        <f>D45-D38+E42</f>
        <v>3649120.8612781009</v>
      </c>
      <c r="F44" s="155">
        <f>E45-E38+F42</f>
        <v>3886799.6955437236</v>
      </c>
      <c r="G44" s="155"/>
    </row>
    <row r="45" spans="1:7" ht="15" customHeight="1" x14ac:dyDescent="0.2">
      <c r="A45" s="119" t="s">
        <v>757</v>
      </c>
      <c r="B45" s="155">
        <f>B44+B36</f>
        <v>3258256.5182266012</v>
      </c>
      <c r="C45" s="155">
        <f>C44+C36</f>
        <v>3583441.9774894435</v>
      </c>
      <c r="D45" s="155">
        <f>D44+D36</f>
        <v>3852397.6564618517</v>
      </c>
      <c r="E45" s="155">
        <f>E44+E36</f>
        <v>4105746.9472204098</v>
      </c>
      <c r="F45" s="155">
        <f>F44+F36</f>
        <v>3905149.4340937138</v>
      </c>
      <c r="G45" s="155"/>
    </row>
    <row r="46" spans="1:7" ht="15" customHeight="1" x14ac:dyDescent="0.2">
      <c r="B46" s="150"/>
      <c r="C46" s="155"/>
      <c r="D46" s="155"/>
      <c r="E46" s="155"/>
      <c r="F46" s="150"/>
      <c r="G46" s="150"/>
    </row>
    <row r="47" spans="1:7" ht="15" customHeight="1" x14ac:dyDescent="0.2">
      <c r="A47" s="144" t="s">
        <v>758</v>
      </c>
      <c r="B47" s="150"/>
      <c r="C47" s="150"/>
      <c r="D47" s="150"/>
      <c r="E47" s="150"/>
      <c r="F47" s="150"/>
      <c r="G47" s="150"/>
    </row>
    <row r="48" spans="1:7" ht="15" customHeight="1" x14ac:dyDescent="0.2">
      <c r="A48" s="119" t="s">
        <v>759</v>
      </c>
      <c r="B48" s="155"/>
      <c r="C48" s="155"/>
      <c r="D48" s="155"/>
      <c r="E48" s="155"/>
      <c r="F48" s="155">
        <f>IF(F7=0,F6,0)</f>
        <v>1847428.2997213728</v>
      </c>
      <c r="G48" s="155"/>
    </row>
    <row r="49" spans="1:9" ht="15" customHeight="1" x14ac:dyDescent="0.2">
      <c r="A49" s="119" t="s">
        <v>760</v>
      </c>
      <c r="B49" s="155"/>
      <c r="C49" s="155"/>
      <c r="D49" s="155"/>
      <c r="E49" s="155"/>
      <c r="F49" s="155">
        <f>F9</f>
        <v>3733344.6890202747</v>
      </c>
      <c r="G49" s="155"/>
    </row>
    <row r="50" spans="1:9" ht="15" customHeight="1" x14ac:dyDescent="0.2">
      <c r="A50" s="119" t="s">
        <v>761</v>
      </c>
      <c r="B50" s="155"/>
      <c r="C50" s="155"/>
      <c r="D50" s="155"/>
      <c r="E50" s="155"/>
      <c r="F50" s="155">
        <f>F49/(1+SUPUESTOS!$B$69)</f>
        <v>3425086.8706608023</v>
      </c>
      <c r="G50" s="155"/>
    </row>
    <row r="51" spans="1:9" ht="15" customHeight="1" x14ac:dyDescent="0.2">
      <c r="A51" s="119" t="s">
        <v>762</v>
      </c>
      <c r="B51" s="155"/>
      <c r="C51" s="155"/>
      <c r="D51" s="155"/>
      <c r="E51" s="155"/>
      <c r="F51" s="155">
        <f>F14</f>
        <v>1693973.2931979238</v>
      </c>
      <c r="G51" s="155"/>
    </row>
    <row r="52" spans="1:9" ht="15" customHeight="1" x14ac:dyDescent="0.2">
      <c r="A52" s="113" t="s">
        <v>763</v>
      </c>
      <c r="B52" s="155"/>
      <c r="C52" s="155"/>
      <c r="D52" s="155"/>
      <c r="E52" s="155"/>
      <c r="F52" s="155">
        <f>F48+F50-F51</f>
        <v>3578541.8771842518</v>
      </c>
      <c r="G52" s="155"/>
    </row>
    <row r="53" spans="1:9" ht="15.75" customHeight="1" x14ac:dyDescent="0.2">
      <c r="B53" s="150"/>
      <c r="C53" s="150"/>
      <c r="D53" s="150"/>
      <c r="E53" s="150"/>
      <c r="F53" s="150"/>
      <c r="G53" s="150"/>
    </row>
    <row r="54" spans="1:9" ht="15" customHeight="1" x14ac:dyDescent="0.2">
      <c r="A54" s="115" t="s">
        <v>764</v>
      </c>
      <c r="B54" s="150"/>
      <c r="C54" s="150"/>
      <c r="D54" s="150"/>
      <c r="E54" s="150"/>
      <c r="F54" s="150"/>
      <c r="G54" s="150"/>
    </row>
    <row r="55" spans="1:9" ht="15" customHeight="1" x14ac:dyDescent="0.2">
      <c r="A55" s="119" t="s">
        <v>765</v>
      </c>
      <c r="B55" s="155">
        <f>B79</f>
        <v>0</v>
      </c>
      <c r="C55" s="155">
        <f>C79</f>
        <v>195495.39109359606</v>
      </c>
      <c r="D55" s="155">
        <f>D79</f>
        <v>203276.79518375086</v>
      </c>
      <c r="E55" s="155">
        <f>E79</f>
        <v>218947.25167668605</v>
      </c>
      <c r="F55" s="155">
        <f>F79</f>
        <v>0</v>
      </c>
      <c r="G55" s="155">
        <f>SUM(B55:F55)</f>
        <v>617719.43795403303</v>
      </c>
    </row>
    <row r="56" spans="1:9" ht="15" customHeight="1" x14ac:dyDescent="0.2">
      <c r="A56" s="119" t="s">
        <v>766</v>
      </c>
      <c r="B56" s="155">
        <v>0</v>
      </c>
      <c r="C56" s="155">
        <v>0</v>
      </c>
      <c r="D56" s="155">
        <v>0</v>
      </c>
      <c r="E56" s="155">
        <v>0</v>
      </c>
      <c r="F56" s="155">
        <f>F52</f>
        <v>3578541.8771842518</v>
      </c>
      <c r="G56" s="155">
        <f>SUM(B56:F56)</f>
        <v>3578541.8771842518</v>
      </c>
    </row>
    <row r="57" spans="1:9" ht="15" customHeight="1" x14ac:dyDescent="0.2">
      <c r="A57" s="113" t="s">
        <v>767</v>
      </c>
      <c r="B57" s="155">
        <f t="shared" ref="B57:G57" si="1">B55+B56</f>
        <v>0</v>
      </c>
      <c r="C57" s="155">
        <f t="shared" si="1"/>
        <v>195495.39109359606</v>
      </c>
      <c r="D57" s="155">
        <f t="shared" si="1"/>
        <v>203276.79518375086</v>
      </c>
      <c r="E57" s="155">
        <f t="shared" si="1"/>
        <v>218947.25167668605</v>
      </c>
      <c r="F57" s="155">
        <f t="shared" si="1"/>
        <v>3578541.8771842518</v>
      </c>
      <c r="G57" s="155">
        <f t="shared" si="1"/>
        <v>4196261.315138285</v>
      </c>
    </row>
    <row r="58" spans="1:9" ht="15" customHeight="1" x14ac:dyDescent="0.2">
      <c r="A58" s="119" t="s">
        <v>768</v>
      </c>
      <c r="B58" s="155">
        <f>B57</f>
        <v>0</v>
      </c>
      <c r="C58" s="155">
        <f>B58+C57</f>
        <v>195495.39109359606</v>
      </c>
      <c r="D58" s="155">
        <f>C58+D57</f>
        <v>398772.18627734692</v>
      </c>
      <c r="E58" s="155">
        <f>D58+E57</f>
        <v>617719.43795403303</v>
      </c>
      <c r="F58" s="155">
        <f>E58+F57</f>
        <v>4196261.315138285</v>
      </c>
      <c r="G58" s="155"/>
    </row>
    <row r="59" spans="1:9" ht="15.75" customHeight="1" x14ac:dyDescent="0.2">
      <c r="B59" s="150"/>
      <c r="C59" s="150"/>
      <c r="D59" s="150"/>
      <c r="E59" s="150"/>
      <c r="F59" s="150"/>
      <c r="G59" s="150"/>
    </row>
    <row r="60" spans="1:9" ht="15" customHeight="1" x14ac:dyDescent="0.2">
      <c r="A60" s="115" t="s">
        <v>769</v>
      </c>
      <c r="B60" s="150"/>
      <c r="C60" s="150"/>
      <c r="D60" s="150"/>
      <c r="E60" s="150"/>
      <c r="F60" s="150"/>
      <c r="G60" s="150"/>
    </row>
    <row r="61" spans="1:9" ht="15" customHeight="1" x14ac:dyDescent="0.2">
      <c r="A61" s="119" t="s">
        <v>770</v>
      </c>
      <c r="B61" s="174">
        <f>-SUPUESTOS!$B$6-B42+B57</f>
        <v>-3000000</v>
      </c>
      <c r="C61" s="174">
        <f>C57-C42</f>
        <v>195495.39109359606</v>
      </c>
      <c r="D61" s="174">
        <f>D57-D42</f>
        <v>203276.79518375086</v>
      </c>
      <c r="E61" s="174">
        <f>E57-E42</f>
        <v>218947.25167668605</v>
      </c>
      <c r="F61" s="175">
        <f>-F42+F57</f>
        <v>3578541.8771842518</v>
      </c>
      <c r="G61" s="174"/>
      <c r="H61" s="176"/>
      <c r="I61" s="177" t="s">
        <v>771</v>
      </c>
    </row>
    <row r="62" spans="1:9" ht="15" customHeight="1" x14ac:dyDescent="0.2">
      <c r="A62" s="178" t="s">
        <v>772</v>
      </c>
      <c r="B62" s="179">
        <f>IFERROR(IRR(B61:G61),"-")</f>
        <v>9.5396806057810313E-2</v>
      </c>
      <c r="C62" s="150"/>
      <c r="D62" s="150"/>
      <c r="E62" s="150"/>
      <c r="F62" s="150"/>
      <c r="G62" s="150"/>
    </row>
    <row r="63" spans="1:9" ht="15" customHeight="1" x14ac:dyDescent="0.2">
      <c r="A63" s="119" t="s">
        <v>773</v>
      </c>
      <c r="B63" s="180">
        <f>IF((SUPUESTOS!$B$6+G42)&gt;0,G57/(SUPUESTOS!$B$6+G42),0)</f>
        <v>1.3987537717127616</v>
      </c>
      <c r="C63" s="150"/>
      <c r="D63" s="150"/>
      <c r="E63" s="150"/>
      <c r="F63" s="150"/>
      <c r="G63" s="150"/>
    </row>
    <row r="64" spans="1:9" ht="15" customHeight="1" x14ac:dyDescent="0.2">
      <c r="B64" s="155"/>
      <c r="C64" s="181"/>
      <c r="D64" s="181"/>
      <c r="E64" s="181"/>
      <c r="F64" s="181"/>
      <c r="G64" s="181"/>
    </row>
    <row r="65" spans="1:7" ht="15" customHeight="1" x14ac:dyDescent="0.2">
      <c r="A65" s="182" t="s">
        <v>774</v>
      </c>
      <c r="B65" s="150"/>
      <c r="C65" s="150"/>
      <c r="D65" s="150"/>
      <c r="E65" s="150"/>
      <c r="F65" s="150"/>
      <c r="G65" s="150"/>
    </row>
    <row r="66" spans="1:7" ht="15" customHeight="1" x14ac:dyDescent="0.2">
      <c r="A66" s="111" t="s">
        <v>775</v>
      </c>
      <c r="B66" s="150"/>
      <c r="C66" s="150"/>
      <c r="D66" s="150"/>
      <c r="E66" s="150"/>
      <c r="F66" s="150"/>
      <c r="G66" s="150"/>
    </row>
    <row r="67" spans="1:7" ht="15.75" customHeight="1" x14ac:dyDescent="0.2">
      <c r="B67" s="150"/>
      <c r="C67" s="150"/>
      <c r="D67" s="150"/>
      <c r="E67" s="150"/>
      <c r="F67" s="150"/>
      <c r="G67" s="150"/>
    </row>
    <row r="68" spans="1:7" ht="15.75" customHeight="1" x14ac:dyDescent="0.2">
      <c r="B68" s="150"/>
      <c r="C68" s="150"/>
      <c r="D68" s="150"/>
      <c r="E68" s="150"/>
      <c r="F68" s="150"/>
      <c r="G68" s="150"/>
    </row>
    <row r="69" spans="1:7" ht="15" customHeight="1" x14ac:dyDescent="0.2">
      <c r="A69" s="149" t="s">
        <v>776</v>
      </c>
      <c r="B69" s="150"/>
      <c r="C69" s="150"/>
      <c r="D69" s="150"/>
      <c r="E69" s="150"/>
      <c r="F69" s="150"/>
      <c r="G69" s="150"/>
    </row>
    <row r="70" spans="1:7" ht="15" customHeight="1" x14ac:dyDescent="0.2">
      <c r="A70" s="144" t="s">
        <v>147</v>
      </c>
      <c r="B70" s="151">
        <v>2026</v>
      </c>
      <c r="C70" s="151">
        <v>2027</v>
      </c>
      <c r="D70" s="151">
        <v>2028</v>
      </c>
      <c r="E70" s="151">
        <v>2029</v>
      </c>
      <c r="F70" s="151">
        <v>2030</v>
      </c>
      <c r="G70" s="151" t="s">
        <v>99</v>
      </c>
    </row>
    <row r="71" spans="1:7" ht="15" customHeight="1" x14ac:dyDescent="0.2">
      <c r="A71" s="144" t="s">
        <v>777</v>
      </c>
      <c r="B71" s="155">
        <f>MIN(B72, B44)</f>
        <v>0</v>
      </c>
      <c r="C71" s="155">
        <f>MIN(C72, C44)</f>
        <v>0</v>
      </c>
      <c r="D71" s="155">
        <f>MIN(D72, D44)</f>
        <v>0</v>
      </c>
      <c r="E71" s="155">
        <f>MIN(E72, E44)</f>
        <v>0</v>
      </c>
      <c r="F71" s="155">
        <f>MIN(F72, F44)</f>
        <v>0</v>
      </c>
      <c r="G71" s="155">
        <f>SUM(B71:F71)</f>
        <v>0</v>
      </c>
    </row>
    <row r="72" spans="1:7" ht="15" customHeight="1" x14ac:dyDescent="0.2">
      <c r="A72" s="183" t="s">
        <v>778</v>
      </c>
      <c r="B72" s="184">
        <v>0</v>
      </c>
      <c r="C72" s="184">
        <v>0</v>
      </c>
      <c r="D72" s="184">
        <v>0</v>
      </c>
      <c r="E72" s="184">
        <v>0</v>
      </c>
      <c r="F72" s="184">
        <v>0</v>
      </c>
      <c r="G72" s="150"/>
    </row>
    <row r="73" spans="1:7" ht="15" customHeight="1" x14ac:dyDescent="0.2">
      <c r="A73" s="183" t="s">
        <v>779</v>
      </c>
      <c r="B73" s="185">
        <v>0</v>
      </c>
      <c r="C73" s="185">
        <v>0.06</v>
      </c>
      <c r="D73" s="185">
        <v>0.06</v>
      </c>
      <c r="E73" s="185">
        <v>0.06</v>
      </c>
      <c r="F73" s="150"/>
      <c r="G73" s="150"/>
    </row>
    <row r="74" spans="1:7" ht="15" customHeight="1" x14ac:dyDescent="0.2">
      <c r="A74" s="119" t="s">
        <v>780</v>
      </c>
      <c r="B74" s="155">
        <f>IF(1&gt;=SUPUESTOS!$B$58, B44*B73, 0)</f>
        <v>0</v>
      </c>
      <c r="C74" s="155">
        <f>IF(2&gt;=SUPUESTOS!$B$58, C44*C73, 0)</f>
        <v>195495.39109359606</v>
      </c>
      <c r="D74" s="155">
        <f>IF(3&gt;=SUPUESTOS!$B$58, D44*D73, 0)</f>
        <v>203276.79518375086</v>
      </c>
      <c r="E74" s="155">
        <f>IF(4&gt;=SUPUESTOS!$B$58, E44*E73, 0)</f>
        <v>218947.25167668605</v>
      </c>
      <c r="F74" s="155">
        <f>IF(5&gt;=SUPUESTOS!$B$58, F44*F73, 0)</f>
        <v>0</v>
      </c>
      <c r="G74" s="155">
        <f>SUM(B74:F74)</f>
        <v>617719.43795403303</v>
      </c>
    </row>
    <row r="75" spans="1:7" ht="15.75" customHeight="1" x14ac:dyDescent="0.2">
      <c r="B75" s="150"/>
      <c r="C75" s="150"/>
      <c r="D75" s="150"/>
      <c r="E75" s="150"/>
      <c r="F75" s="150"/>
      <c r="G75" s="150"/>
    </row>
    <row r="76" spans="1:7" ht="15" customHeight="1" x14ac:dyDescent="0.2">
      <c r="A76" s="144" t="s">
        <v>781</v>
      </c>
      <c r="B76" s="186">
        <f>B71+B74</f>
        <v>0</v>
      </c>
      <c r="C76" s="186">
        <f>C71+C74</f>
        <v>195495.39109359606</v>
      </c>
      <c r="D76" s="186">
        <f>D71+D74</f>
        <v>203276.79518375086</v>
      </c>
      <c r="E76" s="186">
        <f>E71+E74</f>
        <v>218947.25167668605</v>
      </c>
      <c r="F76" s="186">
        <f>F71+F74</f>
        <v>0</v>
      </c>
      <c r="G76" s="186">
        <f>SUM(B76:F76)</f>
        <v>617719.43795403303</v>
      </c>
    </row>
    <row r="77" spans="1:7" ht="15" customHeight="1" x14ac:dyDescent="0.2">
      <c r="A77" s="119" t="s">
        <v>782</v>
      </c>
      <c r="B77" s="187">
        <f>SUPUESTOS!$B$59</f>
        <v>0</v>
      </c>
      <c r="C77" s="187">
        <f>SUPUESTOS!$B$59</f>
        <v>0</v>
      </c>
      <c r="D77" s="187">
        <f>SUPUESTOS!$B$59</f>
        <v>0</v>
      </c>
      <c r="E77" s="187">
        <f>SUPUESTOS!$B$59</f>
        <v>0</v>
      </c>
      <c r="F77" s="187">
        <f>SUPUESTOS!$B$59</f>
        <v>0</v>
      </c>
      <c r="G77" s="150"/>
    </row>
    <row r="78" spans="1:7" ht="15" customHeight="1" x14ac:dyDescent="0.2">
      <c r="A78" s="119" t="s">
        <v>783</v>
      </c>
      <c r="B78" s="155">
        <f>B76*B77</f>
        <v>0</v>
      </c>
      <c r="C78" s="155">
        <f>C76*C77</f>
        <v>0</v>
      </c>
      <c r="D78" s="155">
        <f>D76*D77</f>
        <v>0</v>
      </c>
      <c r="E78" s="155">
        <f>E76*E77</f>
        <v>0</v>
      </c>
      <c r="F78" s="155">
        <f>F76*F77</f>
        <v>0</v>
      </c>
      <c r="G78" s="155">
        <f>SUM(B78:F78)</f>
        <v>0</v>
      </c>
    </row>
    <row r="79" spans="1:7" ht="15" customHeight="1" x14ac:dyDescent="0.2">
      <c r="A79" s="144" t="s">
        <v>784</v>
      </c>
      <c r="B79" s="186">
        <f>B76-B78</f>
        <v>0</v>
      </c>
      <c r="C79" s="186">
        <f>C76-C78</f>
        <v>195495.39109359606</v>
      </c>
      <c r="D79" s="186">
        <f>D76-D78</f>
        <v>203276.79518375086</v>
      </c>
      <c r="E79" s="186">
        <f>E76-E78</f>
        <v>218947.25167668605</v>
      </c>
      <c r="F79" s="186">
        <f>F76-F78</f>
        <v>0</v>
      </c>
      <c r="G79" s="186">
        <f>SUM(B79:F79)</f>
        <v>617719.43795403303</v>
      </c>
    </row>
    <row r="80" spans="1:7" ht="15" customHeight="1" x14ac:dyDescent="0.2">
      <c r="A80" s="119" t="s">
        <v>785</v>
      </c>
      <c r="B80" s="155">
        <f>B76</f>
        <v>0</v>
      </c>
      <c r="C80" s="155">
        <f>C76</f>
        <v>195495.39109359606</v>
      </c>
      <c r="D80" s="155">
        <f>D76</f>
        <v>203276.79518375086</v>
      </c>
      <c r="E80" s="155">
        <f>E76</f>
        <v>218947.25167668605</v>
      </c>
      <c r="F80" s="155">
        <f>F76</f>
        <v>0</v>
      </c>
      <c r="G80" s="150"/>
    </row>
    <row r="81" spans="1:7" ht="15" customHeight="1" x14ac:dyDescent="0.2">
      <c r="A81" s="119" t="s">
        <v>786</v>
      </c>
      <c r="B81" s="150"/>
      <c r="C81" s="150"/>
      <c r="D81" s="150"/>
      <c r="E81" s="150"/>
      <c r="F81" s="150"/>
      <c r="G81" s="150"/>
    </row>
    <row r="82" spans="1:7" ht="15.75" customHeight="1" x14ac:dyDescent="0.2">
      <c r="B82" s="150"/>
      <c r="C82" s="150"/>
      <c r="D82" s="150"/>
      <c r="E82" s="150"/>
      <c r="F82" s="150"/>
      <c r="G82" s="150"/>
    </row>
    <row r="83" spans="1:7" ht="15.75" customHeight="1" x14ac:dyDescent="0.2">
      <c r="B83" s="150"/>
      <c r="C83" s="150"/>
      <c r="D83" s="150"/>
      <c r="E83" s="150"/>
      <c r="F83" s="150"/>
      <c r="G83" s="150"/>
    </row>
    <row r="84" spans="1:7" ht="15.75" customHeight="1" x14ac:dyDescent="0.2">
      <c r="B84" s="150"/>
      <c r="C84" s="150"/>
      <c r="D84" s="150"/>
      <c r="E84" s="150"/>
      <c r="F84" s="150"/>
      <c r="G84" s="150"/>
    </row>
    <row r="85" spans="1:7" ht="15.75" customHeight="1" x14ac:dyDescent="0.2">
      <c r="B85" s="150"/>
      <c r="C85" s="150"/>
      <c r="D85" s="150"/>
      <c r="E85" s="150"/>
      <c r="F85" s="150"/>
      <c r="G85" s="150"/>
    </row>
    <row r="86" spans="1:7" ht="15.75" customHeight="1" x14ac:dyDescent="0.2">
      <c r="B86" s="150"/>
      <c r="C86" s="150"/>
      <c r="D86" s="150"/>
      <c r="E86" s="150"/>
      <c r="F86" s="150"/>
      <c r="G86" s="150"/>
    </row>
    <row r="87" spans="1:7" ht="15.75" customHeight="1" x14ac:dyDescent="0.2">
      <c r="B87" s="150"/>
      <c r="C87" s="150"/>
      <c r="D87" s="150"/>
      <c r="E87" s="150"/>
      <c r="F87" s="150"/>
      <c r="G87" s="150"/>
    </row>
    <row r="88" spans="1:7" ht="15.75" customHeight="1" x14ac:dyDescent="0.2">
      <c r="B88" s="150"/>
      <c r="C88" s="150"/>
      <c r="D88" s="150"/>
      <c r="E88" s="150"/>
      <c r="F88" s="150"/>
      <c r="G88" s="150"/>
    </row>
    <row r="89" spans="1:7" ht="15.75" customHeight="1" x14ac:dyDescent="0.2">
      <c r="B89" s="150"/>
      <c r="C89" s="150"/>
      <c r="D89" s="150"/>
      <c r="E89" s="150"/>
      <c r="F89" s="150"/>
      <c r="G89" s="150"/>
    </row>
    <row r="90" spans="1:7" ht="15.75" customHeight="1" x14ac:dyDescent="0.2">
      <c r="B90" s="150"/>
      <c r="C90" s="150"/>
      <c r="D90" s="150"/>
      <c r="E90" s="150"/>
      <c r="F90" s="150"/>
      <c r="G90" s="150"/>
    </row>
    <row r="91" spans="1:7" ht="15.75" customHeight="1" x14ac:dyDescent="0.2">
      <c r="B91" s="150"/>
      <c r="C91" s="150"/>
      <c r="D91" s="150"/>
      <c r="E91" s="150"/>
      <c r="F91" s="150"/>
      <c r="G91" s="150"/>
    </row>
    <row r="92" spans="1:7" ht="15.75" customHeight="1" x14ac:dyDescent="0.2">
      <c r="B92" s="150"/>
      <c r="C92" s="150"/>
      <c r="D92" s="150"/>
      <c r="E92" s="150"/>
      <c r="F92" s="150"/>
      <c r="G92" s="150"/>
    </row>
    <row r="93" spans="1:7" ht="15.75" customHeight="1" x14ac:dyDescent="0.2">
      <c r="B93" s="150"/>
      <c r="C93" s="150"/>
      <c r="D93" s="150"/>
      <c r="E93" s="150"/>
      <c r="F93" s="150"/>
      <c r="G93" s="150"/>
    </row>
    <row r="94" spans="1:7" ht="15.75" customHeight="1" x14ac:dyDescent="0.2">
      <c r="B94" s="150"/>
      <c r="C94" s="150"/>
      <c r="D94" s="150"/>
      <c r="E94" s="150"/>
      <c r="F94" s="150"/>
      <c r="G94" s="150"/>
    </row>
    <row r="95" spans="1:7" ht="15.75" customHeight="1" x14ac:dyDescent="0.2">
      <c r="B95" s="150"/>
      <c r="C95" s="150"/>
      <c r="D95" s="150"/>
      <c r="E95" s="150"/>
      <c r="F95" s="150"/>
      <c r="G95" s="150"/>
    </row>
    <row r="96" spans="1:7" ht="15.75" customHeight="1" x14ac:dyDescent="0.2">
      <c r="B96" s="150"/>
      <c r="C96" s="150"/>
      <c r="D96" s="150"/>
      <c r="E96" s="150"/>
      <c r="F96" s="150"/>
      <c r="G96" s="150"/>
    </row>
    <row r="97" spans="2:7" ht="15.75" customHeight="1" x14ac:dyDescent="0.2">
      <c r="B97" s="150"/>
      <c r="C97" s="150"/>
      <c r="D97" s="150"/>
      <c r="E97" s="150"/>
      <c r="F97" s="150"/>
      <c r="G97" s="150"/>
    </row>
    <row r="98" spans="2:7" ht="15.75" customHeight="1" x14ac:dyDescent="0.2">
      <c r="B98" s="150"/>
      <c r="C98" s="150"/>
      <c r="D98" s="150"/>
      <c r="E98" s="150"/>
      <c r="F98" s="150"/>
      <c r="G98" s="150"/>
    </row>
    <row r="99" spans="2:7" ht="15.75" customHeight="1" x14ac:dyDescent="0.2">
      <c r="B99" s="150"/>
      <c r="C99" s="150"/>
      <c r="D99" s="150"/>
      <c r="E99" s="150"/>
      <c r="F99" s="150"/>
      <c r="G99" s="150"/>
    </row>
    <row r="100" spans="2:7" ht="15.75" customHeight="1" x14ac:dyDescent="0.2">
      <c r="B100" s="150"/>
      <c r="C100" s="150"/>
      <c r="D100" s="150"/>
      <c r="E100" s="150"/>
      <c r="F100" s="150"/>
      <c r="G100" s="150"/>
    </row>
    <row r="101" spans="2:7" ht="15.75" customHeight="1" x14ac:dyDescent="0.2">
      <c r="B101" s="150"/>
      <c r="C101" s="150"/>
      <c r="D101" s="150"/>
      <c r="E101" s="150"/>
      <c r="F101" s="150"/>
      <c r="G101" s="150"/>
    </row>
    <row r="102" spans="2:7" ht="15.75" customHeight="1" x14ac:dyDescent="0.2">
      <c r="B102" s="150"/>
      <c r="C102" s="150"/>
      <c r="D102" s="150"/>
      <c r="E102" s="150"/>
      <c r="F102" s="150"/>
      <c r="G102" s="150"/>
    </row>
    <row r="103" spans="2:7" ht="15.75" customHeight="1" x14ac:dyDescent="0.2">
      <c r="B103" s="150"/>
      <c r="C103" s="150"/>
      <c r="D103" s="150"/>
      <c r="E103" s="150"/>
      <c r="F103" s="150"/>
      <c r="G103" s="150"/>
    </row>
    <row r="104" spans="2:7" ht="15.75" customHeight="1" x14ac:dyDescent="0.2">
      <c r="B104" s="150"/>
      <c r="C104" s="150"/>
      <c r="D104" s="150"/>
      <c r="E104" s="150"/>
      <c r="F104" s="150"/>
      <c r="G104" s="150"/>
    </row>
    <row r="105" spans="2:7" ht="15.75" customHeight="1" x14ac:dyDescent="0.2">
      <c r="B105" s="150"/>
      <c r="C105" s="150"/>
      <c r="D105" s="150"/>
      <c r="E105" s="150"/>
      <c r="F105" s="150"/>
      <c r="G105" s="150"/>
    </row>
    <row r="106" spans="2:7" ht="15.75" customHeight="1" x14ac:dyDescent="0.2">
      <c r="B106" s="150"/>
      <c r="C106" s="150"/>
      <c r="D106" s="150"/>
      <c r="E106" s="150"/>
      <c r="F106" s="150"/>
      <c r="G106" s="150"/>
    </row>
    <row r="107" spans="2:7" ht="15.75" customHeight="1" x14ac:dyDescent="0.2">
      <c r="B107" s="150"/>
      <c r="C107" s="150"/>
      <c r="D107" s="150"/>
      <c r="E107" s="150"/>
      <c r="F107" s="150"/>
      <c r="G107" s="150"/>
    </row>
    <row r="108" spans="2:7" ht="15.75" customHeight="1" x14ac:dyDescent="0.2">
      <c r="B108" s="150"/>
      <c r="C108" s="150"/>
      <c r="D108" s="150"/>
      <c r="E108" s="150"/>
      <c r="F108" s="150"/>
      <c r="G108" s="150"/>
    </row>
    <row r="109" spans="2:7" ht="15.75" customHeight="1" x14ac:dyDescent="0.2">
      <c r="B109" s="150"/>
      <c r="C109" s="150"/>
      <c r="D109" s="150"/>
      <c r="E109" s="150"/>
      <c r="F109" s="150"/>
      <c r="G109" s="150"/>
    </row>
    <row r="110" spans="2:7" ht="15.75" customHeight="1" x14ac:dyDescent="0.2">
      <c r="B110" s="150"/>
      <c r="C110" s="150"/>
      <c r="D110" s="150"/>
      <c r="E110" s="150"/>
      <c r="F110" s="150"/>
      <c r="G110" s="150"/>
    </row>
    <row r="111" spans="2:7" ht="15.75" customHeight="1" x14ac:dyDescent="0.2">
      <c r="B111" s="150"/>
      <c r="C111" s="150"/>
      <c r="D111" s="150"/>
      <c r="E111" s="150"/>
      <c r="F111" s="150"/>
      <c r="G111" s="150"/>
    </row>
    <row r="112" spans="2:7" ht="15.75" customHeight="1" x14ac:dyDescent="0.2">
      <c r="B112" s="150"/>
      <c r="C112" s="150"/>
      <c r="D112" s="150"/>
      <c r="E112" s="150"/>
      <c r="F112" s="150"/>
      <c r="G112" s="150"/>
    </row>
    <row r="113" spans="2:7" ht="15.75" customHeight="1" x14ac:dyDescent="0.2">
      <c r="B113" s="150"/>
      <c r="C113" s="150"/>
      <c r="D113" s="150"/>
      <c r="E113" s="150"/>
      <c r="F113" s="150"/>
      <c r="G113" s="150"/>
    </row>
    <row r="114" spans="2:7" ht="15.75" customHeight="1" x14ac:dyDescent="0.2">
      <c r="B114" s="150"/>
      <c r="C114" s="150"/>
      <c r="D114" s="150"/>
      <c r="E114" s="150"/>
      <c r="F114" s="150"/>
      <c r="G114" s="150"/>
    </row>
    <row r="115" spans="2:7" ht="15.75" customHeight="1" x14ac:dyDescent="0.2">
      <c r="B115" s="150"/>
      <c r="C115" s="150"/>
      <c r="D115" s="150"/>
      <c r="E115" s="150"/>
      <c r="F115" s="150"/>
      <c r="G115" s="150"/>
    </row>
    <row r="116" spans="2:7" ht="15.75" customHeight="1" x14ac:dyDescent="0.2">
      <c r="B116" s="150"/>
      <c r="C116" s="150"/>
      <c r="D116" s="150"/>
      <c r="E116" s="150"/>
      <c r="F116" s="150"/>
      <c r="G116" s="150"/>
    </row>
    <row r="117" spans="2:7" ht="15.75" customHeight="1" x14ac:dyDescent="0.2">
      <c r="B117" s="150"/>
      <c r="C117" s="150"/>
      <c r="D117" s="150"/>
      <c r="E117" s="150"/>
      <c r="F117" s="150"/>
      <c r="G117" s="150"/>
    </row>
    <row r="118" spans="2:7" ht="15.75" customHeight="1" x14ac:dyDescent="0.2">
      <c r="B118" s="150"/>
      <c r="C118" s="150"/>
      <c r="D118" s="150"/>
      <c r="E118" s="150"/>
      <c r="F118" s="150"/>
      <c r="G118" s="150"/>
    </row>
    <row r="119" spans="2:7" ht="15.75" customHeight="1" x14ac:dyDescent="0.2">
      <c r="B119" s="150"/>
      <c r="C119" s="150"/>
      <c r="D119" s="150"/>
      <c r="E119" s="150"/>
      <c r="F119" s="150"/>
      <c r="G119" s="150"/>
    </row>
    <row r="120" spans="2:7" ht="15.75" customHeight="1" x14ac:dyDescent="0.2">
      <c r="B120" s="150"/>
      <c r="C120" s="150"/>
      <c r="D120" s="150"/>
      <c r="E120" s="150"/>
      <c r="F120" s="150"/>
      <c r="G120" s="150"/>
    </row>
    <row r="121" spans="2:7" ht="15.75" customHeight="1" x14ac:dyDescent="0.2">
      <c r="B121" s="150"/>
      <c r="C121" s="150"/>
      <c r="D121" s="150"/>
      <c r="E121" s="150"/>
      <c r="F121" s="150"/>
      <c r="G121" s="150"/>
    </row>
    <row r="122" spans="2:7" ht="15.75" customHeight="1" x14ac:dyDescent="0.2">
      <c r="B122" s="150"/>
      <c r="C122" s="150"/>
      <c r="D122" s="150"/>
      <c r="E122" s="150"/>
      <c r="F122" s="150"/>
      <c r="G122" s="150"/>
    </row>
    <row r="123" spans="2:7" ht="15.75" customHeight="1" x14ac:dyDescent="0.2">
      <c r="B123" s="150"/>
      <c r="C123" s="150"/>
      <c r="D123" s="150"/>
      <c r="E123" s="150"/>
      <c r="F123" s="150"/>
      <c r="G123" s="150"/>
    </row>
    <row r="124" spans="2:7" ht="15.75" customHeight="1" x14ac:dyDescent="0.2">
      <c r="B124" s="150"/>
      <c r="C124" s="150"/>
      <c r="D124" s="150"/>
      <c r="E124" s="150"/>
      <c r="F124" s="150"/>
      <c r="G124" s="150"/>
    </row>
    <row r="125" spans="2:7" ht="15.75" customHeight="1" x14ac:dyDescent="0.2">
      <c r="B125" s="150"/>
      <c r="C125" s="150"/>
      <c r="D125" s="150"/>
      <c r="E125" s="150"/>
      <c r="F125" s="150"/>
      <c r="G125" s="150"/>
    </row>
    <row r="126" spans="2:7" ht="15.75" customHeight="1" x14ac:dyDescent="0.2">
      <c r="B126" s="150"/>
      <c r="C126" s="150"/>
      <c r="D126" s="150"/>
      <c r="E126" s="150"/>
      <c r="F126" s="150"/>
      <c r="G126" s="150"/>
    </row>
    <row r="127" spans="2:7" ht="15.75" customHeight="1" x14ac:dyDescent="0.2">
      <c r="B127" s="150"/>
      <c r="C127" s="150"/>
      <c r="D127" s="150"/>
      <c r="E127" s="150"/>
      <c r="F127" s="150"/>
      <c r="G127" s="150"/>
    </row>
    <row r="128" spans="2:7" ht="15.75" customHeight="1" x14ac:dyDescent="0.2">
      <c r="B128" s="150"/>
      <c r="C128" s="150"/>
      <c r="D128" s="150"/>
      <c r="E128" s="150"/>
      <c r="F128" s="150"/>
      <c r="G128" s="150"/>
    </row>
    <row r="129" spans="2:7" ht="15.75" customHeight="1" x14ac:dyDescent="0.2">
      <c r="B129" s="150"/>
      <c r="C129" s="150"/>
      <c r="D129" s="150"/>
      <c r="E129" s="150"/>
      <c r="F129" s="150"/>
      <c r="G129" s="150"/>
    </row>
    <row r="130" spans="2:7" ht="15.75" customHeight="1" x14ac:dyDescent="0.2">
      <c r="B130" s="150"/>
      <c r="C130" s="150"/>
      <c r="D130" s="150"/>
      <c r="E130" s="150"/>
      <c r="F130" s="150"/>
      <c r="G130" s="150"/>
    </row>
    <row r="131" spans="2:7" ht="15.75" customHeight="1" x14ac:dyDescent="0.2">
      <c r="B131" s="150"/>
      <c r="C131" s="150"/>
      <c r="D131" s="150"/>
      <c r="E131" s="150"/>
      <c r="F131" s="150"/>
      <c r="G131" s="150"/>
    </row>
    <row r="132" spans="2:7" ht="15.75" customHeight="1" x14ac:dyDescent="0.2">
      <c r="B132" s="150"/>
      <c r="C132" s="150"/>
      <c r="D132" s="150"/>
      <c r="E132" s="150"/>
      <c r="F132" s="150"/>
      <c r="G132" s="150"/>
    </row>
    <row r="133" spans="2:7" ht="15.75" customHeight="1" x14ac:dyDescent="0.2">
      <c r="B133" s="150"/>
      <c r="C133" s="150"/>
      <c r="D133" s="150"/>
      <c r="E133" s="150"/>
      <c r="F133" s="150"/>
      <c r="G133" s="150"/>
    </row>
    <row r="134" spans="2:7" ht="15.75" customHeight="1" x14ac:dyDescent="0.2">
      <c r="B134" s="150"/>
      <c r="C134" s="150"/>
      <c r="D134" s="150"/>
      <c r="E134" s="150"/>
      <c r="F134" s="150"/>
      <c r="G134" s="150"/>
    </row>
    <row r="135" spans="2:7" ht="15.75" customHeight="1" x14ac:dyDescent="0.2">
      <c r="B135" s="150"/>
      <c r="C135" s="150"/>
      <c r="D135" s="150"/>
      <c r="E135" s="150"/>
      <c r="F135" s="150"/>
      <c r="G135" s="150"/>
    </row>
    <row r="136" spans="2:7" ht="15.75" customHeight="1" x14ac:dyDescent="0.2">
      <c r="B136" s="150"/>
      <c r="C136" s="150"/>
      <c r="D136" s="150"/>
      <c r="E136" s="150"/>
      <c r="F136" s="150"/>
      <c r="G136" s="150"/>
    </row>
    <row r="137" spans="2:7" ht="15.75" customHeight="1" x14ac:dyDescent="0.2">
      <c r="B137" s="150"/>
      <c r="C137" s="150"/>
      <c r="D137" s="150"/>
      <c r="E137" s="150"/>
      <c r="F137" s="150"/>
      <c r="G137" s="150"/>
    </row>
    <row r="138" spans="2:7" ht="15.75" customHeight="1" x14ac:dyDescent="0.2">
      <c r="B138" s="150"/>
      <c r="C138" s="150"/>
      <c r="D138" s="150"/>
      <c r="E138" s="150"/>
      <c r="F138" s="150"/>
      <c r="G138" s="150"/>
    </row>
    <row r="139" spans="2:7" ht="15.75" customHeight="1" x14ac:dyDescent="0.2">
      <c r="B139" s="150"/>
      <c r="C139" s="150"/>
      <c r="D139" s="150"/>
      <c r="E139" s="150"/>
      <c r="F139" s="150"/>
      <c r="G139" s="150"/>
    </row>
    <row r="140" spans="2:7" ht="15.75" customHeight="1" x14ac:dyDescent="0.2">
      <c r="B140" s="150"/>
      <c r="C140" s="150"/>
      <c r="D140" s="150"/>
      <c r="E140" s="150"/>
      <c r="F140" s="150"/>
      <c r="G140" s="150"/>
    </row>
    <row r="141" spans="2:7" ht="15.75" customHeight="1" x14ac:dyDescent="0.2">
      <c r="B141" s="150"/>
      <c r="C141" s="150"/>
      <c r="D141" s="150"/>
      <c r="E141" s="150"/>
      <c r="F141" s="150"/>
      <c r="G141" s="150"/>
    </row>
    <row r="142" spans="2:7" ht="15.75" customHeight="1" x14ac:dyDescent="0.2">
      <c r="B142" s="150"/>
      <c r="C142" s="150"/>
      <c r="D142" s="150"/>
      <c r="E142" s="150"/>
      <c r="F142" s="150"/>
      <c r="G142" s="150"/>
    </row>
    <row r="143" spans="2:7" ht="15.75" customHeight="1" x14ac:dyDescent="0.2">
      <c r="B143" s="150"/>
      <c r="C143" s="150"/>
      <c r="D143" s="150"/>
      <c r="E143" s="150"/>
      <c r="F143" s="150"/>
      <c r="G143" s="150"/>
    </row>
    <row r="144" spans="2:7" ht="15.75" customHeight="1" x14ac:dyDescent="0.2">
      <c r="B144" s="150"/>
      <c r="C144" s="150"/>
      <c r="D144" s="150"/>
      <c r="E144" s="150"/>
      <c r="F144" s="150"/>
      <c r="G144" s="150"/>
    </row>
    <row r="145" spans="2:7" ht="15.75" customHeight="1" x14ac:dyDescent="0.2">
      <c r="B145" s="150"/>
      <c r="C145" s="150"/>
      <c r="D145" s="150"/>
      <c r="E145" s="150"/>
      <c r="F145" s="150"/>
      <c r="G145" s="150"/>
    </row>
    <row r="146" spans="2:7" ht="15.75" customHeight="1" x14ac:dyDescent="0.2">
      <c r="B146" s="150"/>
      <c r="C146" s="150"/>
      <c r="D146" s="150"/>
      <c r="E146" s="150"/>
      <c r="F146" s="150"/>
      <c r="G146" s="150"/>
    </row>
    <row r="147" spans="2:7" ht="15.75" customHeight="1" x14ac:dyDescent="0.2">
      <c r="B147" s="150"/>
      <c r="C147" s="150"/>
      <c r="D147" s="150"/>
      <c r="E147" s="150"/>
      <c r="F147" s="150"/>
      <c r="G147" s="150"/>
    </row>
    <row r="148" spans="2:7" ht="15.75" customHeight="1" x14ac:dyDescent="0.2">
      <c r="B148" s="150"/>
      <c r="C148" s="150"/>
      <c r="D148" s="150"/>
      <c r="E148" s="150"/>
      <c r="F148" s="150"/>
      <c r="G148" s="150"/>
    </row>
    <row r="149" spans="2:7" ht="15.75" customHeight="1" x14ac:dyDescent="0.2">
      <c r="B149" s="150"/>
      <c r="C149" s="150"/>
      <c r="D149" s="150"/>
      <c r="E149" s="150"/>
      <c r="F149" s="150"/>
      <c r="G149" s="150"/>
    </row>
    <row r="150" spans="2:7" ht="15.75" customHeight="1" x14ac:dyDescent="0.2">
      <c r="B150" s="150"/>
      <c r="C150" s="150"/>
      <c r="D150" s="150"/>
      <c r="E150" s="150"/>
      <c r="F150" s="150"/>
      <c r="G150" s="150"/>
    </row>
    <row r="151" spans="2:7" ht="15.75" customHeight="1" x14ac:dyDescent="0.2">
      <c r="B151" s="150"/>
      <c r="C151" s="150"/>
      <c r="D151" s="150"/>
      <c r="E151" s="150"/>
      <c r="F151" s="150"/>
      <c r="G151" s="150"/>
    </row>
    <row r="152" spans="2:7" ht="15.75" customHeight="1" x14ac:dyDescent="0.2">
      <c r="B152" s="150"/>
      <c r="C152" s="150"/>
      <c r="D152" s="150"/>
      <c r="E152" s="150"/>
      <c r="F152" s="150"/>
      <c r="G152" s="150"/>
    </row>
    <row r="153" spans="2:7" ht="15.75" customHeight="1" x14ac:dyDescent="0.2">
      <c r="B153" s="150"/>
      <c r="C153" s="150"/>
      <c r="D153" s="150"/>
      <c r="E153" s="150"/>
      <c r="F153" s="150"/>
      <c r="G153" s="150"/>
    </row>
    <row r="154" spans="2:7" ht="15.75" customHeight="1" x14ac:dyDescent="0.2">
      <c r="B154" s="150"/>
      <c r="C154" s="150"/>
      <c r="D154" s="150"/>
      <c r="E154" s="150"/>
      <c r="F154" s="150"/>
      <c r="G154" s="150"/>
    </row>
    <row r="155" spans="2:7" ht="15.75" customHeight="1" x14ac:dyDescent="0.2">
      <c r="B155" s="150"/>
      <c r="C155" s="150"/>
      <c r="D155" s="150"/>
      <c r="E155" s="150"/>
      <c r="F155" s="150"/>
      <c r="G155" s="150"/>
    </row>
    <row r="156" spans="2:7" ht="15.75" customHeight="1" x14ac:dyDescent="0.2">
      <c r="B156" s="150"/>
      <c r="C156" s="150"/>
      <c r="D156" s="150"/>
      <c r="E156" s="150"/>
      <c r="F156" s="150"/>
      <c r="G156" s="150"/>
    </row>
    <row r="157" spans="2:7" ht="15.75" customHeight="1" x14ac:dyDescent="0.2">
      <c r="B157" s="150"/>
      <c r="C157" s="150"/>
      <c r="D157" s="150"/>
      <c r="E157" s="150"/>
      <c r="F157" s="150"/>
      <c r="G157" s="150"/>
    </row>
    <row r="158" spans="2:7" ht="15.75" customHeight="1" x14ac:dyDescent="0.2">
      <c r="B158" s="150"/>
      <c r="C158" s="150"/>
      <c r="D158" s="150"/>
      <c r="E158" s="150"/>
      <c r="F158" s="150"/>
      <c r="G158" s="150"/>
    </row>
    <row r="159" spans="2:7" ht="15.75" customHeight="1" x14ac:dyDescent="0.2">
      <c r="B159" s="150"/>
      <c r="C159" s="150"/>
      <c r="D159" s="150"/>
      <c r="E159" s="150"/>
      <c r="F159" s="150"/>
      <c r="G159" s="150"/>
    </row>
    <row r="160" spans="2:7" ht="15.75" customHeight="1" x14ac:dyDescent="0.2">
      <c r="B160" s="150"/>
      <c r="C160" s="150"/>
      <c r="D160" s="150"/>
      <c r="E160" s="150"/>
      <c r="F160" s="150"/>
      <c r="G160" s="150"/>
    </row>
    <row r="161" spans="2:7" ht="15.75" customHeight="1" x14ac:dyDescent="0.2">
      <c r="B161" s="150"/>
      <c r="C161" s="150"/>
      <c r="D161" s="150"/>
      <c r="E161" s="150"/>
      <c r="F161" s="150"/>
      <c r="G161" s="150"/>
    </row>
    <row r="162" spans="2:7" ht="15.75" customHeight="1" x14ac:dyDescent="0.2">
      <c r="B162" s="150"/>
      <c r="C162" s="150"/>
      <c r="D162" s="150"/>
      <c r="E162" s="150"/>
      <c r="F162" s="150"/>
      <c r="G162" s="150"/>
    </row>
    <row r="163" spans="2:7" ht="15.75" customHeight="1" x14ac:dyDescent="0.2">
      <c r="B163" s="150"/>
      <c r="C163" s="150"/>
      <c r="D163" s="150"/>
      <c r="E163" s="150"/>
      <c r="F163" s="150"/>
      <c r="G163" s="150"/>
    </row>
    <row r="164" spans="2:7" ht="15.75" customHeight="1" x14ac:dyDescent="0.2">
      <c r="B164" s="150"/>
      <c r="C164" s="150"/>
      <c r="D164" s="150"/>
      <c r="E164" s="150"/>
      <c r="F164" s="150"/>
      <c r="G164" s="150"/>
    </row>
    <row r="165" spans="2:7" ht="15.75" customHeight="1" x14ac:dyDescent="0.2">
      <c r="B165" s="150"/>
      <c r="C165" s="150"/>
      <c r="D165" s="150"/>
      <c r="E165" s="150"/>
      <c r="F165" s="150"/>
      <c r="G165" s="150"/>
    </row>
    <row r="166" spans="2:7" ht="15.75" customHeight="1" x14ac:dyDescent="0.2">
      <c r="B166" s="150"/>
      <c r="C166" s="150"/>
      <c r="D166" s="150"/>
      <c r="E166" s="150"/>
      <c r="F166" s="150"/>
      <c r="G166" s="150"/>
    </row>
    <row r="167" spans="2:7" ht="15.75" customHeight="1" x14ac:dyDescent="0.2">
      <c r="B167" s="150"/>
      <c r="C167" s="150"/>
      <c r="D167" s="150"/>
      <c r="E167" s="150"/>
      <c r="F167" s="150"/>
      <c r="G167" s="150"/>
    </row>
    <row r="168" spans="2:7" ht="15.75" customHeight="1" x14ac:dyDescent="0.2">
      <c r="B168" s="150"/>
      <c r="C168" s="150"/>
      <c r="D168" s="150"/>
      <c r="E168" s="150"/>
      <c r="F168" s="150"/>
      <c r="G168" s="150"/>
    </row>
    <row r="169" spans="2:7" ht="15.75" customHeight="1" x14ac:dyDescent="0.2">
      <c r="B169" s="150"/>
      <c r="C169" s="150"/>
      <c r="D169" s="150"/>
      <c r="E169" s="150"/>
      <c r="F169" s="150"/>
      <c r="G169" s="150"/>
    </row>
    <row r="170" spans="2:7" ht="15.75" customHeight="1" x14ac:dyDescent="0.2">
      <c r="B170" s="150"/>
      <c r="C170" s="150"/>
      <c r="D170" s="150"/>
      <c r="E170" s="150"/>
      <c r="F170" s="150"/>
      <c r="G170" s="150"/>
    </row>
    <row r="171" spans="2:7" ht="15.75" customHeight="1" x14ac:dyDescent="0.2">
      <c r="B171" s="150"/>
      <c r="C171" s="150"/>
      <c r="D171" s="150"/>
      <c r="E171" s="150"/>
      <c r="F171" s="150"/>
      <c r="G171" s="150"/>
    </row>
    <row r="172" spans="2:7" ht="15.75" customHeight="1" x14ac:dyDescent="0.2">
      <c r="B172" s="150"/>
      <c r="C172" s="150"/>
      <c r="D172" s="150"/>
      <c r="E172" s="150"/>
      <c r="F172" s="150"/>
      <c r="G172" s="150"/>
    </row>
    <row r="173" spans="2:7" ht="15.75" customHeight="1" x14ac:dyDescent="0.2">
      <c r="B173" s="150"/>
      <c r="C173" s="150"/>
      <c r="D173" s="150"/>
      <c r="E173" s="150"/>
      <c r="F173" s="150"/>
      <c r="G173" s="150"/>
    </row>
    <row r="174" spans="2:7" ht="15.75" customHeight="1" x14ac:dyDescent="0.2">
      <c r="B174" s="150"/>
      <c r="C174" s="150"/>
      <c r="D174" s="150"/>
      <c r="E174" s="150"/>
      <c r="F174" s="150"/>
      <c r="G174" s="150"/>
    </row>
    <row r="175" spans="2:7" ht="15.75" customHeight="1" x14ac:dyDescent="0.2">
      <c r="B175" s="150"/>
      <c r="C175" s="150"/>
      <c r="D175" s="150"/>
      <c r="E175" s="150"/>
      <c r="F175" s="150"/>
      <c r="G175" s="150"/>
    </row>
    <row r="176" spans="2:7" ht="15.75" customHeight="1" x14ac:dyDescent="0.2">
      <c r="B176" s="150"/>
      <c r="C176" s="150"/>
      <c r="D176" s="150"/>
      <c r="E176" s="150"/>
      <c r="F176" s="150"/>
      <c r="G176" s="150"/>
    </row>
    <row r="177" spans="2:7" ht="15.75" customHeight="1" x14ac:dyDescent="0.2">
      <c r="B177" s="150"/>
      <c r="C177" s="150"/>
      <c r="D177" s="150"/>
      <c r="E177" s="150"/>
      <c r="F177" s="150"/>
      <c r="G177" s="150"/>
    </row>
    <row r="178" spans="2:7" ht="15.75" customHeight="1" x14ac:dyDescent="0.2">
      <c r="B178" s="150"/>
      <c r="C178" s="150"/>
      <c r="D178" s="150"/>
      <c r="E178" s="150"/>
      <c r="F178" s="150"/>
      <c r="G178" s="150"/>
    </row>
    <row r="179" spans="2:7" ht="15.75" customHeight="1" x14ac:dyDescent="0.2">
      <c r="B179" s="150"/>
      <c r="C179" s="150"/>
      <c r="D179" s="150"/>
      <c r="E179" s="150"/>
      <c r="F179" s="150"/>
      <c r="G179" s="150"/>
    </row>
    <row r="180" spans="2:7" ht="15.75" customHeight="1" x14ac:dyDescent="0.2">
      <c r="B180" s="150"/>
      <c r="C180" s="150"/>
      <c r="D180" s="150"/>
      <c r="E180" s="150"/>
      <c r="F180" s="150"/>
      <c r="G180" s="150"/>
    </row>
    <row r="181" spans="2:7" ht="15.75" customHeight="1" x14ac:dyDescent="0.2">
      <c r="B181" s="150"/>
      <c r="C181" s="150"/>
      <c r="D181" s="150"/>
      <c r="E181" s="150"/>
      <c r="F181" s="150"/>
      <c r="G181" s="150"/>
    </row>
    <row r="182" spans="2:7" ht="15.75" customHeight="1" x14ac:dyDescent="0.2">
      <c r="B182" s="150"/>
      <c r="C182" s="150"/>
      <c r="D182" s="150"/>
      <c r="E182" s="150"/>
      <c r="F182" s="150"/>
      <c r="G182" s="150"/>
    </row>
    <row r="183" spans="2:7" ht="15.75" customHeight="1" x14ac:dyDescent="0.2">
      <c r="B183" s="150"/>
      <c r="C183" s="150"/>
      <c r="D183" s="150"/>
      <c r="E183" s="150"/>
      <c r="F183" s="150"/>
      <c r="G183" s="150"/>
    </row>
    <row r="184" spans="2:7" ht="15.75" customHeight="1" x14ac:dyDescent="0.2">
      <c r="B184" s="150"/>
      <c r="C184" s="150"/>
      <c r="D184" s="150"/>
      <c r="E184" s="150"/>
      <c r="F184" s="150"/>
      <c r="G184" s="150"/>
    </row>
    <row r="185" spans="2:7" ht="15.75" customHeight="1" x14ac:dyDescent="0.2">
      <c r="B185" s="150"/>
      <c r="C185" s="150"/>
      <c r="D185" s="150"/>
      <c r="E185" s="150"/>
      <c r="F185" s="150"/>
      <c r="G185" s="150"/>
    </row>
    <row r="186" spans="2:7" ht="15.75" customHeight="1" x14ac:dyDescent="0.2">
      <c r="B186" s="150"/>
      <c r="C186" s="150"/>
      <c r="D186" s="150"/>
      <c r="E186" s="150"/>
      <c r="F186" s="150"/>
      <c r="G186" s="150"/>
    </row>
    <row r="187" spans="2:7" ht="15.75" customHeight="1" x14ac:dyDescent="0.2">
      <c r="B187" s="150"/>
      <c r="C187" s="150"/>
      <c r="D187" s="150"/>
      <c r="E187" s="150"/>
      <c r="F187" s="150"/>
      <c r="G187" s="150"/>
    </row>
    <row r="188" spans="2:7" ht="15.75" customHeight="1" x14ac:dyDescent="0.2">
      <c r="B188" s="150"/>
      <c r="C188" s="150"/>
      <c r="D188" s="150"/>
      <c r="E188" s="150"/>
      <c r="F188" s="150"/>
      <c r="G188" s="150"/>
    </row>
    <row r="189" spans="2:7" ht="15.75" customHeight="1" x14ac:dyDescent="0.2">
      <c r="B189" s="150"/>
      <c r="C189" s="150"/>
      <c r="D189" s="150"/>
      <c r="E189" s="150"/>
      <c r="F189" s="150"/>
      <c r="G189" s="150"/>
    </row>
    <row r="190" spans="2:7" ht="15.75" customHeight="1" x14ac:dyDescent="0.2">
      <c r="B190" s="150"/>
      <c r="C190" s="150"/>
      <c r="D190" s="150"/>
      <c r="E190" s="150"/>
      <c r="F190" s="150"/>
      <c r="G190" s="150"/>
    </row>
    <row r="191" spans="2:7" ht="15.75" customHeight="1" x14ac:dyDescent="0.2">
      <c r="B191" s="150"/>
      <c r="C191" s="150"/>
      <c r="D191" s="150"/>
      <c r="E191" s="150"/>
      <c r="F191" s="150"/>
      <c r="G191" s="150"/>
    </row>
    <row r="192" spans="2:7" ht="15.75" customHeight="1" x14ac:dyDescent="0.2">
      <c r="B192" s="150"/>
      <c r="C192" s="150"/>
      <c r="D192" s="150"/>
      <c r="E192" s="150"/>
      <c r="F192" s="150"/>
      <c r="G192" s="150"/>
    </row>
    <row r="193" spans="2:7" ht="15.75" customHeight="1" x14ac:dyDescent="0.2">
      <c r="B193" s="150"/>
      <c r="C193" s="150"/>
      <c r="D193" s="150"/>
      <c r="E193" s="150"/>
      <c r="F193" s="150"/>
      <c r="G193" s="150"/>
    </row>
    <row r="194" spans="2:7" ht="15.75" customHeight="1" x14ac:dyDescent="0.2">
      <c r="B194" s="150"/>
      <c r="C194" s="150"/>
      <c r="D194" s="150"/>
      <c r="E194" s="150"/>
      <c r="F194" s="150"/>
      <c r="G194" s="150"/>
    </row>
    <row r="195" spans="2:7" ht="15.75" customHeight="1" x14ac:dyDescent="0.2">
      <c r="B195" s="150"/>
      <c r="C195" s="150"/>
      <c r="D195" s="150"/>
      <c r="E195" s="150"/>
      <c r="F195" s="150"/>
      <c r="G195" s="150"/>
    </row>
    <row r="196" spans="2:7" ht="15.75" customHeight="1" x14ac:dyDescent="0.2">
      <c r="B196" s="150"/>
      <c r="C196" s="150"/>
      <c r="D196" s="150"/>
      <c r="E196" s="150"/>
      <c r="F196" s="150"/>
      <c r="G196" s="150"/>
    </row>
    <row r="197" spans="2:7" ht="15.75" customHeight="1" x14ac:dyDescent="0.2">
      <c r="B197" s="150"/>
      <c r="C197" s="150"/>
      <c r="D197" s="150"/>
      <c r="E197" s="150"/>
      <c r="F197" s="150"/>
      <c r="G197" s="150"/>
    </row>
    <row r="198" spans="2:7" ht="15.75" customHeight="1" x14ac:dyDescent="0.2">
      <c r="B198" s="150"/>
      <c r="C198" s="150"/>
      <c r="D198" s="150"/>
      <c r="E198" s="150"/>
      <c r="F198" s="150"/>
      <c r="G198" s="150"/>
    </row>
    <row r="199" spans="2:7" ht="15.75" customHeight="1" x14ac:dyDescent="0.2">
      <c r="B199" s="150"/>
      <c r="C199" s="150"/>
      <c r="D199" s="150"/>
      <c r="E199" s="150"/>
      <c r="F199" s="150"/>
      <c r="G199" s="150"/>
    </row>
    <row r="200" spans="2:7" ht="15.75" customHeight="1" x14ac:dyDescent="0.2">
      <c r="B200" s="150"/>
      <c r="C200" s="150"/>
      <c r="D200" s="150"/>
      <c r="E200" s="150"/>
      <c r="F200" s="150"/>
      <c r="G200" s="150"/>
    </row>
    <row r="201" spans="2:7" ht="15.75" customHeight="1" x14ac:dyDescent="0.2">
      <c r="B201" s="150"/>
      <c r="C201" s="150"/>
      <c r="D201" s="150"/>
      <c r="E201" s="150"/>
      <c r="F201" s="150"/>
      <c r="G201" s="150"/>
    </row>
    <row r="202" spans="2:7" ht="15.75" customHeight="1" x14ac:dyDescent="0.2">
      <c r="B202" s="150"/>
      <c r="C202" s="150"/>
      <c r="D202" s="150"/>
      <c r="E202" s="150"/>
      <c r="F202" s="150"/>
      <c r="G202" s="150"/>
    </row>
    <row r="203" spans="2:7" ht="15.75" customHeight="1" x14ac:dyDescent="0.2">
      <c r="B203" s="150"/>
      <c r="C203" s="150"/>
      <c r="D203" s="150"/>
      <c r="E203" s="150"/>
      <c r="F203" s="150"/>
      <c r="G203" s="150"/>
    </row>
    <row r="204" spans="2:7" ht="15.75" customHeight="1" x14ac:dyDescent="0.2">
      <c r="B204" s="150"/>
      <c r="C204" s="150"/>
      <c r="D204" s="150"/>
      <c r="E204" s="150"/>
      <c r="F204" s="150"/>
      <c r="G204" s="150"/>
    </row>
    <row r="205" spans="2:7" ht="15.75" customHeight="1" x14ac:dyDescent="0.2">
      <c r="B205" s="150"/>
      <c r="C205" s="150"/>
      <c r="D205" s="150"/>
      <c r="E205" s="150"/>
      <c r="F205" s="150"/>
      <c r="G205" s="150"/>
    </row>
    <row r="206" spans="2:7" ht="15.75" customHeight="1" x14ac:dyDescent="0.2">
      <c r="B206" s="150"/>
      <c r="C206" s="150"/>
      <c r="D206" s="150"/>
      <c r="E206" s="150"/>
      <c r="F206" s="150"/>
      <c r="G206" s="150"/>
    </row>
    <row r="207" spans="2:7" ht="15.75" customHeight="1" x14ac:dyDescent="0.2">
      <c r="B207" s="150"/>
      <c r="C207" s="150"/>
      <c r="D207" s="150"/>
      <c r="E207" s="150"/>
      <c r="F207" s="150"/>
      <c r="G207" s="150"/>
    </row>
    <row r="208" spans="2:7" ht="15.75" customHeight="1" x14ac:dyDescent="0.2">
      <c r="B208" s="150"/>
      <c r="C208" s="150"/>
      <c r="D208" s="150"/>
      <c r="E208" s="150"/>
      <c r="F208" s="150"/>
      <c r="G208" s="150"/>
    </row>
    <row r="209" spans="2:7" ht="15.75" customHeight="1" x14ac:dyDescent="0.2">
      <c r="B209" s="150"/>
      <c r="C209" s="150"/>
      <c r="D209" s="150"/>
      <c r="E209" s="150"/>
      <c r="F209" s="150"/>
      <c r="G209" s="150"/>
    </row>
    <row r="210" spans="2:7" ht="15.75" customHeight="1" x14ac:dyDescent="0.2">
      <c r="B210" s="150"/>
      <c r="C210" s="150"/>
      <c r="D210" s="150"/>
      <c r="E210" s="150"/>
      <c r="F210" s="150"/>
      <c r="G210" s="150"/>
    </row>
    <row r="211" spans="2:7" ht="15.75" customHeight="1" x14ac:dyDescent="0.2">
      <c r="B211" s="150"/>
      <c r="C211" s="150"/>
      <c r="D211" s="150"/>
      <c r="E211" s="150"/>
      <c r="F211" s="150"/>
      <c r="G211" s="150"/>
    </row>
    <row r="212" spans="2:7" ht="15.75" customHeight="1" x14ac:dyDescent="0.2">
      <c r="B212" s="150"/>
      <c r="C212" s="150"/>
      <c r="D212" s="150"/>
      <c r="E212" s="150"/>
      <c r="F212" s="150"/>
      <c r="G212" s="150"/>
    </row>
    <row r="213" spans="2:7" ht="15.75" customHeight="1" x14ac:dyDescent="0.2">
      <c r="B213" s="150"/>
      <c r="C213" s="150"/>
      <c r="D213" s="150"/>
      <c r="E213" s="150"/>
      <c r="F213" s="150"/>
      <c r="G213" s="150"/>
    </row>
    <row r="214" spans="2:7" ht="15.75" customHeight="1" x14ac:dyDescent="0.2">
      <c r="B214" s="150"/>
      <c r="C214" s="150"/>
      <c r="D214" s="150"/>
      <c r="E214" s="150"/>
      <c r="F214" s="150"/>
      <c r="G214" s="150"/>
    </row>
    <row r="215" spans="2:7" ht="15.75" customHeight="1" x14ac:dyDescent="0.2">
      <c r="B215" s="150"/>
      <c r="C215" s="150"/>
      <c r="D215" s="150"/>
      <c r="E215" s="150"/>
      <c r="F215" s="150"/>
      <c r="G215" s="150"/>
    </row>
    <row r="216" spans="2:7" ht="15.75" customHeight="1" x14ac:dyDescent="0.2">
      <c r="B216" s="150"/>
      <c r="C216" s="150"/>
      <c r="D216" s="150"/>
      <c r="E216" s="150"/>
      <c r="F216" s="150"/>
      <c r="G216" s="150"/>
    </row>
    <row r="217" spans="2:7" ht="15.75" customHeight="1" x14ac:dyDescent="0.2">
      <c r="B217" s="150"/>
      <c r="C217" s="150"/>
      <c r="D217" s="150"/>
      <c r="E217" s="150"/>
      <c r="F217" s="150"/>
      <c r="G217" s="150"/>
    </row>
    <row r="218" spans="2:7" ht="15.75" customHeight="1" x14ac:dyDescent="0.2">
      <c r="B218" s="150"/>
      <c r="C218" s="150"/>
      <c r="D218" s="150"/>
      <c r="E218" s="150"/>
      <c r="F218" s="150"/>
      <c r="G218" s="150"/>
    </row>
    <row r="219" spans="2:7" ht="15.75" customHeight="1" x14ac:dyDescent="0.2">
      <c r="B219" s="150"/>
      <c r="C219" s="150"/>
      <c r="D219" s="150"/>
      <c r="E219" s="150"/>
      <c r="F219" s="150"/>
      <c r="G219" s="150"/>
    </row>
    <row r="220" spans="2:7" ht="15.75" customHeight="1" x14ac:dyDescent="0.2">
      <c r="B220" s="150"/>
      <c r="C220" s="150"/>
      <c r="D220" s="150"/>
      <c r="E220" s="150"/>
      <c r="F220" s="150"/>
      <c r="G220" s="150"/>
    </row>
    <row r="221" spans="2:7" ht="15.75" customHeight="1" x14ac:dyDescent="0.2">
      <c r="B221" s="150"/>
      <c r="C221" s="150"/>
      <c r="D221" s="150"/>
      <c r="E221" s="150"/>
      <c r="F221" s="150"/>
      <c r="G221" s="150"/>
    </row>
    <row r="222" spans="2:7" ht="15.75" customHeight="1" x14ac:dyDescent="0.2">
      <c r="B222" s="150"/>
      <c r="C222" s="150"/>
      <c r="D222" s="150"/>
      <c r="E222" s="150"/>
      <c r="F222" s="150"/>
      <c r="G222" s="150"/>
    </row>
    <row r="223" spans="2:7" ht="15.75" customHeight="1" x14ac:dyDescent="0.2">
      <c r="B223" s="150"/>
      <c r="C223" s="150"/>
      <c r="D223" s="150"/>
      <c r="E223" s="150"/>
      <c r="F223" s="150"/>
      <c r="G223" s="150"/>
    </row>
    <row r="224" spans="2:7" ht="15.75" customHeight="1" x14ac:dyDescent="0.2">
      <c r="B224" s="150"/>
      <c r="C224" s="150"/>
      <c r="D224" s="150"/>
      <c r="E224" s="150"/>
      <c r="F224" s="150"/>
      <c r="G224" s="150"/>
    </row>
    <row r="225" spans="2:7" ht="15.75" customHeight="1" x14ac:dyDescent="0.2">
      <c r="B225" s="150"/>
      <c r="C225" s="150"/>
      <c r="D225" s="150"/>
      <c r="E225" s="150"/>
      <c r="F225" s="150"/>
      <c r="G225" s="150"/>
    </row>
    <row r="226" spans="2:7" ht="15.75" customHeight="1" x14ac:dyDescent="0.2">
      <c r="B226" s="150"/>
      <c r="C226" s="150"/>
      <c r="D226" s="150"/>
      <c r="E226" s="150"/>
      <c r="F226" s="150"/>
      <c r="G226" s="150"/>
    </row>
    <row r="227" spans="2:7" ht="15.75" customHeight="1" x14ac:dyDescent="0.2">
      <c r="B227" s="150"/>
      <c r="C227" s="150"/>
      <c r="D227" s="150"/>
      <c r="E227" s="150"/>
      <c r="F227" s="150"/>
      <c r="G227" s="150"/>
    </row>
    <row r="228" spans="2:7" ht="15.75" customHeight="1" x14ac:dyDescent="0.2">
      <c r="B228" s="150"/>
      <c r="C228" s="150"/>
      <c r="D228" s="150"/>
      <c r="E228" s="150"/>
      <c r="F228" s="150"/>
      <c r="G228" s="150"/>
    </row>
    <row r="229" spans="2:7" ht="15.75" customHeight="1" x14ac:dyDescent="0.2">
      <c r="B229" s="150"/>
      <c r="C229" s="150"/>
      <c r="D229" s="150"/>
      <c r="E229" s="150"/>
      <c r="F229" s="150"/>
      <c r="G229" s="150"/>
    </row>
    <row r="230" spans="2:7" ht="15.75" customHeight="1" x14ac:dyDescent="0.2">
      <c r="B230" s="150"/>
      <c r="C230" s="150"/>
      <c r="D230" s="150"/>
      <c r="E230" s="150"/>
      <c r="F230" s="150"/>
      <c r="G230" s="150"/>
    </row>
    <row r="231" spans="2:7" ht="15.75" customHeight="1" x14ac:dyDescent="0.2">
      <c r="B231" s="150"/>
      <c r="C231" s="150"/>
      <c r="D231" s="150"/>
      <c r="E231" s="150"/>
      <c r="F231" s="150"/>
      <c r="G231" s="150"/>
    </row>
    <row r="232" spans="2:7" ht="15.75" customHeight="1" x14ac:dyDescent="0.2">
      <c r="B232" s="150"/>
      <c r="C232" s="150"/>
      <c r="D232" s="150"/>
      <c r="E232" s="150"/>
      <c r="F232" s="150"/>
      <c r="G232" s="150"/>
    </row>
    <row r="233" spans="2:7" ht="15.75" customHeight="1" x14ac:dyDescent="0.2">
      <c r="B233" s="150"/>
      <c r="C233" s="150"/>
      <c r="D233" s="150"/>
      <c r="E233" s="150"/>
      <c r="F233" s="150"/>
      <c r="G233" s="150"/>
    </row>
    <row r="234" spans="2:7" ht="15.75" customHeight="1" x14ac:dyDescent="0.2">
      <c r="B234" s="150"/>
      <c r="C234" s="150"/>
      <c r="D234" s="150"/>
      <c r="E234" s="150"/>
      <c r="F234" s="150"/>
      <c r="G234" s="150"/>
    </row>
    <row r="235" spans="2:7" ht="15.75" customHeight="1" x14ac:dyDescent="0.2">
      <c r="B235" s="150"/>
      <c r="C235" s="150"/>
      <c r="D235" s="150"/>
      <c r="E235" s="150"/>
      <c r="F235" s="150"/>
      <c r="G235" s="150"/>
    </row>
    <row r="236" spans="2:7" ht="15.75" customHeight="1" x14ac:dyDescent="0.2">
      <c r="B236" s="150"/>
      <c r="C236" s="150"/>
      <c r="D236" s="150"/>
      <c r="E236" s="150"/>
      <c r="F236" s="150"/>
      <c r="G236" s="150"/>
    </row>
    <row r="237" spans="2:7" ht="15.75" customHeight="1" x14ac:dyDescent="0.2">
      <c r="B237" s="150"/>
      <c r="C237" s="150"/>
      <c r="D237" s="150"/>
      <c r="E237" s="150"/>
      <c r="F237" s="150"/>
      <c r="G237" s="150"/>
    </row>
    <row r="238" spans="2:7" ht="15.75" customHeight="1" x14ac:dyDescent="0.2">
      <c r="B238" s="150"/>
      <c r="C238" s="150"/>
      <c r="D238" s="150"/>
      <c r="E238" s="150"/>
      <c r="F238" s="150"/>
      <c r="G238" s="150"/>
    </row>
    <row r="239" spans="2:7" ht="15.75" customHeight="1" x14ac:dyDescent="0.2">
      <c r="B239" s="150"/>
      <c r="C239" s="150"/>
      <c r="D239" s="150"/>
      <c r="E239" s="150"/>
      <c r="F239" s="150"/>
      <c r="G239" s="150"/>
    </row>
    <row r="240" spans="2:7" ht="15.75" customHeight="1" x14ac:dyDescent="0.2">
      <c r="B240" s="150"/>
      <c r="C240" s="150"/>
      <c r="D240" s="150"/>
      <c r="E240" s="150"/>
      <c r="F240" s="150"/>
      <c r="G240" s="150"/>
    </row>
    <row r="241" spans="2:7" ht="15.75" customHeight="1" x14ac:dyDescent="0.2">
      <c r="B241" s="150"/>
      <c r="C241" s="150"/>
      <c r="D241" s="150"/>
      <c r="E241" s="150"/>
      <c r="F241" s="150"/>
      <c r="G241" s="150"/>
    </row>
    <row r="242" spans="2:7" ht="15.75" customHeight="1" x14ac:dyDescent="0.2">
      <c r="B242" s="150"/>
      <c r="C242" s="150"/>
      <c r="D242" s="150"/>
      <c r="E242" s="150"/>
      <c r="F242" s="150"/>
      <c r="G242" s="150"/>
    </row>
    <row r="243" spans="2:7" ht="15.75" customHeight="1" x14ac:dyDescent="0.2">
      <c r="B243" s="150"/>
      <c r="C243" s="150"/>
      <c r="D243" s="150"/>
      <c r="E243" s="150"/>
      <c r="F243" s="150"/>
      <c r="G243" s="150"/>
    </row>
    <row r="244" spans="2:7" ht="15.75" customHeight="1" x14ac:dyDescent="0.2">
      <c r="B244" s="150"/>
      <c r="C244" s="150"/>
      <c r="D244" s="150"/>
      <c r="E244" s="150"/>
      <c r="F244" s="150"/>
      <c r="G244" s="150"/>
    </row>
    <row r="245" spans="2:7" ht="15.75" customHeight="1" x14ac:dyDescent="0.2">
      <c r="B245" s="150"/>
      <c r="C245" s="150"/>
      <c r="D245" s="150"/>
      <c r="E245" s="150"/>
      <c r="F245" s="150"/>
      <c r="G245" s="150"/>
    </row>
    <row r="246" spans="2:7" ht="15.75" customHeight="1" x14ac:dyDescent="0.2">
      <c r="B246" s="150"/>
      <c r="C246" s="150"/>
      <c r="D246" s="150"/>
      <c r="E246" s="150"/>
      <c r="F246" s="150"/>
      <c r="G246" s="150"/>
    </row>
    <row r="247" spans="2:7" ht="15.75" customHeight="1" x14ac:dyDescent="0.2">
      <c r="B247" s="150"/>
      <c r="C247" s="150"/>
      <c r="D247" s="150"/>
      <c r="E247" s="150"/>
      <c r="F247" s="150"/>
      <c r="G247" s="150"/>
    </row>
    <row r="248" spans="2:7" ht="15.75" customHeight="1" x14ac:dyDescent="0.2">
      <c r="B248" s="150"/>
      <c r="C248" s="150"/>
      <c r="D248" s="150"/>
      <c r="E248" s="150"/>
      <c r="F248" s="150"/>
      <c r="G248" s="150"/>
    </row>
    <row r="249" spans="2:7" ht="15.75" customHeight="1" x14ac:dyDescent="0.2">
      <c r="B249" s="150"/>
      <c r="C249" s="150"/>
      <c r="D249" s="150"/>
      <c r="E249" s="150"/>
      <c r="F249" s="150"/>
      <c r="G249" s="150"/>
    </row>
    <row r="250" spans="2:7" ht="15.75" customHeight="1" x14ac:dyDescent="0.2">
      <c r="B250" s="150"/>
      <c r="C250" s="150"/>
      <c r="D250" s="150"/>
      <c r="E250" s="150"/>
      <c r="F250" s="150"/>
      <c r="G250" s="150"/>
    </row>
    <row r="251" spans="2:7" ht="15.75" customHeight="1" x14ac:dyDescent="0.2">
      <c r="B251" s="150"/>
      <c r="C251" s="150"/>
      <c r="D251" s="150"/>
      <c r="E251" s="150"/>
      <c r="F251" s="150"/>
      <c r="G251" s="150"/>
    </row>
    <row r="252" spans="2:7" ht="15.75" customHeight="1" x14ac:dyDescent="0.2">
      <c r="B252" s="150"/>
      <c r="C252" s="150"/>
      <c r="D252" s="150"/>
      <c r="E252" s="150"/>
      <c r="F252" s="150"/>
      <c r="G252" s="150"/>
    </row>
    <row r="253" spans="2:7" ht="15.75" customHeight="1" x14ac:dyDescent="0.2">
      <c r="B253" s="150"/>
      <c r="C253" s="150"/>
      <c r="D253" s="150"/>
      <c r="E253" s="150"/>
      <c r="F253" s="150"/>
      <c r="G253" s="150"/>
    </row>
    <row r="254" spans="2:7" ht="15.75" customHeight="1" x14ac:dyDescent="0.2">
      <c r="B254" s="150"/>
      <c r="C254" s="150"/>
      <c r="D254" s="150"/>
      <c r="E254" s="150"/>
      <c r="F254" s="150"/>
      <c r="G254" s="150"/>
    </row>
    <row r="255" spans="2:7" ht="15.75" customHeight="1" x14ac:dyDescent="0.2">
      <c r="B255" s="150"/>
      <c r="C255" s="150"/>
      <c r="D255" s="150"/>
      <c r="E255" s="150"/>
      <c r="F255" s="150"/>
      <c r="G255" s="150"/>
    </row>
    <row r="256" spans="2:7" ht="15.75" customHeight="1" x14ac:dyDescent="0.2">
      <c r="B256" s="150"/>
      <c r="C256" s="150"/>
      <c r="D256" s="150"/>
      <c r="E256" s="150"/>
      <c r="F256" s="150"/>
      <c r="G256" s="150"/>
    </row>
    <row r="257" spans="2:7" ht="15.75" customHeight="1" x14ac:dyDescent="0.2">
      <c r="B257" s="150"/>
      <c r="C257" s="150"/>
      <c r="D257" s="150"/>
      <c r="E257" s="150"/>
      <c r="F257" s="150"/>
      <c r="G257" s="150"/>
    </row>
    <row r="258" spans="2:7" ht="15.75" customHeight="1" x14ac:dyDescent="0.2">
      <c r="B258" s="150"/>
      <c r="C258" s="150"/>
      <c r="D258" s="150"/>
      <c r="E258" s="150"/>
      <c r="F258" s="150"/>
      <c r="G258" s="150"/>
    </row>
    <row r="259" spans="2:7" ht="15.75" customHeight="1" x14ac:dyDescent="0.2">
      <c r="B259" s="150"/>
      <c r="C259" s="150"/>
      <c r="D259" s="150"/>
      <c r="E259" s="150"/>
      <c r="F259" s="150"/>
      <c r="G259" s="150"/>
    </row>
    <row r="260" spans="2:7" ht="15.75" customHeight="1" x14ac:dyDescent="0.2">
      <c r="B260" s="150"/>
      <c r="C260" s="150"/>
      <c r="D260" s="150"/>
      <c r="E260" s="150"/>
      <c r="F260" s="150"/>
      <c r="G260" s="150"/>
    </row>
    <row r="261" spans="2:7" ht="15.75" customHeight="1" x14ac:dyDescent="0.2">
      <c r="B261" s="150"/>
      <c r="C261" s="150"/>
      <c r="D261" s="150"/>
      <c r="E261" s="150"/>
      <c r="F261" s="150"/>
      <c r="G261" s="150"/>
    </row>
    <row r="262" spans="2:7" ht="15.75" customHeight="1" x14ac:dyDescent="0.2">
      <c r="B262" s="150"/>
      <c r="C262" s="150"/>
      <c r="D262" s="150"/>
      <c r="E262" s="150"/>
      <c r="F262" s="150"/>
      <c r="G262" s="150"/>
    </row>
    <row r="263" spans="2:7" ht="15.75" customHeight="1" x14ac:dyDescent="0.2">
      <c r="B263" s="150"/>
      <c r="C263" s="150"/>
      <c r="D263" s="150"/>
      <c r="E263" s="150"/>
      <c r="F263" s="150"/>
      <c r="G263" s="150"/>
    </row>
    <row r="264" spans="2:7" ht="15.75" customHeight="1" x14ac:dyDescent="0.2">
      <c r="B264" s="150"/>
      <c r="C264" s="150"/>
      <c r="D264" s="150"/>
      <c r="E264" s="150"/>
      <c r="F264" s="150"/>
      <c r="G264" s="150"/>
    </row>
    <row r="265" spans="2:7" ht="15.75" customHeight="1" x14ac:dyDescent="0.2">
      <c r="B265" s="150"/>
      <c r="C265" s="150"/>
      <c r="D265" s="150"/>
      <c r="E265" s="150"/>
      <c r="F265" s="150"/>
      <c r="G265" s="150"/>
    </row>
    <row r="266" spans="2:7" ht="15.75" customHeight="1" x14ac:dyDescent="0.2">
      <c r="B266" s="150"/>
      <c r="C266" s="150"/>
      <c r="D266" s="150"/>
      <c r="E266" s="150"/>
      <c r="F266" s="150"/>
      <c r="G266" s="150"/>
    </row>
    <row r="267" spans="2:7" ht="15.75" customHeight="1" x14ac:dyDescent="0.2">
      <c r="B267" s="150"/>
      <c r="C267" s="150"/>
      <c r="D267" s="150"/>
      <c r="E267" s="150"/>
      <c r="F267" s="150"/>
      <c r="G267" s="150"/>
    </row>
    <row r="268" spans="2:7" ht="15.75" customHeight="1" x14ac:dyDescent="0.2">
      <c r="B268" s="150"/>
      <c r="C268" s="150"/>
      <c r="D268" s="150"/>
      <c r="E268" s="150"/>
      <c r="F268" s="150"/>
      <c r="G268" s="150"/>
    </row>
    <row r="269" spans="2:7" ht="15.75" customHeight="1" x14ac:dyDescent="0.2">
      <c r="B269" s="150"/>
      <c r="C269" s="150"/>
      <c r="D269" s="150"/>
      <c r="E269" s="150"/>
      <c r="F269" s="150"/>
      <c r="G269" s="150"/>
    </row>
    <row r="270" spans="2:7" ht="15.75" customHeight="1" x14ac:dyDescent="0.2">
      <c r="B270" s="150"/>
      <c r="C270" s="150"/>
      <c r="D270" s="150"/>
      <c r="E270" s="150"/>
      <c r="F270" s="150"/>
      <c r="G270" s="150"/>
    </row>
    <row r="271" spans="2:7" ht="15.75" customHeight="1" x14ac:dyDescent="0.2">
      <c r="B271" s="150"/>
      <c r="C271" s="150"/>
      <c r="D271" s="150"/>
      <c r="E271" s="150"/>
      <c r="F271" s="150"/>
      <c r="G271" s="150"/>
    </row>
    <row r="272" spans="2:7" ht="15.75" customHeight="1" x14ac:dyDescent="0.2">
      <c r="B272" s="150"/>
      <c r="C272" s="150"/>
      <c r="D272" s="150"/>
      <c r="E272" s="150"/>
      <c r="F272" s="150"/>
      <c r="G272" s="150"/>
    </row>
    <row r="273" spans="2:7" ht="15.75" customHeight="1" x14ac:dyDescent="0.2">
      <c r="B273" s="150"/>
      <c r="C273" s="150"/>
      <c r="D273" s="150"/>
      <c r="E273" s="150"/>
      <c r="F273" s="150"/>
      <c r="G273" s="150"/>
    </row>
    <row r="274" spans="2:7" ht="15.75" customHeight="1" x14ac:dyDescent="0.2">
      <c r="B274" s="150"/>
      <c r="C274" s="150"/>
      <c r="D274" s="150"/>
      <c r="E274" s="150"/>
      <c r="F274" s="150"/>
      <c r="G274" s="150"/>
    </row>
    <row r="275" spans="2:7" ht="15.75" customHeight="1" x14ac:dyDescent="0.2">
      <c r="B275" s="150"/>
      <c r="C275" s="150"/>
      <c r="D275" s="150"/>
      <c r="E275" s="150"/>
      <c r="F275" s="150"/>
      <c r="G275" s="150"/>
    </row>
    <row r="276" spans="2:7" ht="15.75" customHeight="1" x14ac:dyDescent="0.2">
      <c r="B276" s="150"/>
      <c r="C276" s="150"/>
      <c r="D276" s="150"/>
      <c r="E276" s="150"/>
      <c r="F276" s="150"/>
      <c r="G276" s="150"/>
    </row>
    <row r="277" spans="2:7" ht="15.75" customHeight="1" x14ac:dyDescent="0.2">
      <c r="B277" s="150"/>
      <c r="C277" s="150"/>
      <c r="D277" s="150"/>
      <c r="E277" s="150"/>
      <c r="F277" s="150"/>
      <c r="G277" s="150"/>
    </row>
    <row r="278" spans="2:7" ht="15.75" customHeight="1" x14ac:dyDescent="0.2">
      <c r="B278" s="150"/>
      <c r="C278" s="150"/>
      <c r="D278" s="150"/>
      <c r="E278" s="150"/>
      <c r="F278" s="150"/>
      <c r="G278" s="150"/>
    </row>
    <row r="279" spans="2:7" ht="15.75" customHeight="1" x14ac:dyDescent="0.2">
      <c r="B279" s="150"/>
      <c r="C279" s="150"/>
      <c r="D279" s="150"/>
      <c r="E279" s="150"/>
      <c r="F279" s="150"/>
      <c r="G279" s="150"/>
    </row>
    <row r="280" spans="2:7" ht="15.75" customHeight="1" x14ac:dyDescent="0.2">
      <c r="B280" s="150"/>
      <c r="C280" s="150"/>
      <c r="D280" s="150"/>
      <c r="E280" s="150"/>
      <c r="F280" s="150"/>
      <c r="G280" s="150"/>
    </row>
    <row r="281" spans="2:7" ht="15.75" customHeight="1" x14ac:dyDescent="0.2">
      <c r="B281" s="150"/>
      <c r="C281" s="150"/>
      <c r="D281" s="150"/>
      <c r="E281" s="150"/>
      <c r="F281" s="150"/>
      <c r="G281" s="150"/>
    </row>
    <row r="282" spans="2:7" ht="15.75" customHeight="1" x14ac:dyDescent="0.2">
      <c r="B282" s="150"/>
      <c r="C282" s="150"/>
      <c r="D282" s="150"/>
      <c r="E282" s="150"/>
      <c r="F282" s="150"/>
      <c r="G282" s="150"/>
    </row>
    <row r="283" spans="2:7" ht="15.75" customHeight="1" x14ac:dyDescent="0.2">
      <c r="B283" s="150"/>
      <c r="C283" s="150"/>
      <c r="D283" s="150"/>
      <c r="E283" s="150"/>
      <c r="F283" s="150"/>
      <c r="G283" s="150"/>
    </row>
    <row r="284" spans="2:7" ht="15.75" customHeight="1" x14ac:dyDescent="0.2">
      <c r="B284" s="150"/>
      <c r="C284" s="150"/>
      <c r="D284" s="150"/>
      <c r="E284" s="150"/>
      <c r="F284" s="150"/>
      <c r="G284" s="150"/>
    </row>
    <row r="285" spans="2:7" ht="15.75" customHeight="1" x14ac:dyDescent="0.2">
      <c r="B285" s="150"/>
      <c r="C285" s="150"/>
      <c r="D285" s="150"/>
      <c r="E285" s="150"/>
      <c r="F285" s="150"/>
      <c r="G285" s="150"/>
    </row>
    <row r="286" spans="2:7" ht="15.75" customHeight="1" x14ac:dyDescent="0.2">
      <c r="B286" s="150"/>
      <c r="C286" s="150"/>
      <c r="D286" s="150"/>
      <c r="E286" s="150"/>
      <c r="F286" s="150"/>
      <c r="G286" s="150"/>
    </row>
    <row r="287" spans="2:7" ht="15.75" customHeight="1" x14ac:dyDescent="0.2">
      <c r="B287" s="150"/>
      <c r="C287" s="150"/>
      <c r="D287" s="150"/>
      <c r="E287" s="150"/>
      <c r="F287" s="150"/>
      <c r="G287" s="150"/>
    </row>
    <row r="288" spans="2:7" ht="15.75" customHeight="1" x14ac:dyDescent="0.2">
      <c r="B288" s="150"/>
      <c r="C288" s="150"/>
      <c r="D288" s="150"/>
      <c r="E288" s="150"/>
      <c r="F288" s="150"/>
      <c r="G288" s="150"/>
    </row>
    <row r="289" spans="2:7" ht="15.75" customHeight="1" x14ac:dyDescent="0.2">
      <c r="B289" s="150"/>
      <c r="C289" s="150"/>
      <c r="D289" s="150"/>
      <c r="E289" s="150"/>
      <c r="F289" s="150"/>
      <c r="G289" s="150"/>
    </row>
    <row r="290" spans="2:7" ht="15.75" customHeight="1" x14ac:dyDescent="0.2">
      <c r="B290" s="150"/>
      <c r="C290" s="150"/>
      <c r="D290" s="150"/>
      <c r="E290" s="150"/>
      <c r="F290" s="150"/>
      <c r="G290" s="150"/>
    </row>
    <row r="291" spans="2:7" ht="15.75" customHeight="1" x14ac:dyDescent="0.2">
      <c r="B291" s="150"/>
      <c r="C291" s="150"/>
      <c r="D291" s="150"/>
      <c r="E291" s="150"/>
      <c r="F291" s="150"/>
      <c r="G291" s="150"/>
    </row>
    <row r="292" spans="2:7" ht="15.75" customHeight="1" x14ac:dyDescent="0.2">
      <c r="B292" s="150"/>
      <c r="C292" s="150"/>
      <c r="D292" s="150"/>
      <c r="E292" s="150"/>
      <c r="F292" s="150"/>
      <c r="G292" s="150"/>
    </row>
    <row r="293" spans="2:7" ht="15.75" customHeight="1" x14ac:dyDescent="0.2">
      <c r="B293" s="150"/>
      <c r="C293" s="150"/>
      <c r="D293" s="150"/>
      <c r="E293" s="150"/>
      <c r="F293" s="150"/>
      <c r="G293" s="150"/>
    </row>
    <row r="294" spans="2:7" ht="15.75" customHeight="1" x14ac:dyDescent="0.2">
      <c r="B294" s="150"/>
      <c r="C294" s="150"/>
      <c r="D294" s="150"/>
      <c r="E294" s="150"/>
      <c r="F294" s="150"/>
      <c r="G294" s="150"/>
    </row>
    <row r="295" spans="2:7" ht="15.75" customHeight="1" x14ac:dyDescent="0.2">
      <c r="B295" s="150"/>
      <c r="C295" s="150"/>
      <c r="D295" s="150"/>
      <c r="E295" s="150"/>
      <c r="F295" s="150"/>
      <c r="G295" s="150"/>
    </row>
    <row r="296" spans="2:7" ht="15.75" customHeight="1" x14ac:dyDescent="0.2">
      <c r="B296" s="150"/>
      <c r="C296" s="150"/>
      <c r="D296" s="150"/>
      <c r="E296" s="150"/>
      <c r="F296" s="150"/>
      <c r="G296" s="150"/>
    </row>
    <row r="297" spans="2:7" ht="15.75" customHeight="1" x14ac:dyDescent="0.2">
      <c r="B297" s="150"/>
      <c r="C297" s="150"/>
      <c r="D297" s="150"/>
      <c r="E297" s="150"/>
      <c r="F297" s="150"/>
      <c r="G297" s="150"/>
    </row>
    <row r="298" spans="2:7" ht="15.75" customHeight="1" x14ac:dyDescent="0.2">
      <c r="B298" s="150"/>
      <c r="C298" s="150"/>
      <c r="D298" s="150"/>
      <c r="E298" s="150"/>
      <c r="F298" s="150"/>
      <c r="G298" s="150"/>
    </row>
    <row r="299" spans="2:7" ht="15.75" customHeight="1" x14ac:dyDescent="0.2">
      <c r="B299" s="150"/>
      <c r="C299" s="150"/>
      <c r="D299" s="150"/>
      <c r="E299" s="150"/>
      <c r="F299" s="150"/>
      <c r="G299" s="150"/>
    </row>
    <row r="300" spans="2:7" ht="15.75" customHeight="1" x14ac:dyDescent="0.2">
      <c r="B300" s="150"/>
      <c r="C300" s="150"/>
      <c r="D300" s="150"/>
      <c r="E300" s="150"/>
      <c r="F300" s="150"/>
      <c r="G300" s="150"/>
    </row>
    <row r="301" spans="2:7" ht="15.75" customHeight="1" x14ac:dyDescent="0.2">
      <c r="B301" s="150"/>
      <c r="C301" s="150"/>
      <c r="D301" s="150"/>
      <c r="E301" s="150"/>
      <c r="F301" s="150"/>
      <c r="G301" s="150"/>
    </row>
    <row r="302" spans="2:7" ht="15.75" customHeight="1" x14ac:dyDescent="0.2">
      <c r="B302" s="150"/>
      <c r="C302" s="150"/>
      <c r="D302" s="150"/>
      <c r="E302" s="150"/>
      <c r="F302" s="150"/>
      <c r="G302" s="150"/>
    </row>
    <row r="303" spans="2:7" ht="15.75" customHeight="1" x14ac:dyDescent="0.2">
      <c r="B303" s="150"/>
      <c r="C303" s="150"/>
      <c r="D303" s="150"/>
      <c r="E303" s="150"/>
      <c r="F303" s="150"/>
      <c r="G303" s="150"/>
    </row>
    <row r="304" spans="2:7" ht="15.75" customHeight="1" x14ac:dyDescent="0.2">
      <c r="B304" s="150"/>
      <c r="C304" s="150"/>
      <c r="D304" s="150"/>
      <c r="E304" s="150"/>
      <c r="F304" s="150"/>
      <c r="G304" s="150"/>
    </row>
    <row r="305" spans="2:7" ht="15.75" customHeight="1" x14ac:dyDescent="0.2">
      <c r="B305" s="150"/>
      <c r="C305" s="150"/>
      <c r="D305" s="150"/>
      <c r="E305" s="150"/>
      <c r="F305" s="150"/>
      <c r="G305" s="150"/>
    </row>
    <row r="306" spans="2:7" ht="15.75" customHeight="1" x14ac:dyDescent="0.2">
      <c r="B306" s="150"/>
      <c r="C306" s="150"/>
      <c r="D306" s="150"/>
      <c r="E306" s="150"/>
      <c r="F306" s="150"/>
      <c r="G306" s="150"/>
    </row>
    <row r="307" spans="2:7" ht="15.75" customHeight="1" x14ac:dyDescent="0.2">
      <c r="B307" s="150"/>
      <c r="C307" s="150"/>
      <c r="D307" s="150"/>
      <c r="E307" s="150"/>
      <c r="F307" s="150"/>
      <c r="G307" s="150"/>
    </row>
    <row r="308" spans="2:7" ht="15.75" customHeight="1" x14ac:dyDescent="0.2">
      <c r="B308" s="150"/>
      <c r="C308" s="150"/>
      <c r="D308" s="150"/>
      <c r="E308" s="150"/>
      <c r="F308" s="150"/>
      <c r="G308" s="150"/>
    </row>
    <row r="309" spans="2:7" ht="15.75" customHeight="1" x14ac:dyDescent="0.2">
      <c r="B309" s="150"/>
      <c r="C309" s="150"/>
      <c r="D309" s="150"/>
      <c r="E309" s="150"/>
      <c r="F309" s="150"/>
      <c r="G309" s="150"/>
    </row>
    <row r="310" spans="2:7" ht="15.75" customHeight="1" x14ac:dyDescent="0.2">
      <c r="B310" s="150"/>
      <c r="C310" s="150"/>
      <c r="D310" s="150"/>
      <c r="E310" s="150"/>
      <c r="F310" s="150"/>
      <c r="G310" s="150"/>
    </row>
    <row r="311" spans="2:7" ht="15.75" customHeight="1" x14ac:dyDescent="0.2">
      <c r="B311" s="150"/>
      <c r="C311" s="150"/>
      <c r="D311" s="150"/>
      <c r="E311" s="150"/>
      <c r="F311" s="150"/>
      <c r="G311" s="150"/>
    </row>
    <row r="312" spans="2:7" ht="15.75" customHeight="1" x14ac:dyDescent="0.2">
      <c r="B312" s="150"/>
      <c r="C312" s="150"/>
      <c r="D312" s="150"/>
      <c r="E312" s="150"/>
      <c r="F312" s="150"/>
      <c r="G312" s="150"/>
    </row>
    <row r="313" spans="2:7" ht="15.75" customHeight="1" x14ac:dyDescent="0.2">
      <c r="B313" s="150"/>
      <c r="C313" s="150"/>
      <c r="D313" s="150"/>
      <c r="E313" s="150"/>
      <c r="F313" s="150"/>
      <c r="G313" s="150"/>
    </row>
    <row r="314" spans="2:7" ht="15.75" customHeight="1" x14ac:dyDescent="0.2">
      <c r="B314" s="150"/>
      <c r="C314" s="150"/>
      <c r="D314" s="150"/>
      <c r="E314" s="150"/>
      <c r="F314" s="150"/>
      <c r="G314" s="150"/>
    </row>
    <row r="315" spans="2:7" ht="15.75" customHeight="1" x14ac:dyDescent="0.2">
      <c r="B315" s="150"/>
      <c r="C315" s="150"/>
      <c r="D315" s="150"/>
      <c r="E315" s="150"/>
      <c r="F315" s="150"/>
      <c r="G315" s="150"/>
    </row>
    <row r="316" spans="2:7" ht="15.75" customHeight="1" x14ac:dyDescent="0.2">
      <c r="B316" s="150"/>
      <c r="C316" s="150"/>
      <c r="D316" s="150"/>
      <c r="E316" s="150"/>
      <c r="F316" s="150"/>
      <c r="G316" s="150"/>
    </row>
    <row r="317" spans="2:7" ht="15.75" customHeight="1" x14ac:dyDescent="0.2">
      <c r="B317" s="150"/>
      <c r="C317" s="150"/>
      <c r="D317" s="150"/>
      <c r="E317" s="150"/>
      <c r="F317" s="150"/>
      <c r="G317" s="150"/>
    </row>
    <row r="318" spans="2:7" ht="15.75" customHeight="1" x14ac:dyDescent="0.2">
      <c r="B318" s="150"/>
      <c r="C318" s="150"/>
      <c r="D318" s="150"/>
      <c r="E318" s="150"/>
      <c r="F318" s="150"/>
      <c r="G318" s="150"/>
    </row>
    <row r="319" spans="2:7" ht="15.75" customHeight="1" x14ac:dyDescent="0.2">
      <c r="B319" s="150"/>
      <c r="C319" s="150"/>
      <c r="D319" s="150"/>
      <c r="E319" s="150"/>
      <c r="F319" s="150"/>
      <c r="G319" s="150"/>
    </row>
    <row r="320" spans="2:7" ht="15.75" customHeight="1" x14ac:dyDescent="0.2">
      <c r="B320" s="150"/>
      <c r="C320" s="150"/>
      <c r="D320" s="150"/>
      <c r="E320" s="150"/>
      <c r="F320" s="150"/>
      <c r="G320" s="150"/>
    </row>
    <row r="321" spans="2:7" ht="15.75" customHeight="1" x14ac:dyDescent="0.2">
      <c r="B321" s="150"/>
      <c r="C321" s="150"/>
      <c r="D321" s="150"/>
      <c r="E321" s="150"/>
      <c r="F321" s="150"/>
      <c r="G321" s="150"/>
    </row>
    <row r="322" spans="2:7" ht="15.75" customHeight="1" x14ac:dyDescent="0.2">
      <c r="B322" s="150"/>
      <c r="C322" s="150"/>
      <c r="D322" s="150"/>
      <c r="E322" s="150"/>
      <c r="F322" s="150"/>
      <c r="G322" s="150"/>
    </row>
    <row r="323" spans="2:7" ht="15.75" customHeight="1" x14ac:dyDescent="0.2">
      <c r="B323" s="150"/>
      <c r="C323" s="150"/>
      <c r="D323" s="150"/>
      <c r="E323" s="150"/>
      <c r="F323" s="150"/>
      <c r="G323" s="150"/>
    </row>
    <row r="324" spans="2:7" ht="15.75" customHeight="1" x14ac:dyDescent="0.2">
      <c r="B324" s="150"/>
      <c r="C324" s="150"/>
      <c r="D324" s="150"/>
      <c r="E324" s="150"/>
      <c r="F324" s="150"/>
      <c r="G324" s="150"/>
    </row>
    <row r="325" spans="2:7" ht="15.75" customHeight="1" x14ac:dyDescent="0.2">
      <c r="B325" s="150"/>
      <c r="C325" s="150"/>
      <c r="D325" s="150"/>
      <c r="E325" s="150"/>
      <c r="F325" s="150"/>
      <c r="G325" s="150"/>
    </row>
    <row r="326" spans="2:7" ht="15.75" customHeight="1" x14ac:dyDescent="0.2">
      <c r="B326" s="150"/>
      <c r="C326" s="150"/>
      <c r="D326" s="150"/>
      <c r="E326" s="150"/>
      <c r="F326" s="150"/>
      <c r="G326" s="150"/>
    </row>
    <row r="327" spans="2:7" ht="15.75" customHeight="1" x14ac:dyDescent="0.2">
      <c r="B327" s="150"/>
      <c r="C327" s="150"/>
      <c r="D327" s="150"/>
      <c r="E327" s="150"/>
      <c r="F327" s="150"/>
      <c r="G327" s="150"/>
    </row>
    <row r="328" spans="2:7" ht="15.75" customHeight="1" x14ac:dyDescent="0.2">
      <c r="B328" s="150"/>
      <c r="C328" s="150"/>
      <c r="D328" s="150"/>
      <c r="E328" s="150"/>
      <c r="F328" s="150"/>
      <c r="G328" s="150"/>
    </row>
    <row r="329" spans="2:7" ht="15.75" customHeight="1" x14ac:dyDescent="0.2">
      <c r="B329" s="150"/>
      <c r="C329" s="150"/>
      <c r="D329" s="150"/>
      <c r="E329" s="150"/>
      <c r="F329" s="150"/>
      <c r="G329" s="150"/>
    </row>
    <row r="330" spans="2:7" ht="15.75" customHeight="1" x14ac:dyDescent="0.2">
      <c r="B330" s="150"/>
      <c r="C330" s="150"/>
      <c r="D330" s="150"/>
      <c r="E330" s="150"/>
      <c r="F330" s="150"/>
      <c r="G330" s="150"/>
    </row>
    <row r="331" spans="2:7" ht="15.75" customHeight="1" x14ac:dyDescent="0.2">
      <c r="B331" s="150"/>
      <c r="C331" s="150"/>
      <c r="D331" s="150"/>
      <c r="E331" s="150"/>
      <c r="F331" s="150"/>
      <c r="G331" s="150"/>
    </row>
    <row r="332" spans="2:7" ht="15.75" customHeight="1" x14ac:dyDescent="0.2">
      <c r="B332" s="150"/>
      <c r="C332" s="150"/>
      <c r="D332" s="150"/>
      <c r="E332" s="150"/>
      <c r="F332" s="150"/>
      <c r="G332" s="150"/>
    </row>
    <row r="333" spans="2:7" ht="15.75" customHeight="1" x14ac:dyDescent="0.2">
      <c r="B333" s="150"/>
      <c r="C333" s="150"/>
      <c r="D333" s="150"/>
      <c r="E333" s="150"/>
      <c r="F333" s="150"/>
      <c r="G333" s="150"/>
    </row>
    <row r="334" spans="2:7" ht="15.75" customHeight="1" x14ac:dyDescent="0.2">
      <c r="B334" s="150"/>
      <c r="C334" s="150"/>
      <c r="D334" s="150"/>
      <c r="E334" s="150"/>
      <c r="F334" s="150"/>
      <c r="G334" s="150"/>
    </row>
    <row r="335" spans="2:7" ht="15.75" customHeight="1" x14ac:dyDescent="0.2">
      <c r="B335" s="150"/>
      <c r="C335" s="150"/>
      <c r="D335" s="150"/>
      <c r="E335" s="150"/>
      <c r="F335" s="150"/>
      <c r="G335" s="150"/>
    </row>
    <row r="336" spans="2:7" ht="15.75" customHeight="1" x14ac:dyDescent="0.2">
      <c r="B336" s="150"/>
      <c r="C336" s="150"/>
      <c r="D336" s="150"/>
      <c r="E336" s="150"/>
      <c r="F336" s="150"/>
      <c r="G336" s="150"/>
    </row>
    <row r="337" spans="2:7" ht="15.75" customHeight="1" x14ac:dyDescent="0.2">
      <c r="B337" s="150"/>
      <c r="C337" s="150"/>
      <c r="D337" s="150"/>
      <c r="E337" s="150"/>
      <c r="F337" s="150"/>
      <c r="G337" s="150"/>
    </row>
    <row r="338" spans="2:7" ht="15.75" customHeight="1" x14ac:dyDescent="0.2">
      <c r="B338" s="150"/>
      <c r="C338" s="150"/>
      <c r="D338" s="150"/>
      <c r="E338" s="150"/>
      <c r="F338" s="150"/>
      <c r="G338" s="150"/>
    </row>
    <row r="339" spans="2:7" ht="15.75" customHeight="1" x14ac:dyDescent="0.2">
      <c r="B339" s="150"/>
      <c r="C339" s="150"/>
      <c r="D339" s="150"/>
      <c r="E339" s="150"/>
      <c r="F339" s="150"/>
      <c r="G339" s="150"/>
    </row>
    <row r="340" spans="2:7" ht="15.75" customHeight="1" x14ac:dyDescent="0.2">
      <c r="B340" s="150"/>
      <c r="C340" s="150"/>
      <c r="D340" s="150"/>
      <c r="E340" s="150"/>
      <c r="F340" s="150"/>
      <c r="G340" s="150"/>
    </row>
    <row r="341" spans="2:7" ht="15.75" customHeight="1" x14ac:dyDescent="0.2">
      <c r="B341" s="150"/>
      <c r="C341" s="150"/>
      <c r="D341" s="150"/>
      <c r="E341" s="150"/>
      <c r="F341" s="150"/>
      <c r="G341" s="150"/>
    </row>
    <row r="342" spans="2:7" ht="15.75" customHeight="1" x14ac:dyDescent="0.2">
      <c r="B342" s="150"/>
      <c r="C342" s="150"/>
      <c r="D342" s="150"/>
      <c r="E342" s="150"/>
      <c r="F342" s="150"/>
      <c r="G342" s="150"/>
    </row>
    <row r="343" spans="2:7" ht="15.75" customHeight="1" x14ac:dyDescent="0.2">
      <c r="B343" s="150"/>
      <c r="C343" s="150"/>
      <c r="D343" s="150"/>
      <c r="E343" s="150"/>
      <c r="F343" s="150"/>
      <c r="G343" s="150"/>
    </row>
    <row r="344" spans="2:7" ht="15.75" customHeight="1" x14ac:dyDescent="0.2">
      <c r="B344" s="150"/>
      <c r="C344" s="150"/>
      <c r="D344" s="150"/>
      <c r="E344" s="150"/>
      <c r="F344" s="150"/>
      <c r="G344" s="150"/>
    </row>
    <row r="345" spans="2:7" ht="15.75" customHeight="1" x14ac:dyDescent="0.2">
      <c r="B345" s="150"/>
      <c r="C345" s="150"/>
      <c r="D345" s="150"/>
      <c r="E345" s="150"/>
      <c r="F345" s="150"/>
      <c r="G345" s="150"/>
    </row>
    <row r="346" spans="2:7" ht="15.75" customHeight="1" x14ac:dyDescent="0.2">
      <c r="B346" s="150"/>
      <c r="C346" s="150"/>
      <c r="D346" s="150"/>
      <c r="E346" s="150"/>
      <c r="F346" s="150"/>
      <c r="G346" s="150"/>
    </row>
    <row r="347" spans="2:7" ht="15.75" customHeight="1" x14ac:dyDescent="0.2">
      <c r="B347" s="150"/>
      <c r="C347" s="150"/>
      <c r="D347" s="150"/>
      <c r="E347" s="150"/>
      <c r="F347" s="150"/>
      <c r="G347" s="150"/>
    </row>
    <row r="348" spans="2:7" ht="15.75" customHeight="1" x14ac:dyDescent="0.2">
      <c r="B348" s="150"/>
      <c r="C348" s="150"/>
      <c r="D348" s="150"/>
      <c r="E348" s="150"/>
      <c r="F348" s="150"/>
      <c r="G348" s="150"/>
    </row>
    <row r="349" spans="2:7" ht="15.75" customHeight="1" x14ac:dyDescent="0.2">
      <c r="B349" s="150"/>
      <c r="C349" s="150"/>
      <c r="D349" s="150"/>
      <c r="E349" s="150"/>
      <c r="F349" s="150"/>
      <c r="G349" s="150"/>
    </row>
    <row r="350" spans="2:7" ht="15.75" customHeight="1" x14ac:dyDescent="0.2">
      <c r="B350" s="150"/>
      <c r="C350" s="150"/>
      <c r="D350" s="150"/>
      <c r="E350" s="150"/>
      <c r="F350" s="150"/>
      <c r="G350" s="150"/>
    </row>
    <row r="351" spans="2:7" ht="15.75" customHeight="1" x14ac:dyDescent="0.2">
      <c r="B351" s="150"/>
      <c r="C351" s="150"/>
      <c r="D351" s="150"/>
      <c r="E351" s="150"/>
      <c r="F351" s="150"/>
      <c r="G351" s="150"/>
    </row>
    <row r="352" spans="2:7" ht="15.75" customHeight="1" x14ac:dyDescent="0.2">
      <c r="B352" s="150"/>
      <c r="C352" s="150"/>
      <c r="D352" s="150"/>
      <c r="E352" s="150"/>
      <c r="F352" s="150"/>
      <c r="G352" s="150"/>
    </row>
    <row r="353" spans="2:7" ht="15.75" customHeight="1" x14ac:dyDescent="0.2">
      <c r="B353" s="150"/>
      <c r="C353" s="150"/>
      <c r="D353" s="150"/>
      <c r="E353" s="150"/>
      <c r="F353" s="150"/>
      <c r="G353" s="150"/>
    </row>
    <row r="354" spans="2:7" ht="15.75" customHeight="1" x14ac:dyDescent="0.2">
      <c r="B354" s="150"/>
      <c r="C354" s="150"/>
      <c r="D354" s="150"/>
      <c r="E354" s="150"/>
      <c r="F354" s="150"/>
      <c r="G354" s="150"/>
    </row>
    <row r="355" spans="2:7" ht="15.75" customHeight="1" x14ac:dyDescent="0.2">
      <c r="B355" s="150"/>
      <c r="C355" s="150"/>
      <c r="D355" s="150"/>
      <c r="E355" s="150"/>
      <c r="F355" s="150"/>
      <c r="G355" s="150"/>
    </row>
    <row r="356" spans="2:7" ht="15.75" customHeight="1" x14ac:dyDescent="0.2">
      <c r="B356" s="150"/>
      <c r="C356" s="150"/>
      <c r="D356" s="150"/>
      <c r="E356" s="150"/>
      <c r="F356" s="150"/>
      <c r="G356" s="150"/>
    </row>
    <row r="357" spans="2:7" ht="15.75" customHeight="1" x14ac:dyDescent="0.2">
      <c r="B357" s="150"/>
      <c r="C357" s="150"/>
      <c r="D357" s="150"/>
      <c r="E357" s="150"/>
      <c r="F357" s="150"/>
      <c r="G357" s="150"/>
    </row>
    <row r="358" spans="2:7" ht="15.75" customHeight="1" x14ac:dyDescent="0.2">
      <c r="B358" s="150"/>
      <c r="C358" s="150"/>
      <c r="D358" s="150"/>
      <c r="E358" s="150"/>
      <c r="F358" s="150"/>
      <c r="G358" s="150"/>
    </row>
    <row r="359" spans="2:7" ht="15.75" customHeight="1" x14ac:dyDescent="0.2">
      <c r="B359" s="150"/>
      <c r="C359" s="150"/>
      <c r="D359" s="150"/>
      <c r="E359" s="150"/>
      <c r="F359" s="150"/>
      <c r="G359" s="150"/>
    </row>
    <row r="360" spans="2:7" ht="15.75" customHeight="1" x14ac:dyDescent="0.2">
      <c r="B360" s="150"/>
      <c r="C360" s="150"/>
      <c r="D360" s="150"/>
      <c r="E360" s="150"/>
      <c r="F360" s="150"/>
      <c r="G360" s="150"/>
    </row>
    <row r="361" spans="2:7" ht="15.75" customHeight="1" x14ac:dyDescent="0.2">
      <c r="B361" s="150"/>
      <c r="C361" s="150"/>
      <c r="D361" s="150"/>
      <c r="E361" s="150"/>
      <c r="F361" s="150"/>
      <c r="G361" s="150"/>
    </row>
    <row r="362" spans="2:7" ht="15.75" customHeight="1" x14ac:dyDescent="0.2">
      <c r="B362" s="150"/>
      <c r="C362" s="150"/>
      <c r="D362" s="150"/>
      <c r="E362" s="150"/>
      <c r="F362" s="150"/>
      <c r="G362" s="150"/>
    </row>
    <row r="363" spans="2:7" ht="15.75" customHeight="1" x14ac:dyDescent="0.2">
      <c r="B363" s="150"/>
      <c r="C363" s="150"/>
      <c r="D363" s="150"/>
      <c r="E363" s="150"/>
      <c r="F363" s="150"/>
      <c r="G363" s="150"/>
    </row>
    <row r="364" spans="2:7" ht="15.75" customHeight="1" x14ac:dyDescent="0.2">
      <c r="B364" s="150"/>
      <c r="C364" s="150"/>
      <c r="D364" s="150"/>
      <c r="E364" s="150"/>
      <c r="F364" s="150"/>
      <c r="G364" s="150"/>
    </row>
    <row r="365" spans="2:7" ht="15.75" customHeight="1" x14ac:dyDescent="0.2">
      <c r="B365" s="150"/>
      <c r="C365" s="150"/>
      <c r="D365" s="150"/>
      <c r="E365" s="150"/>
      <c r="F365" s="150"/>
      <c r="G365" s="150"/>
    </row>
    <row r="366" spans="2:7" ht="15.75" customHeight="1" x14ac:dyDescent="0.2">
      <c r="B366" s="150"/>
      <c r="C366" s="150"/>
      <c r="D366" s="150"/>
      <c r="E366" s="150"/>
      <c r="F366" s="150"/>
      <c r="G366" s="150"/>
    </row>
    <row r="367" spans="2:7" ht="15.75" customHeight="1" x14ac:dyDescent="0.2">
      <c r="B367" s="150"/>
      <c r="C367" s="150"/>
      <c r="D367" s="150"/>
      <c r="E367" s="150"/>
      <c r="F367" s="150"/>
      <c r="G367" s="150"/>
    </row>
    <row r="368" spans="2:7" ht="15.75" customHeight="1" x14ac:dyDescent="0.2">
      <c r="B368" s="150"/>
      <c r="C368" s="150"/>
      <c r="D368" s="150"/>
      <c r="E368" s="150"/>
      <c r="F368" s="150"/>
      <c r="G368" s="150"/>
    </row>
    <row r="369" spans="2:7" ht="15.75" customHeight="1" x14ac:dyDescent="0.2">
      <c r="B369" s="150"/>
      <c r="C369" s="150"/>
      <c r="D369" s="150"/>
      <c r="E369" s="150"/>
      <c r="F369" s="150"/>
      <c r="G369" s="150"/>
    </row>
    <row r="370" spans="2:7" ht="15.75" customHeight="1" x14ac:dyDescent="0.2">
      <c r="B370" s="150"/>
      <c r="C370" s="150"/>
      <c r="D370" s="150"/>
      <c r="E370" s="150"/>
      <c r="F370" s="150"/>
      <c r="G370" s="150"/>
    </row>
    <row r="371" spans="2:7" ht="15.75" customHeight="1" x14ac:dyDescent="0.2">
      <c r="B371" s="150"/>
      <c r="C371" s="150"/>
      <c r="D371" s="150"/>
      <c r="E371" s="150"/>
      <c r="F371" s="150"/>
      <c r="G371" s="150"/>
    </row>
    <row r="372" spans="2:7" ht="15.75" customHeight="1" x14ac:dyDescent="0.2">
      <c r="B372" s="150"/>
      <c r="C372" s="150"/>
      <c r="D372" s="150"/>
      <c r="E372" s="150"/>
      <c r="F372" s="150"/>
      <c r="G372" s="150"/>
    </row>
    <row r="373" spans="2:7" ht="15.75" customHeight="1" x14ac:dyDescent="0.2">
      <c r="B373" s="150"/>
      <c r="C373" s="150"/>
      <c r="D373" s="150"/>
      <c r="E373" s="150"/>
      <c r="F373" s="150"/>
      <c r="G373" s="150"/>
    </row>
    <row r="374" spans="2:7" ht="15.75" customHeight="1" x14ac:dyDescent="0.2">
      <c r="B374" s="150"/>
      <c r="C374" s="150"/>
      <c r="D374" s="150"/>
      <c r="E374" s="150"/>
      <c r="F374" s="150"/>
      <c r="G374" s="150"/>
    </row>
    <row r="375" spans="2:7" ht="15.75" customHeight="1" x14ac:dyDescent="0.2">
      <c r="B375" s="150"/>
      <c r="C375" s="150"/>
      <c r="D375" s="150"/>
      <c r="E375" s="150"/>
      <c r="F375" s="150"/>
      <c r="G375" s="150"/>
    </row>
    <row r="376" spans="2:7" ht="15.75" customHeight="1" x14ac:dyDescent="0.2">
      <c r="B376" s="150"/>
      <c r="C376" s="150"/>
      <c r="D376" s="150"/>
      <c r="E376" s="150"/>
      <c r="F376" s="150"/>
      <c r="G376" s="150"/>
    </row>
    <row r="377" spans="2:7" ht="15.75" customHeight="1" x14ac:dyDescent="0.2">
      <c r="B377" s="150"/>
      <c r="C377" s="150"/>
      <c r="D377" s="150"/>
      <c r="E377" s="150"/>
      <c r="F377" s="150"/>
      <c r="G377" s="150"/>
    </row>
    <row r="378" spans="2:7" ht="15.75" customHeight="1" x14ac:dyDescent="0.2">
      <c r="B378" s="150"/>
      <c r="C378" s="150"/>
      <c r="D378" s="150"/>
      <c r="E378" s="150"/>
      <c r="F378" s="150"/>
      <c r="G378" s="150"/>
    </row>
    <row r="379" spans="2:7" ht="15.75" customHeight="1" x14ac:dyDescent="0.2">
      <c r="B379" s="150"/>
      <c r="C379" s="150"/>
      <c r="D379" s="150"/>
      <c r="E379" s="150"/>
      <c r="F379" s="150"/>
      <c r="G379" s="150"/>
    </row>
    <row r="380" spans="2:7" ht="15.75" customHeight="1" x14ac:dyDescent="0.2">
      <c r="B380" s="150"/>
      <c r="C380" s="150"/>
      <c r="D380" s="150"/>
      <c r="E380" s="150"/>
      <c r="F380" s="150"/>
      <c r="G380" s="150"/>
    </row>
    <row r="381" spans="2:7" ht="15.75" customHeight="1" x14ac:dyDescent="0.2">
      <c r="B381" s="150"/>
      <c r="C381" s="150"/>
      <c r="D381" s="150"/>
      <c r="E381" s="150"/>
      <c r="F381" s="150"/>
      <c r="G381" s="150"/>
    </row>
    <row r="382" spans="2:7" ht="15.75" customHeight="1" x14ac:dyDescent="0.2">
      <c r="B382" s="150"/>
      <c r="C382" s="150"/>
      <c r="D382" s="150"/>
      <c r="E382" s="150"/>
      <c r="F382" s="150"/>
      <c r="G382" s="150"/>
    </row>
    <row r="383" spans="2:7" ht="15.75" customHeight="1" x14ac:dyDescent="0.2">
      <c r="B383" s="150"/>
      <c r="C383" s="150"/>
      <c r="D383" s="150"/>
      <c r="E383" s="150"/>
      <c r="F383" s="150"/>
      <c r="G383" s="150"/>
    </row>
    <row r="384" spans="2:7" ht="15.75" customHeight="1" x14ac:dyDescent="0.2">
      <c r="B384" s="150"/>
      <c r="C384" s="150"/>
      <c r="D384" s="150"/>
      <c r="E384" s="150"/>
      <c r="F384" s="150"/>
      <c r="G384" s="150"/>
    </row>
    <row r="385" spans="2:7" ht="15.75" customHeight="1" x14ac:dyDescent="0.2">
      <c r="B385" s="150"/>
      <c r="C385" s="150"/>
      <c r="D385" s="150"/>
      <c r="E385" s="150"/>
      <c r="F385" s="150"/>
      <c r="G385" s="150"/>
    </row>
    <row r="386" spans="2:7" ht="15.75" customHeight="1" x14ac:dyDescent="0.2">
      <c r="B386" s="150"/>
      <c r="C386" s="150"/>
      <c r="D386" s="150"/>
      <c r="E386" s="150"/>
      <c r="F386" s="150"/>
      <c r="G386" s="150"/>
    </row>
    <row r="387" spans="2:7" ht="15.75" customHeight="1" x14ac:dyDescent="0.2">
      <c r="B387" s="150"/>
      <c r="C387" s="150"/>
      <c r="D387" s="150"/>
      <c r="E387" s="150"/>
      <c r="F387" s="150"/>
      <c r="G387" s="150"/>
    </row>
    <row r="388" spans="2:7" ht="15.75" customHeight="1" x14ac:dyDescent="0.2">
      <c r="B388" s="150"/>
      <c r="C388" s="150"/>
      <c r="D388" s="150"/>
      <c r="E388" s="150"/>
      <c r="F388" s="150"/>
      <c r="G388" s="150"/>
    </row>
    <row r="389" spans="2:7" ht="15.75" customHeight="1" x14ac:dyDescent="0.2">
      <c r="B389" s="150"/>
      <c r="C389" s="150"/>
      <c r="D389" s="150"/>
      <c r="E389" s="150"/>
      <c r="F389" s="150"/>
      <c r="G389" s="150"/>
    </row>
    <row r="390" spans="2:7" ht="15.75" customHeight="1" x14ac:dyDescent="0.2">
      <c r="B390" s="150"/>
      <c r="C390" s="150"/>
      <c r="D390" s="150"/>
      <c r="E390" s="150"/>
      <c r="F390" s="150"/>
      <c r="G390" s="150"/>
    </row>
    <row r="391" spans="2:7" ht="15.75" customHeight="1" x14ac:dyDescent="0.2">
      <c r="B391" s="150"/>
      <c r="C391" s="150"/>
      <c r="D391" s="150"/>
      <c r="E391" s="150"/>
      <c r="F391" s="150"/>
      <c r="G391" s="150"/>
    </row>
    <row r="392" spans="2:7" ht="15.75" customHeight="1" x14ac:dyDescent="0.2">
      <c r="B392" s="150"/>
      <c r="C392" s="150"/>
      <c r="D392" s="150"/>
      <c r="E392" s="150"/>
      <c r="F392" s="150"/>
      <c r="G392" s="150"/>
    </row>
    <row r="393" spans="2:7" ht="15.75" customHeight="1" x14ac:dyDescent="0.2">
      <c r="B393" s="150"/>
      <c r="C393" s="150"/>
      <c r="D393" s="150"/>
      <c r="E393" s="150"/>
      <c r="F393" s="150"/>
      <c r="G393" s="150"/>
    </row>
    <row r="394" spans="2:7" ht="15.75" customHeight="1" x14ac:dyDescent="0.2">
      <c r="B394" s="150"/>
      <c r="C394" s="150"/>
      <c r="D394" s="150"/>
      <c r="E394" s="150"/>
      <c r="F394" s="150"/>
      <c r="G394" s="150"/>
    </row>
    <row r="395" spans="2:7" ht="15.75" customHeight="1" x14ac:dyDescent="0.2">
      <c r="B395" s="150"/>
      <c r="C395" s="150"/>
      <c r="D395" s="150"/>
      <c r="E395" s="150"/>
      <c r="F395" s="150"/>
      <c r="G395" s="150"/>
    </row>
    <row r="396" spans="2:7" ht="15.75" customHeight="1" x14ac:dyDescent="0.2">
      <c r="B396" s="150"/>
      <c r="C396" s="150"/>
      <c r="D396" s="150"/>
      <c r="E396" s="150"/>
      <c r="F396" s="150"/>
      <c r="G396" s="150"/>
    </row>
    <row r="397" spans="2:7" ht="15.75" customHeight="1" x14ac:dyDescent="0.2">
      <c r="B397" s="150"/>
      <c r="C397" s="150"/>
      <c r="D397" s="150"/>
      <c r="E397" s="150"/>
      <c r="F397" s="150"/>
      <c r="G397" s="150"/>
    </row>
    <row r="398" spans="2:7" ht="15.75" customHeight="1" x14ac:dyDescent="0.2">
      <c r="B398" s="150"/>
      <c r="C398" s="150"/>
      <c r="D398" s="150"/>
      <c r="E398" s="150"/>
      <c r="F398" s="150"/>
      <c r="G398" s="150"/>
    </row>
    <row r="399" spans="2:7" ht="15.75" customHeight="1" x14ac:dyDescent="0.2">
      <c r="B399" s="150"/>
      <c r="C399" s="150"/>
      <c r="D399" s="150"/>
      <c r="E399" s="150"/>
      <c r="F399" s="150"/>
      <c r="G399" s="150"/>
    </row>
    <row r="400" spans="2:7" ht="15.75" customHeight="1" x14ac:dyDescent="0.2">
      <c r="B400" s="150"/>
      <c r="C400" s="150"/>
      <c r="D400" s="150"/>
      <c r="E400" s="150"/>
      <c r="F400" s="150"/>
      <c r="G400" s="150"/>
    </row>
    <row r="401" spans="2:7" ht="15.75" customHeight="1" x14ac:dyDescent="0.2">
      <c r="B401" s="150"/>
      <c r="C401" s="150"/>
      <c r="D401" s="150"/>
      <c r="E401" s="150"/>
      <c r="F401" s="150"/>
      <c r="G401" s="150"/>
    </row>
    <row r="402" spans="2:7" ht="15.75" customHeight="1" x14ac:dyDescent="0.2">
      <c r="B402" s="150"/>
      <c r="C402" s="150"/>
      <c r="D402" s="150"/>
      <c r="E402" s="150"/>
      <c r="F402" s="150"/>
      <c r="G402" s="150"/>
    </row>
    <row r="403" spans="2:7" ht="15.75" customHeight="1" x14ac:dyDescent="0.2">
      <c r="B403" s="150"/>
      <c r="C403" s="150"/>
      <c r="D403" s="150"/>
      <c r="E403" s="150"/>
      <c r="F403" s="150"/>
      <c r="G403" s="150"/>
    </row>
    <row r="404" spans="2:7" ht="15.75" customHeight="1" x14ac:dyDescent="0.2">
      <c r="B404" s="150"/>
      <c r="C404" s="150"/>
      <c r="D404" s="150"/>
      <c r="E404" s="150"/>
      <c r="F404" s="150"/>
      <c r="G404" s="150"/>
    </row>
    <row r="405" spans="2:7" ht="15.75" customHeight="1" x14ac:dyDescent="0.2">
      <c r="B405" s="150"/>
      <c r="C405" s="150"/>
      <c r="D405" s="150"/>
      <c r="E405" s="150"/>
      <c r="F405" s="150"/>
      <c r="G405" s="150"/>
    </row>
    <row r="406" spans="2:7" ht="15.75" customHeight="1" x14ac:dyDescent="0.2">
      <c r="B406" s="150"/>
      <c r="C406" s="150"/>
      <c r="D406" s="150"/>
      <c r="E406" s="150"/>
      <c r="F406" s="150"/>
      <c r="G406" s="150"/>
    </row>
    <row r="407" spans="2:7" ht="15.75" customHeight="1" x14ac:dyDescent="0.2">
      <c r="B407" s="150"/>
      <c r="C407" s="150"/>
      <c r="D407" s="150"/>
      <c r="E407" s="150"/>
      <c r="F407" s="150"/>
      <c r="G407" s="150"/>
    </row>
    <row r="408" spans="2:7" ht="15.75" customHeight="1" x14ac:dyDescent="0.2">
      <c r="B408" s="150"/>
      <c r="C408" s="150"/>
      <c r="D408" s="150"/>
      <c r="E408" s="150"/>
      <c r="F408" s="150"/>
      <c r="G408" s="150"/>
    </row>
    <row r="409" spans="2:7" ht="15.75" customHeight="1" x14ac:dyDescent="0.2">
      <c r="B409" s="150"/>
      <c r="C409" s="150"/>
      <c r="D409" s="150"/>
      <c r="E409" s="150"/>
      <c r="F409" s="150"/>
      <c r="G409" s="150"/>
    </row>
    <row r="410" spans="2:7" ht="15.75" customHeight="1" x14ac:dyDescent="0.2">
      <c r="B410" s="150"/>
      <c r="C410" s="150"/>
      <c r="D410" s="150"/>
      <c r="E410" s="150"/>
      <c r="F410" s="150"/>
      <c r="G410" s="150"/>
    </row>
    <row r="411" spans="2:7" ht="15.75" customHeight="1" x14ac:dyDescent="0.2">
      <c r="B411" s="150"/>
      <c r="C411" s="150"/>
      <c r="D411" s="150"/>
      <c r="E411" s="150"/>
      <c r="F411" s="150"/>
      <c r="G411" s="150"/>
    </row>
    <row r="412" spans="2:7" ht="15.75" customHeight="1" x14ac:dyDescent="0.2">
      <c r="B412" s="150"/>
      <c r="C412" s="150"/>
      <c r="D412" s="150"/>
      <c r="E412" s="150"/>
      <c r="F412" s="150"/>
      <c r="G412" s="150"/>
    </row>
    <row r="413" spans="2:7" ht="15.75" customHeight="1" x14ac:dyDescent="0.2">
      <c r="B413" s="150"/>
      <c r="C413" s="150"/>
      <c r="D413" s="150"/>
      <c r="E413" s="150"/>
      <c r="F413" s="150"/>
      <c r="G413" s="150"/>
    </row>
    <row r="414" spans="2:7" ht="15.75" customHeight="1" x14ac:dyDescent="0.2">
      <c r="B414" s="150"/>
      <c r="C414" s="150"/>
      <c r="D414" s="150"/>
      <c r="E414" s="150"/>
      <c r="F414" s="150"/>
      <c r="G414" s="150"/>
    </row>
    <row r="415" spans="2:7" ht="15.75" customHeight="1" x14ac:dyDescent="0.2">
      <c r="B415" s="150"/>
      <c r="C415" s="150"/>
      <c r="D415" s="150"/>
      <c r="E415" s="150"/>
      <c r="F415" s="150"/>
      <c r="G415" s="150"/>
    </row>
    <row r="416" spans="2:7" ht="15.75" customHeight="1" x14ac:dyDescent="0.2">
      <c r="B416" s="150"/>
      <c r="C416" s="150"/>
      <c r="D416" s="150"/>
      <c r="E416" s="150"/>
      <c r="F416" s="150"/>
      <c r="G416" s="150"/>
    </row>
    <row r="417" spans="2:7" ht="15.75" customHeight="1" x14ac:dyDescent="0.2">
      <c r="B417" s="150"/>
      <c r="C417" s="150"/>
      <c r="D417" s="150"/>
      <c r="E417" s="150"/>
      <c r="F417" s="150"/>
      <c r="G417" s="150"/>
    </row>
    <row r="418" spans="2:7" ht="15.75" customHeight="1" x14ac:dyDescent="0.2">
      <c r="B418" s="150"/>
      <c r="C418" s="150"/>
      <c r="D418" s="150"/>
      <c r="E418" s="150"/>
      <c r="F418" s="150"/>
      <c r="G418" s="150"/>
    </row>
    <row r="419" spans="2:7" ht="15.75" customHeight="1" x14ac:dyDescent="0.2">
      <c r="B419" s="150"/>
      <c r="C419" s="150"/>
      <c r="D419" s="150"/>
      <c r="E419" s="150"/>
      <c r="F419" s="150"/>
      <c r="G419" s="150"/>
    </row>
    <row r="420" spans="2:7" ht="15.75" customHeight="1" x14ac:dyDescent="0.2">
      <c r="B420" s="150"/>
      <c r="C420" s="150"/>
      <c r="D420" s="150"/>
      <c r="E420" s="150"/>
      <c r="F420" s="150"/>
      <c r="G420" s="150"/>
    </row>
    <row r="421" spans="2:7" ht="15.75" customHeight="1" x14ac:dyDescent="0.2">
      <c r="B421" s="150"/>
      <c r="C421" s="150"/>
      <c r="D421" s="150"/>
      <c r="E421" s="150"/>
      <c r="F421" s="150"/>
      <c r="G421" s="150"/>
    </row>
    <row r="422" spans="2:7" ht="15.75" customHeight="1" x14ac:dyDescent="0.2">
      <c r="B422" s="150"/>
      <c r="C422" s="150"/>
      <c r="D422" s="150"/>
      <c r="E422" s="150"/>
      <c r="F422" s="150"/>
      <c r="G422" s="150"/>
    </row>
    <row r="423" spans="2:7" ht="15.75" customHeight="1" x14ac:dyDescent="0.2">
      <c r="B423" s="150"/>
      <c r="C423" s="150"/>
      <c r="D423" s="150"/>
      <c r="E423" s="150"/>
      <c r="F423" s="150"/>
      <c r="G423" s="150"/>
    </row>
    <row r="424" spans="2:7" ht="15.75" customHeight="1" x14ac:dyDescent="0.2">
      <c r="B424" s="150"/>
      <c r="C424" s="150"/>
      <c r="D424" s="150"/>
      <c r="E424" s="150"/>
      <c r="F424" s="150"/>
      <c r="G424" s="150"/>
    </row>
    <row r="425" spans="2:7" ht="15.75" customHeight="1" x14ac:dyDescent="0.2">
      <c r="B425" s="150"/>
      <c r="C425" s="150"/>
      <c r="D425" s="150"/>
      <c r="E425" s="150"/>
      <c r="F425" s="150"/>
      <c r="G425" s="150"/>
    </row>
    <row r="426" spans="2:7" ht="15.75" customHeight="1" x14ac:dyDescent="0.2">
      <c r="B426" s="150"/>
      <c r="C426" s="150"/>
      <c r="D426" s="150"/>
      <c r="E426" s="150"/>
      <c r="F426" s="150"/>
      <c r="G426" s="150"/>
    </row>
    <row r="427" spans="2:7" ht="15.75" customHeight="1" x14ac:dyDescent="0.2">
      <c r="B427" s="150"/>
      <c r="C427" s="150"/>
      <c r="D427" s="150"/>
      <c r="E427" s="150"/>
      <c r="F427" s="150"/>
      <c r="G427" s="150"/>
    </row>
    <row r="428" spans="2:7" ht="15.75" customHeight="1" x14ac:dyDescent="0.2">
      <c r="B428" s="150"/>
      <c r="C428" s="150"/>
      <c r="D428" s="150"/>
      <c r="E428" s="150"/>
      <c r="F428" s="150"/>
      <c r="G428" s="150"/>
    </row>
    <row r="429" spans="2:7" ht="15.75" customHeight="1" x14ac:dyDescent="0.2">
      <c r="B429" s="150"/>
      <c r="C429" s="150"/>
      <c r="D429" s="150"/>
      <c r="E429" s="150"/>
      <c r="F429" s="150"/>
      <c r="G429" s="150"/>
    </row>
    <row r="430" spans="2:7" ht="15.75" customHeight="1" x14ac:dyDescent="0.2">
      <c r="B430" s="150"/>
      <c r="C430" s="150"/>
      <c r="D430" s="150"/>
      <c r="E430" s="150"/>
      <c r="F430" s="150"/>
      <c r="G430" s="150"/>
    </row>
    <row r="431" spans="2:7" ht="15.75" customHeight="1" x14ac:dyDescent="0.2">
      <c r="B431" s="150"/>
      <c r="C431" s="150"/>
      <c r="D431" s="150"/>
      <c r="E431" s="150"/>
      <c r="F431" s="150"/>
      <c r="G431" s="150"/>
    </row>
    <row r="432" spans="2:7" ht="15.75" customHeight="1" x14ac:dyDescent="0.2">
      <c r="B432" s="150"/>
      <c r="C432" s="150"/>
      <c r="D432" s="150"/>
      <c r="E432" s="150"/>
      <c r="F432" s="150"/>
      <c r="G432" s="150"/>
    </row>
    <row r="433" spans="2:7" ht="15.75" customHeight="1" x14ac:dyDescent="0.2">
      <c r="B433" s="150"/>
      <c r="C433" s="150"/>
      <c r="D433" s="150"/>
      <c r="E433" s="150"/>
      <c r="F433" s="150"/>
      <c r="G433" s="150"/>
    </row>
    <row r="434" spans="2:7" ht="15.75" customHeight="1" x14ac:dyDescent="0.2">
      <c r="B434" s="150"/>
      <c r="C434" s="150"/>
      <c r="D434" s="150"/>
      <c r="E434" s="150"/>
      <c r="F434" s="150"/>
      <c r="G434" s="150"/>
    </row>
    <row r="435" spans="2:7" ht="15.75" customHeight="1" x14ac:dyDescent="0.2">
      <c r="B435" s="150"/>
      <c r="C435" s="150"/>
      <c r="D435" s="150"/>
      <c r="E435" s="150"/>
      <c r="F435" s="150"/>
      <c r="G435" s="150"/>
    </row>
    <row r="436" spans="2:7" ht="15.75" customHeight="1" x14ac:dyDescent="0.2">
      <c r="B436" s="150"/>
      <c r="C436" s="150"/>
      <c r="D436" s="150"/>
      <c r="E436" s="150"/>
      <c r="F436" s="150"/>
      <c r="G436" s="150"/>
    </row>
    <row r="437" spans="2:7" ht="15.75" customHeight="1" x14ac:dyDescent="0.2">
      <c r="B437" s="150"/>
      <c r="C437" s="150"/>
      <c r="D437" s="150"/>
      <c r="E437" s="150"/>
      <c r="F437" s="150"/>
      <c r="G437" s="150"/>
    </row>
    <row r="438" spans="2:7" ht="15.75" customHeight="1" x14ac:dyDescent="0.2">
      <c r="B438" s="150"/>
      <c r="C438" s="150"/>
      <c r="D438" s="150"/>
      <c r="E438" s="150"/>
      <c r="F438" s="150"/>
      <c r="G438" s="150"/>
    </row>
    <row r="439" spans="2:7" ht="15.75" customHeight="1" x14ac:dyDescent="0.2">
      <c r="B439" s="150"/>
      <c r="C439" s="150"/>
      <c r="D439" s="150"/>
      <c r="E439" s="150"/>
      <c r="F439" s="150"/>
      <c r="G439" s="150"/>
    </row>
    <row r="440" spans="2:7" ht="15.75" customHeight="1" x14ac:dyDescent="0.2">
      <c r="B440" s="150"/>
      <c r="C440" s="150"/>
      <c r="D440" s="150"/>
      <c r="E440" s="150"/>
      <c r="F440" s="150"/>
      <c r="G440" s="150"/>
    </row>
    <row r="441" spans="2:7" ht="15.75" customHeight="1" x14ac:dyDescent="0.2">
      <c r="B441" s="150"/>
      <c r="C441" s="150"/>
      <c r="D441" s="150"/>
      <c r="E441" s="150"/>
      <c r="F441" s="150"/>
      <c r="G441" s="150"/>
    </row>
    <row r="442" spans="2:7" ht="15.75" customHeight="1" x14ac:dyDescent="0.2">
      <c r="B442" s="150"/>
      <c r="C442" s="150"/>
      <c r="D442" s="150"/>
      <c r="E442" s="150"/>
      <c r="F442" s="150"/>
      <c r="G442" s="150"/>
    </row>
    <row r="443" spans="2:7" ht="15.75" customHeight="1" x14ac:dyDescent="0.2">
      <c r="B443" s="150"/>
      <c r="C443" s="150"/>
      <c r="D443" s="150"/>
      <c r="E443" s="150"/>
      <c r="F443" s="150"/>
      <c r="G443" s="150"/>
    </row>
    <row r="444" spans="2:7" ht="15.75" customHeight="1" x14ac:dyDescent="0.2">
      <c r="B444" s="150"/>
      <c r="C444" s="150"/>
      <c r="D444" s="150"/>
      <c r="E444" s="150"/>
      <c r="F444" s="150"/>
      <c r="G444" s="150"/>
    </row>
    <row r="445" spans="2:7" ht="15.75" customHeight="1" x14ac:dyDescent="0.2">
      <c r="B445" s="150"/>
      <c r="C445" s="150"/>
      <c r="D445" s="150"/>
      <c r="E445" s="150"/>
      <c r="F445" s="150"/>
      <c r="G445" s="150"/>
    </row>
    <row r="446" spans="2:7" ht="15.75" customHeight="1" x14ac:dyDescent="0.2">
      <c r="B446" s="150"/>
      <c r="C446" s="150"/>
      <c r="D446" s="150"/>
      <c r="E446" s="150"/>
      <c r="F446" s="150"/>
      <c r="G446" s="150"/>
    </row>
    <row r="447" spans="2:7" ht="15.75" customHeight="1" x14ac:dyDescent="0.2">
      <c r="B447" s="150"/>
      <c r="C447" s="150"/>
      <c r="D447" s="150"/>
      <c r="E447" s="150"/>
      <c r="F447" s="150"/>
      <c r="G447" s="150"/>
    </row>
    <row r="448" spans="2:7" ht="15.75" customHeight="1" x14ac:dyDescent="0.2">
      <c r="B448" s="150"/>
      <c r="C448" s="150"/>
      <c r="D448" s="150"/>
      <c r="E448" s="150"/>
      <c r="F448" s="150"/>
      <c r="G448" s="150"/>
    </row>
    <row r="449" spans="2:7" ht="15.75" customHeight="1" x14ac:dyDescent="0.2">
      <c r="B449" s="150"/>
      <c r="C449" s="150"/>
      <c r="D449" s="150"/>
      <c r="E449" s="150"/>
      <c r="F449" s="150"/>
      <c r="G449" s="150"/>
    </row>
    <row r="450" spans="2:7" ht="15.75" customHeight="1" x14ac:dyDescent="0.2">
      <c r="B450" s="150"/>
      <c r="C450" s="150"/>
      <c r="D450" s="150"/>
      <c r="E450" s="150"/>
      <c r="F450" s="150"/>
      <c r="G450" s="150"/>
    </row>
    <row r="451" spans="2:7" ht="15.75" customHeight="1" x14ac:dyDescent="0.2">
      <c r="B451" s="150"/>
      <c r="C451" s="150"/>
      <c r="D451" s="150"/>
      <c r="E451" s="150"/>
      <c r="F451" s="150"/>
      <c r="G451" s="150"/>
    </row>
    <row r="452" spans="2:7" ht="15.75" customHeight="1" x14ac:dyDescent="0.2">
      <c r="B452" s="150"/>
      <c r="C452" s="150"/>
      <c r="D452" s="150"/>
      <c r="E452" s="150"/>
      <c r="F452" s="150"/>
      <c r="G452" s="150"/>
    </row>
    <row r="453" spans="2:7" ht="15.75" customHeight="1" x14ac:dyDescent="0.2">
      <c r="B453" s="150"/>
      <c r="C453" s="150"/>
      <c r="D453" s="150"/>
      <c r="E453" s="150"/>
      <c r="F453" s="150"/>
      <c r="G453" s="150"/>
    </row>
    <row r="454" spans="2:7" ht="15.75" customHeight="1" x14ac:dyDescent="0.2">
      <c r="B454" s="150"/>
      <c r="C454" s="150"/>
      <c r="D454" s="150"/>
      <c r="E454" s="150"/>
      <c r="F454" s="150"/>
      <c r="G454" s="150"/>
    </row>
    <row r="455" spans="2:7" ht="15.75" customHeight="1" x14ac:dyDescent="0.2">
      <c r="B455" s="150"/>
      <c r="C455" s="150"/>
      <c r="D455" s="150"/>
      <c r="E455" s="150"/>
      <c r="F455" s="150"/>
      <c r="G455" s="150"/>
    </row>
    <row r="456" spans="2:7" ht="15.75" customHeight="1" x14ac:dyDescent="0.2">
      <c r="B456" s="150"/>
      <c r="C456" s="150"/>
      <c r="D456" s="150"/>
      <c r="E456" s="150"/>
      <c r="F456" s="150"/>
      <c r="G456" s="150"/>
    </row>
    <row r="457" spans="2:7" ht="15.75" customHeight="1" x14ac:dyDescent="0.2">
      <c r="B457" s="150"/>
      <c r="C457" s="150"/>
      <c r="D457" s="150"/>
      <c r="E457" s="150"/>
      <c r="F457" s="150"/>
      <c r="G457" s="150"/>
    </row>
    <row r="458" spans="2:7" ht="15.75" customHeight="1" x14ac:dyDescent="0.2">
      <c r="B458" s="150"/>
      <c r="C458" s="150"/>
      <c r="D458" s="150"/>
      <c r="E458" s="150"/>
      <c r="F458" s="150"/>
      <c r="G458" s="150"/>
    </row>
    <row r="459" spans="2:7" ht="15.75" customHeight="1" x14ac:dyDescent="0.2">
      <c r="B459" s="150"/>
      <c r="C459" s="150"/>
      <c r="D459" s="150"/>
      <c r="E459" s="150"/>
      <c r="F459" s="150"/>
      <c r="G459" s="150"/>
    </row>
    <row r="460" spans="2:7" ht="15.75" customHeight="1" x14ac:dyDescent="0.2">
      <c r="B460" s="150"/>
      <c r="C460" s="150"/>
      <c r="D460" s="150"/>
      <c r="E460" s="150"/>
      <c r="F460" s="150"/>
      <c r="G460" s="150"/>
    </row>
    <row r="461" spans="2:7" ht="15.75" customHeight="1" x14ac:dyDescent="0.2">
      <c r="B461" s="150"/>
      <c r="C461" s="150"/>
      <c r="D461" s="150"/>
      <c r="E461" s="150"/>
      <c r="F461" s="150"/>
      <c r="G461" s="150"/>
    </row>
    <row r="462" spans="2:7" ht="15.75" customHeight="1" x14ac:dyDescent="0.2">
      <c r="B462" s="150"/>
      <c r="C462" s="150"/>
      <c r="D462" s="150"/>
      <c r="E462" s="150"/>
      <c r="F462" s="150"/>
      <c r="G462" s="150"/>
    </row>
    <row r="463" spans="2:7" ht="15.75" customHeight="1" x14ac:dyDescent="0.2">
      <c r="B463" s="150"/>
      <c r="C463" s="150"/>
      <c r="D463" s="150"/>
      <c r="E463" s="150"/>
      <c r="F463" s="150"/>
      <c r="G463" s="150"/>
    </row>
    <row r="464" spans="2:7" ht="15.75" customHeight="1" x14ac:dyDescent="0.2">
      <c r="B464" s="150"/>
      <c r="C464" s="150"/>
      <c r="D464" s="150"/>
      <c r="E464" s="150"/>
      <c r="F464" s="150"/>
      <c r="G464" s="150"/>
    </row>
    <row r="465" spans="2:7" ht="15.75" customHeight="1" x14ac:dyDescent="0.2">
      <c r="B465" s="150"/>
      <c r="C465" s="150"/>
      <c r="D465" s="150"/>
      <c r="E465" s="150"/>
      <c r="F465" s="150"/>
      <c r="G465" s="150"/>
    </row>
    <row r="466" spans="2:7" ht="15.75" customHeight="1" x14ac:dyDescent="0.2">
      <c r="B466" s="150"/>
      <c r="C466" s="150"/>
      <c r="D466" s="150"/>
      <c r="E466" s="150"/>
      <c r="F466" s="150"/>
      <c r="G466" s="150"/>
    </row>
    <row r="467" spans="2:7" ht="15.75" customHeight="1" x14ac:dyDescent="0.2">
      <c r="B467" s="150"/>
      <c r="C467" s="150"/>
      <c r="D467" s="150"/>
      <c r="E467" s="150"/>
      <c r="F467" s="150"/>
      <c r="G467" s="150"/>
    </row>
    <row r="468" spans="2:7" ht="15.75" customHeight="1" x14ac:dyDescent="0.2">
      <c r="B468" s="150"/>
      <c r="C468" s="150"/>
      <c r="D468" s="150"/>
      <c r="E468" s="150"/>
      <c r="F468" s="150"/>
      <c r="G468" s="150"/>
    </row>
    <row r="469" spans="2:7" ht="15.75" customHeight="1" x14ac:dyDescent="0.2">
      <c r="B469" s="150"/>
      <c r="C469" s="150"/>
      <c r="D469" s="150"/>
      <c r="E469" s="150"/>
      <c r="F469" s="150"/>
      <c r="G469" s="150"/>
    </row>
    <row r="470" spans="2:7" ht="15.75" customHeight="1" x14ac:dyDescent="0.2">
      <c r="B470" s="150"/>
      <c r="C470" s="150"/>
      <c r="D470" s="150"/>
      <c r="E470" s="150"/>
      <c r="F470" s="150"/>
      <c r="G470" s="150"/>
    </row>
    <row r="471" spans="2:7" ht="15.75" customHeight="1" x14ac:dyDescent="0.2">
      <c r="B471" s="150"/>
      <c r="C471" s="150"/>
      <c r="D471" s="150"/>
      <c r="E471" s="150"/>
      <c r="F471" s="150"/>
      <c r="G471" s="150"/>
    </row>
    <row r="472" spans="2:7" ht="15.75" customHeight="1" x14ac:dyDescent="0.2">
      <c r="B472" s="150"/>
      <c r="C472" s="150"/>
      <c r="D472" s="150"/>
      <c r="E472" s="150"/>
      <c r="F472" s="150"/>
      <c r="G472" s="150"/>
    </row>
    <row r="473" spans="2:7" ht="15.75" customHeight="1" x14ac:dyDescent="0.2">
      <c r="B473" s="150"/>
      <c r="C473" s="150"/>
      <c r="D473" s="150"/>
      <c r="E473" s="150"/>
      <c r="F473" s="150"/>
      <c r="G473" s="150"/>
    </row>
    <row r="474" spans="2:7" ht="15.75" customHeight="1" x14ac:dyDescent="0.2">
      <c r="B474" s="150"/>
      <c r="C474" s="150"/>
      <c r="D474" s="150"/>
      <c r="E474" s="150"/>
      <c r="F474" s="150"/>
      <c r="G474" s="150"/>
    </row>
    <row r="475" spans="2:7" ht="15.75" customHeight="1" x14ac:dyDescent="0.2">
      <c r="B475" s="150"/>
      <c r="C475" s="150"/>
      <c r="D475" s="150"/>
      <c r="E475" s="150"/>
      <c r="F475" s="150"/>
      <c r="G475" s="150"/>
    </row>
    <row r="476" spans="2:7" ht="15.75" customHeight="1" x14ac:dyDescent="0.2">
      <c r="B476" s="150"/>
      <c r="C476" s="150"/>
      <c r="D476" s="150"/>
      <c r="E476" s="150"/>
      <c r="F476" s="150"/>
      <c r="G476" s="150"/>
    </row>
    <row r="477" spans="2:7" ht="15.75" customHeight="1" x14ac:dyDescent="0.2">
      <c r="B477" s="150"/>
      <c r="C477" s="150"/>
      <c r="D477" s="150"/>
      <c r="E477" s="150"/>
      <c r="F477" s="150"/>
      <c r="G477" s="150"/>
    </row>
    <row r="478" spans="2:7" ht="15.75" customHeight="1" x14ac:dyDescent="0.2">
      <c r="B478" s="150"/>
      <c r="C478" s="150"/>
      <c r="D478" s="150"/>
      <c r="E478" s="150"/>
      <c r="F478" s="150"/>
      <c r="G478" s="150"/>
    </row>
    <row r="479" spans="2:7" ht="15.75" customHeight="1" x14ac:dyDescent="0.2">
      <c r="B479" s="150"/>
      <c r="C479" s="150"/>
      <c r="D479" s="150"/>
      <c r="E479" s="150"/>
      <c r="F479" s="150"/>
      <c r="G479" s="150"/>
    </row>
    <row r="480" spans="2:7" ht="15.75" customHeight="1" x14ac:dyDescent="0.2">
      <c r="B480" s="150"/>
      <c r="C480" s="150"/>
      <c r="D480" s="150"/>
      <c r="E480" s="150"/>
      <c r="F480" s="150"/>
      <c r="G480" s="150"/>
    </row>
    <row r="481" spans="2:7" ht="15.75" customHeight="1" x14ac:dyDescent="0.2">
      <c r="B481" s="150"/>
      <c r="C481" s="150"/>
      <c r="D481" s="150"/>
      <c r="E481" s="150"/>
      <c r="F481" s="150"/>
      <c r="G481" s="150"/>
    </row>
    <row r="482" spans="2:7" ht="15.75" customHeight="1" x14ac:dyDescent="0.2">
      <c r="B482" s="150"/>
      <c r="C482" s="150"/>
      <c r="D482" s="150"/>
      <c r="E482" s="150"/>
      <c r="F482" s="150"/>
      <c r="G482" s="150"/>
    </row>
    <row r="483" spans="2:7" ht="15.75" customHeight="1" x14ac:dyDescent="0.2">
      <c r="B483" s="150"/>
      <c r="C483" s="150"/>
      <c r="D483" s="150"/>
      <c r="E483" s="150"/>
      <c r="F483" s="150"/>
      <c r="G483" s="150"/>
    </row>
    <row r="484" spans="2:7" ht="15.75" customHeight="1" x14ac:dyDescent="0.2">
      <c r="B484" s="150"/>
      <c r="C484" s="150"/>
      <c r="D484" s="150"/>
      <c r="E484" s="150"/>
      <c r="F484" s="150"/>
      <c r="G484" s="150"/>
    </row>
    <row r="485" spans="2:7" ht="15.75" customHeight="1" x14ac:dyDescent="0.2">
      <c r="B485" s="150"/>
      <c r="C485" s="150"/>
      <c r="D485" s="150"/>
      <c r="E485" s="150"/>
      <c r="F485" s="150"/>
      <c r="G485" s="150"/>
    </row>
    <row r="486" spans="2:7" ht="15.75" customHeight="1" x14ac:dyDescent="0.2">
      <c r="B486" s="150"/>
      <c r="C486" s="150"/>
      <c r="D486" s="150"/>
      <c r="E486" s="150"/>
      <c r="F486" s="150"/>
      <c r="G486" s="150"/>
    </row>
    <row r="487" spans="2:7" ht="15.75" customHeight="1" x14ac:dyDescent="0.2">
      <c r="B487" s="150"/>
      <c r="C487" s="150"/>
      <c r="D487" s="150"/>
      <c r="E487" s="150"/>
      <c r="F487" s="150"/>
      <c r="G487" s="150"/>
    </row>
    <row r="488" spans="2:7" ht="15.75" customHeight="1" x14ac:dyDescent="0.2">
      <c r="B488" s="150"/>
      <c r="C488" s="150"/>
      <c r="D488" s="150"/>
      <c r="E488" s="150"/>
      <c r="F488" s="150"/>
      <c r="G488" s="150"/>
    </row>
    <row r="489" spans="2:7" ht="15.75" customHeight="1" x14ac:dyDescent="0.2">
      <c r="B489" s="150"/>
      <c r="C489" s="150"/>
      <c r="D489" s="150"/>
      <c r="E489" s="150"/>
      <c r="F489" s="150"/>
      <c r="G489" s="150"/>
    </row>
    <row r="490" spans="2:7" ht="15.75" customHeight="1" x14ac:dyDescent="0.2">
      <c r="B490" s="150"/>
      <c r="C490" s="150"/>
      <c r="D490" s="150"/>
      <c r="E490" s="150"/>
      <c r="F490" s="150"/>
      <c r="G490" s="150"/>
    </row>
    <row r="491" spans="2:7" ht="15.75" customHeight="1" x14ac:dyDescent="0.2">
      <c r="B491" s="150"/>
      <c r="C491" s="150"/>
      <c r="D491" s="150"/>
      <c r="E491" s="150"/>
      <c r="F491" s="150"/>
      <c r="G491" s="150"/>
    </row>
    <row r="492" spans="2:7" ht="15.75" customHeight="1" x14ac:dyDescent="0.2">
      <c r="B492" s="150"/>
      <c r="C492" s="150"/>
      <c r="D492" s="150"/>
      <c r="E492" s="150"/>
      <c r="F492" s="150"/>
      <c r="G492" s="150"/>
    </row>
    <row r="493" spans="2:7" ht="15.75" customHeight="1" x14ac:dyDescent="0.2">
      <c r="B493" s="150"/>
      <c r="C493" s="150"/>
      <c r="D493" s="150"/>
      <c r="E493" s="150"/>
      <c r="F493" s="150"/>
      <c r="G493" s="150"/>
    </row>
    <row r="494" spans="2:7" ht="15.75" customHeight="1" x14ac:dyDescent="0.2">
      <c r="B494" s="150"/>
      <c r="C494" s="150"/>
      <c r="D494" s="150"/>
      <c r="E494" s="150"/>
      <c r="F494" s="150"/>
      <c r="G494" s="150"/>
    </row>
    <row r="495" spans="2:7" ht="15.75" customHeight="1" x14ac:dyDescent="0.2">
      <c r="B495" s="150"/>
      <c r="C495" s="150"/>
      <c r="D495" s="150"/>
      <c r="E495" s="150"/>
      <c r="F495" s="150"/>
      <c r="G495" s="150"/>
    </row>
    <row r="496" spans="2:7" ht="15.75" customHeight="1" x14ac:dyDescent="0.2">
      <c r="B496" s="150"/>
      <c r="C496" s="150"/>
      <c r="D496" s="150"/>
      <c r="E496" s="150"/>
      <c r="F496" s="150"/>
      <c r="G496" s="150"/>
    </row>
    <row r="497" spans="2:7" ht="15.75" customHeight="1" x14ac:dyDescent="0.2">
      <c r="B497" s="150"/>
      <c r="C497" s="150"/>
      <c r="D497" s="150"/>
      <c r="E497" s="150"/>
      <c r="F497" s="150"/>
      <c r="G497" s="150"/>
    </row>
    <row r="498" spans="2:7" ht="15.75" customHeight="1" x14ac:dyDescent="0.2">
      <c r="B498" s="150"/>
      <c r="C498" s="150"/>
      <c r="D498" s="150"/>
      <c r="E498" s="150"/>
      <c r="F498" s="150"/>
      <c r="G498" s="150"/>
    </row>
    <row r="499" spans="2:7" ht="15.75" customHeight="1" x14ac:dyDescent="0.2">
      <c r="B499" s="150"/>
      <c r="C499" s="150"/>
      <c r="D499" s="150"/>
      <c r="E499" s="150"/>
      <c r="F499" s="150"/>
      <c r="G499" s="150"/>
    </row>
    <row r="500" spans="2:7" ht="15.75" customHeight="1" x14ac:dyDescent="0.2">
      <c r="B500" s="150"/>
      <c r="C500" s="150"/>
      <c r="D500" s="150"/>
      <c r="E500" s="150"/>
      <c r="F500" s="150"/>
      <c r="G500" s="150"/>
    </row>
    <row r="501" spans="2:7" ht="15.75" customHeight="1" x14ac:dyDescent="0.2">
      <c r="B501" s="150"/>
      <c r="C501" s="150"/>
      <c r="D501" s="150"/>
      <c r="E501" s="150"/>
      <c r="F501" s="150"/>
      <c r="G501" s="150"/>
    </row>
    <row r="502" spans="2:7" ht="15.75" customHeight="1" x14ac:dyDescent="0.2">
      <c r="B502" s="150"/>
      <c r="C502" s="150"/>
      <c r="D502" s="150"/>
      <c r="E502" s="150"/>
      <c r="F502" s="150"/>
      <c r="G502" s="150"/>
    </row>
    <row r="503" spans="2:7" ht="15.75" customHeight="1" x14ac:dyDescent="0.2">
      <c r="B503" s="150"/>
      <c r="C503" s="150"/>
      <c r="D503" s="150"/>
      <c r="E503" s="150"/>
      <c r="F503" s="150"/>
      <c r="G503" s="150"/>
    </row>
    <row r="504" spans="2:7" ht="15.75" customHeight="1" x14ac:dyDescent="0.2">
      <c r="B504" s="150"/>
      <c r="C504" s="150"/>
      <c r="D504" s="150"/>
      <c r="E504" s="150"/>
      <c r="F504" s="150"/>
      <c r="G504" s="150"/>
    </row>
    <row r="505" spans="2:7" ht="15.75" customHeight="1" x14ac:dyDescent="0.2">
      <c r="B505" s="150"/>
      <c r="C505" s="150"/>
      <c r="D505" s="150"/>
      <c r="E505" s="150"/>
      <c r="F505" s="150"/>
      <c r="G505" s="150"/>
    </row>
    <row r="506" spans="2:7" ht="15.75" customHeight="1" x14ac:dyDescent="0.2">
      <c r="B506" s="150"/>
      <c r="C506" s="150"/>
      <c r="D506" s="150"/>
      <c r="E506" s="150"/>
      <c r="F506" s="150"/>
      <c r="G506" s="150"/>
    </row>
    <row r="507" spans="2:7" ht="15.75" customHeight="1" x14ac:dyDescent="0.2">
      <c r="B507" s="150"/>
      <c r="C507" s="150"/>
      <c r="D507" s="150"/>
      <c r="E507" s="150"/>
      <c r="F507" s="150"/>
      <c r="G507" s="150"/>
    </row>
    <row r="508" spans="2:7" ht="15.75" customHeight="1" x14ac:dyDescent="0.2">
      <c r="B508" s="150"/>
      <c r="C508" s="150"/>
      <c r="D508" s="150"/>
      <c r="E508" s="150"/>
      <c r="F508" s="150"/>
      <c r="G508" s="150"/>
    </row>
    <row r="509" spans="2:7" ht="15.75" customHeight="1" x14ac:dyDescent="0.2">
      <c r="B509" s="150"/>
      <c r="C509" s="150"/>
      <c r="D509" s="150"/>
      <c r="E509" s="150"/>
      <c r="F509" s="150"/>
      <c r="G509" s="150"/>
    </row>
    <row r="510" spans="2:7" ht="15.75" customHeight="1" x14ac:dyDescent="0.2">
      <c r="B510" s="150"/>
      <c r="C510" s="150"/>
      <c r="D510" s="150"/>
      <c r="E510" s="150"/>
      <c r="F510" s="150"/>
      <c r="G510" s="150"/>
    </row>
    <row r="511" spans="2:7" ht="15.75" customHeight="1" x14ac:dyDescent="0.2">
      <c r="B511" s="150"/>
      <c r="C511" s="150"/>
      <c r="D511" s="150"/>
      <c r="E511" s="150"/>
      <c r="F511" s="150"/>
      <c r="G511" s="150"/>
    </row>
    <row r="512" spans="2:7" ht="15.75" customHeight="1" x14ac:dyDescent="0.2">
      <c r="B512" s="150"/>
      <c r="C512" s="150"/>
      <c r="D512" s="150"/>
      <c r="E512" s="150"/>
      <c r="F512" s="150"/>
      <c r="G512" s="150"/>
    </row>
    <row r="513" spans="2:7" ht="15.75" customHeight="1" x14ac:dyDescent="0.2">
      <c r="B513" s="150"/>
      <c r="C513" s="150"/>
      <c r="D513" s="150"/>
      <c r="E513" s="150"/>
      <c r="F513" s="150"/>
      <c r="G513" s="150"/>
    </row>
    <row r="514" spans="2:7" ht="15.75" customHeight="1" x14ac:dyDescent="0.2">
      <c r="B514" s="150"/>
      <c r="C514" s="150"/>
      <c r="D514" s="150"/>
      <c r="E514" s="150"/>
      <c r="F514" s="150"/>
      <c r="G514" s="150"/>
    </row>
    <row r="515" spans="2:7" ht="15.75" customHeight="1" x14ac:dyDescent="0.2">
      <c r="B515" s="150"/>
      <c r="C515" s="150"/>
      <c r="D515" s="150"/>
      <c r="E515" s="150"/>
      <c r="F515" s="150"/>
      <c r="G515" s="150"/>
    </row>
    <row r="516" spans="2:7" ht="15.75" customHeight="1" x14ac:dyDescent="0.2">
      <c r="B516" s="150"/>
      <c r="C516" s="150"/>
      <c r="D516" s="150"/>
      <c r="E516" s="150"/>
      <c r="F516" s="150"/>
      <c r="G516" s="150"/>
    </row>
    <row r="517" spans="2:7" ht="15.75" customHeight="1" x14ac:dyDescent="0.2">
      <c r="B517" s="150"/>
      <c r="C517" s="150"/>
      <c r="D517" s="150"/>
      <c r="E517" s="150"/>
      <c r="F517" s="150"/>
      <c r="G517" s="150"/>
    </row>
    <row r="518" spans="2:7" ht="15.75" customHeight="1" x14ac:dyDescent="0.2">
      <c r="B518" s="150"/>
      <c r="C518" s="150"/>
      <c r="D518" s="150"/>
      <c r="E518" s="150"/>
      <c r="F518" s="150"/>
      <c r="G518" s="150"/>
    </row>
    <row r="519" spans="2:7" ht="15.75" customHeight="1" x14ac:dyDescent="0.2">
      <c r="B519" s="150"/>
      <c r="C519" s="150"/>
      <c r="D519" s="150"/>
      <c r="E519" s="150"/>
      <c r="F519" s="150"/>
      <c r="G519" s="150"/>
    </row>
    <row r="520" spans="2:7" ht="15.75" customHeight="1" x14ac:dyDescent="0.2">
      <c r="B520" s="150"/>
      <c r="C520" s="150"/>
      <c r="D520" s="150"/>
      <c r="E520" s="150"/>
      <c r="F520" s="150"/>
      <c r="G520" s="150"/>
    </row>
    <row r="521" spans="2:7" ht="15.75" customHeight="1" x14ac:dyDescent="0.2">
      <c r="B521" s="150"/>
      <c r="C521" s="150"/>
      <c r="D521" s="150"/>
      <c r="E521" s="150"/>
      <c r="F521" s="150"/>
      <c r="G521" s="150"/>
    </row>
    <row r="522" spans="2:7" ht="15.75" customHeight="1" x14ac:dyDescent="0.2">
      <c r="B522" s="150"/>
      <c r="C522" s="150"/>
      <c r="D522" s="150"/>
      <c r="E522" s="150"/>
      <c r="F522" s="150"/>
      <c r="G522" s="150"/>
    </row>
    <row r="523" spans="2:7" ht="15.75" customHeight="1" x14ac:dyDescent="0.2">
      <c r="B523" s="150"/>
      <c r="C523" s="150"/>
      <c r="D523" s="150"/>
      <c r="E523" s="150"/>
      <c r="F523" s="150"/>
      <c r="G523" s="150"/>
    </row>
    <row r="524" spans="2:7" ht="15.75" customHeight="1" x14ac:dyDescent="0.2">
      <c r="B524" s="150"/>
      <c r="C524" s="150"/>
      <c r="D524" s="150"/>
      <c r="E524" s="150"/>
      <c r="F524" s="150"/>
      <c r="G524" s="150"/>
    </row>
    <row r="525" spans="2:7" ht="15.75" customHeight="1" x14ac:dyDescent="0.2">
      <c r="B525" s="150"/>
      <c r="C525" s="150"/>
      <c r="D525" s="150"/>
      <c r="E525" s="150"/>
      <c r="F525" s="150"/>
      <c r="G525" s="150"/>
    </row>
    <row r="526" spans="2:7" ht="15.75" customHeight="1" x14ac:dyDescent="0.2">
      <c r="B526" s="150"/>
      <c r="C526" s="150"/>
      <c r="D526" s="150"/>
      <c r="E526" s="150"/>
      <c r="F526" s="150"/>
      <c r="G526" s="150"/>
    </row>
    <row r="527" spans="2:7" ht="15.75" customHeight="1" x14ac:dyDescent="0.2">
      <c r="B527" s="150"/>
      <c r="C527" s="150"/>
      <c r="D527" s="150"/>
      <c r="E527" s="150"/>
      <c r="F527" s="150"/>
      <c r="G527" s="150"/>
    </row>
    <row r="528" spans="2:7" ht="15.75" customHeight="1" x14ac:dyDescent="0.2">
      <c r="B528" s="150"/>
      <c r="C528" s="150"/>
      <c r="D528" s="150"/>
      <c r="E528" s="150"/>
      <c r="F528" s="150"/>
      <c r="G528" s="150"/>
    </row>
    <row r="529" spans="2:7" ht="15.75" customHeight="1" x14ac:dyDescent="0.2">
      <c r="B529" s="150"/>
      <c r="C529" s="150"/>
      <c r="D529" s="150"/>
      <c r="E529" s="150"/>
      <c r="F529" s="150"/>
      <c r="G529" s="150"/>
    </row>
    <row r="530" spans="2:7" ht="15.75" customHeight="1" x14ac:dyDescent="0.2">
      <c r="B530" s="150"/>
      <c r="C530" s="150"/>
      <c r="D530" s="150"/>
      <c r="E530" s="150"/>
      <c r="F530" s="150"/>
      <c r="G530" s="150"/>
    </row>
    <row r="531" spans="2:7" ht="15.75" customHeight="1" x14ac:dyDescent="0.2">
      <c r="B531" s="150"/>
      <c r="C531" s="150"/>
      <c r="D531" s="150"/>
      <c r="E531" s="150"/>
      <c r="F531" s="150"/>
      <c r="G531" s="150"/>
    </row>
    <row r="532" spans="2:7" ht="15.75" customHeight="1" x14ac:dyDescent="0.2">
      <c r="B532" s="150"/>
      <c r="C532" s="150"/>
      <c r="D532" s="150"/>
      <c r="E532" s="150"/>
      <c r="F532" s="150"/>
      <c r="G532" s="150"/>
    </row>
    <row r="533" spans="2:7" ht="15.75" customHeight="1" x14ac:dyDescent="0.2">
      <c r="B533" s="150"/>
      <c r="C533" s="150"/>
      <c r="D533" s="150"/>
      <c r="E533" s="150"/>
      <c r="F533" s="150"/>
      <c r="G533" s="150"/>
    </row>
    <row r="534" spans="2:7" ht="15.75" customHeight="1" x14ac:dyDescent="0.2">
      <c r="B534" s="150"/>
      <c r="C534" s="150"/>
      <c r="D534" s="150"/>
      <c r="E534" s="150"/>
      <c r="F534" s="150"/>
      <c r="G534" s="150"/>
    </row>
    <row r="535" spans="2:7" ht="15.75" customHeight="1" x14ac:dyDescent="0.2">
      <c r="B535" s="150"/>
      <c r="C535" s="150"/>
      <c r="D535" s="150"/>
      <c r="E535" s="150"/>
      <c r="F535" s="150"/>
      <c r="G535" s="150"/>
    </row>
    <row r="536" spans="2:7" ht="15.75" customHeight="1" x14ac:dyDescent="0.2">
      <c r="B536" s="150"/>
      <c r="C536" s="150"/>
      <c r="D536" s="150"/>
      <c r="E536" s="150"/>
      <c r="F536" s="150"/>
      <c r="G536" s="150"/>
    </row>
    <row r="537" spans="2:7" ht="15.75" customHeight="1" x14ac:dyDescent="0.2">
      <c r="B537" s="150"/>
      <c r="C537" s="150"/>
      <c r="D537" s="150"/>
      <c r="E537" s="150"/>
      <c r="F537" s="150"/>
      <c r="G537" s="150"/>
    </row>
    <row r="538" spans="2:7" ht="15.75" customHeight="1" x14ac:dyDescent="0.2">
      <c r="B538" s="150"/>
      <c r="C538" s="150"/>
      <c r="D538" s="150"/>
      <c r="E538" s="150"/>
      <c r="F538" s="150"/>
      <c r="G538" s="150"/>
    </row>
    <row r="539" spans="2:7" ht="15.75" customHeight="1" x14ac:dyDescent="0.2">
      <c r="B539" s="150"/>
      <c r="C539" s="150"/>
      <c r="D539" s="150"/>
      <c r="E539" s="150"/>
      <c r="F539" s="150"/>
      <c r="G539" s="150"/>
    </row>
    <row r="540" spans="2:7" ht="15.75" customHeight="1" x14ac:dyDescent="0.2">
      <c r="B540" s="150"/>
      <c r="C540" s="150"/>
      <c r="D540" s="150"/>
      <c r="E540" s="150"/>
      <c r="F540" s="150"/>
      <c r="G540" s="150"/>
    </row>
    <row r="541" spans="2:7" ht="15.75" customHeight="1" x14ac:dyDescent="0.2">
      <c r="B541" s="150"/>
      <c r="C541" s="150"/>
      <c r="D541" s="150"/>
      <c r="E541" s="150"/>
      <c r="F541" s="150"/>
      <c r="G541" s="150"/>
    </row>
    <row r="542" spans="2:7" ht="15.75" customHeight="1" x14ac:dyDescent="0.2">
      <c r="B542" s="150"/>
      <c r="C542" s="150"/>
      <c r="D542" s="150"/>
      <c r="E542" s="150"/>
      <c r="F542" s="150"/>
      <c r="G542" s="150"/>
    </row>
    <row r="543" spans="2:7" ht="15.75" customHeight="1" x14ac:dyDescent="0.2">
      <c r="B543" s="150"/>
      <c r="C543" s="150"/>
      <c r="D543" s="150"/>
      <c r="E543" s="150"/>
      <c r="F543" s="150"/>
      <c r="G543" s="150"/>
    </row>
    <row r="544" spans="2:7" ht="15.75" customHeight="1" x14ac:dyDescent="0.2">
      <c r="B544" s="150"/>
      <c r="C544" s="150"/>
      <c r="D544" s="150"/>
      <c r="E544" s="150"/>
      <c r="F544" s="150"/>
      <c r="G544" s="150"/>
    </row>
    <row r="545" spans="2:7" ht="15.75" customHeight="1" x14ac:dyDescent="0.2">
      <c r="B545" s="150"/>
      <c r="C545" s="150"/>
      <c r="D545" s="150"/>
      <c r="E545" s="150"/>
      <c r="F545" s="150"/>
      <c r="G545" s="150"/>
    </row>
    <row r="546" spans="2:7" ht="15.75" customHeight="1" x14ac:dyDescent="0.2">
      <c r="B546" s="150"/>
      <c r="C546" s="150"/>
      <c r="D546" s="150"/>
      <c r="E546" s="150"/>
      <c r="F546" s="150"/>
      <c r="G546" s="150"/>
    </row>
    <row r="547" spans="2:7" ht="15.75" customHeight="1" x14ac:dyDescent="0.2">
      <c r="B547" s="150"/>
      <c r="C547" s="150"/>
      <c r="D547" s="150"/>
      <c r="E547" s="150"/>
      <c r="F547" s="150"/>
      <c r="G547" s="150"/>
    </row>
    <row r="548" spans="2:7" ht="15.75" customHeight="1" x14ac:dyDescent="0.2">
      <c r="B548" s="150"/>
      <c r="C548" s="150"/>
      <c r="D548" s="150"/>
      <c r="E548" s="150"/>
      <c r="F548" s="150"/>
      <c r="G548" s="150"/>
    </row>
    <row r="549" spans="2:7" ht="15.75" customHeight="1" x14ac:dyDescent="0.2">
      <c r="B549" s="150"/>
      <c r="C549" s="150"/>
      <c r="D549" s="150"/>
      <c r="E549" s="150"/>
      <c r="F549" s="150"/>
      <c r="G549" s="150"/>
    </row>
    <row r="550" spans="2:7" ht="15.75" customHeight="1" x14ac:dyDescent="0.2">
      <c r="B550" s="150"/>
      <c r="C550" s="150"/>
      <c r="D550" s="150"/>
      <c r="E550" s="150"/>
      <c r="F550" s="150"/>
      <c r="G550" s="150"/>
    </row>
    <row r="551" spans="2:7" ht="15.75" customHeight="1" x14ac:dyDescent="0.2">
      <c r="B551" s="150"/>
      <c r="C551" s="150"/>
      <c r="D551" s="150"/>
      <c r="E551" s="150"/>
      <c r="F551" s="150"/>
      <c r="G551" s="150"/>
    </row>
    <row r="552" spans="2:7" ht="15.75" customHeight="1" x14ac:dyDescent="0.2">
      <c r="B552" s="150"/>
      <c r="C552" s="150"/>
      <c r="D552" s="150"/>
      <c r="E552" s="150"/>
      <c r="F552" s="150"/>
      <c r="G552" s="150"/>
    </row>
    <row r="553" spans="2:7" ht="15.75" customHeight="1" x14ac:dyDescent="0.2">
      <c r="B553" s="150"/>
      <c r="C553" s="150"/>
      <c r="D553" s="150"/>
      <c r="E553" s="150"/>
      <c r="F553" s="150"/>
      <c r="G553" s="150"/>
    </row>
    <row r="554" spans="2:7" ht="15.75" customHeight="1" x14ac:dyDescent="0.2">
      <c r="B554" s="150"/>
      <c r="C554" s="150"/>
      <c r="D554" s="150"/>
      <c r="E554" s="150"/>
      <c r="F554" s="150"/>
      <c r="G554" s="150"/>
    </row>
    <row r="555" spans="2:7" ht="15.75" customHeight="1" x14ac:dyDescent="0.2">
      <c r="B555" s="150"/>
      <c r="C555" s="150"/>
      <c r="D555" s="150"/>
      <c r="E555" s="150"/>
      <c r="F555" s="150"/>
      <c r="G555" s="150"/>
    </row>
    <row r="556" spans="2:7" ht="15.75" customHeight="1" x14ac:dyDescent="0.2">
      <c r="B556" s="150"/>
      <c r="C556" s="150"/>
      <c r="D556" s="150"/>
      <c r="E556" s="150"/>
      <c r="F556" s="150"/>
      <c r="G556" s="150"/>
    </row>
    <row r="557" spans="2:7" ht="15.75" customHeight="1" x14ac:dyDescent="0.2">
      <c r="B557" s="150"/>
      <c r="C557" s="150"/>
      <c r="D557" s="150"/>
      <c r="E557" s="150"/>
      <c r="F557" s="150"/>
      <c r="G557" s="150"/>
    </row>
    <row r="558" spans="2:7" ht="15.75" customHeight="1" x14ac:dyDescent="0.2">
      <c r="B558" s="150"/>
      <c r="C558" s="150"/>
      <c r="D558" s="150"/>
      <c r="E558" s="150"/>
      <c r="F558" s="150"/>
      <c r="G558" s="150"/>
    </row>
    <row r="559" spans="2:7" ht="15.75" customHeight="1" x14ac:dyDescent="0.2">
      <c r="B559" s="150"/>
      <c r="C559" s="150"/>
      <c r="D559" s="150"/>
      <c r="E559" s="150"/>
      <c r="F559" s="150"/>
      <c r="G559" s="150"/>
    </row>
    <row r="560" spans="2:7" ht="15.75" customHeight="1" x14ac:dyDescent="0.2">
      <c r="B560" s="150"/>
      <c r="C560" s="150"/>
      <c r="D560" s="150"/>
      <c r="E560" s="150"/>
      <c r="F560" s="150"/>
      <c r="G560" s="150"/>
    </row>
    <row r="561" spans="2:7" ht="15.75" customHeight="1" x14ac:dyDescent="0.2">
      <c r="B561" s="150"/>
      <c r="C561" s="150"/>
      <c r="D561" s="150"/>
      <c r="E561" s="150"/>
      <c r="F561" s="150"/>
      <c r="G561" s="150"/>
    </row>
    <row r="562" spans="2:7" ht="15.75" customHeight="1" x14ac:dyDescent="0.2">
      <c r="B562" s="150"/>
      <c r="C562" s="150"/>
      <c r="D562" s="150"/>
      <c r="E562" s="150"/>
      <c r="F562" s="150"/>
      <c r="G562" s="150"/>
    </row>
    <row r="563" spans="2:7" ht="15.75" customHeight="1" x14ac:dyDescent="0.2">
      <c r="B563" s="150"/>
      <c r="C563" s="150"/>
      <c r="D563" s="150"/>
      <c r="E563" s="150"/>
      <c r="F563" s="150"/>
      <c r="G563" s="150"/>
    </row>
    <row r="564" spans="2:7" ht="15.75" customHeight="1" x14ac:dyDescent="0.2">
      <c r="B564" s="150"/>
      <c r="C564" s="150"/>
      <c r="D564" s="150"/>
      <c r="E564" s="150"/>
      <c r="F564" s="150"/>
      <c r="G564" s="150"/>
    </row>
    <row r="565" spans="2:7" ht="15.75" customHeight="1" x14ac:dyDescent="0.2">
      <c r="B565" s="150"/>
      <c r="C565" s="150"/>
      <c r="D565" s="150"/>
      <c r="E565" s="150"/>
      <c r="F565" s="150"/>
      <c r="G565" s="150"/>
    </row>
    <row r="566" spans="2:7" ht="15.75" customHeight="1" x14ac:dyDescent="0.2">
      <c r="B566" s="150"/>
      <c r="C566" s="150"/>
      <c r="D566" s="150"/>
      <c r="E566" s="150"/>
      <c r="F566" s="150"/>
      <c r="G566" s="150"/>
    </row>
    <row r="567" spans="2:7" ht="15.75" customHeight="1" x14ac:dyDescent="0.2">
      <c r="B567" s="150"/>
      <c r="C567" s="150"/>
      <c r="D567" s="150"/>
      <c r="E567" s="150"/>
      <c r="F567" s="150"/>
      <c r="G567" s="150"/>
    </row>
    <row r="568" spans="2:7" ht="15.75" customHeight="1" x14ac:dyDescent="0.2">
      <c r="B568" s="150"/>
      <c r="C568" s="150"/>
      <c r="D568" s="150"/>
      <c r="E568" s="150"/>
      <c r="F568" s="150"/>
      <c r="G568" s="150"/>
    </row>
    <row r="569" spans="2:7" ht="15.75" customHeight="1" x14ac:dyDescent="0.2">
      <c r="B569" s="150"/>
      <c r="C569" s="150"/>
      <c r="D569" s="150"/>
      <c r="E569" s="150"/>
      <c r="F569" s="150"/>
      <c r="G569" s="150"/>
    </row>
    <row r="570" spans="2:7" ht="15.75" customHeight="1" x14ac:dyDescent="0.2">
      <c r="B570" s="150"/>
      <c r="C570" s="150"/>
      <c r="D570" s="150"/>
      <c r="E570" s="150"/>
      <c r="F570" s="150"/>
      <c r="G570" s="150"/>
    </row>
    <row r="571" spans="2:7" ht="15.75" customHeight="1" x14ac:dyDescent="0.2">
      <c r="B571" s="150"/>
      <c r="C571" s="150"/>
      <c r="D571" s="150"/>
      <c r="E571" s="150"/>
      <c r="F571" s="150"/>
      <c r="G571" s="150"/>
    </row>
    <row r="572" spans="2:7" ht="15.75" customHeight="1" x14ac:dyDescent="0.2">
      <c r="B572" s="150"/>
      <c r="C572" s="150"/>
      <c r="D572" s="150"/>
      <c r="E572" s="150"/>
      <c r="F572" s="150"/>
      <c r="G572" s="150"/>
    </row>
    <row r="573" spans="2:7" ht="15.75" customHeight="1" x14ac:dyDescent="0.2">
      <c r="B573" s="150"/>
      <c r="C573" s="150"/>
      <c r="D573" s="150"/>
      <c r="E573" s="150"/>
      <c r="F573" s="150"/>
      <c r="G573" s="150"/>
    </row>
    <row r="574" spans="2:7" ht="15.75" customHeight="1" x14ac:dyDescent="0.2">
      <c r="B574" s="150"/>
      <c r="C574" s="150"/>
      <c r="D574" s="150"/>
      <c r="E574" s="150"/>
      <c r="F574" s="150"/>
      <c r="G574" s="150"/>
    </row>
    <row r="575" spans="2:7" ht="15.75" customHeight="1" x14ac:dyDescent="0.2">
      <c r="B575" s="150"/>
      <c r="C575" s="150"/>
      <c r="D575" s="150"/>
      <c r="E575" s="150"/>
      <c r="F575" s="150"/>
      <c r="G575" s="150"/>
    </row>
    <row r="576" spans="2:7" ht="15.75" customHeight="1" x14ac:dyDescent="0.2">
      <c r="B576" s="150"/>
      <c r="C576" s="150"/>
      <c r="D576" s="150"/>
      <c r="E576" s="150"/>
      <c r="F576" s="150"/>
      <c r="G576" s="150"/>
    </row>
    <row r="577" spans="2:7" ht="15.75" customHeight="1" x14ac:dyDescent="0.2">
      <c r="B577" s="150"/>
      <c r="C577" s="150"/>
      <c r="D577" s="150"/>
      <c r="E577" s="150"/>
      <c r="F577" s="150"/>
      <c r="G577" s="150"/>
    </row>
    <row r="578" spans="2:7" ht="15.75" customHeight="1" x14ac:dyDescent="0.2">
      <c r="B578" s="150"/>
      <c r="C578" s="150"/>
      <c r="D578" s="150"/>
      <c r="E578" s="150"/>
      <c r="F578" s="150"/>
      <c r="G578" s="150"/>
    </row>
    <row r="579" spans="2:7" ht="15.75" customHeight="1" x14ac:dyDescent="0.2">
      <c r="B579" s="150"/>
      <c r="C579" s="150"/>
      <c r="D579" s="150"/>
      <c r="E579" s="150"/>
      <c r="F579" s="150"/>
      <c r="G579" s="150"/>
    </row>
    <row r="580" spans="2:7" ht="15.75" customHeight="1" x14ac:dyDescent="0.2">
      <c r="B580" s="150"/>
      <c r="C580" s="150"/>
      <c r="D580" s="150"/>
      <c r="E580" s="150"/>
      <c r="F580" s="150"/>
      <c r="G580" s="150"/>
    </row>
    <row r="581" spans="2:7" ht="15.75" customHeight="1" x14ac:dyDescent="0.2">
      <c r="B581" s="150"/>
      <c r="C581" s="150"/>
      <c r="D581" s="150"/>
      <c r="E581" s="150"/>
      <c r="F581" s="150"/>
      <c r="G581" s="150"/>
    </row>
    <row r="582" spans="2:7" ht="15.75" customHeight="1" x14ac:dyDescent="0.2">
      <c r="B582" s="150"/>
      <c r="C582" s="150"/>
      <c r="D582" s="150"/>
      <c r="E582" s="150"/>
      <c r="F582" s="150"/>
      <c r="G582" s="150"/>
    </row>
    <row r="583" spans="2:7" ht="15.75" customHeight="1" x14ac:dyDescent="0.2">
      <c r="B583" s="150"/>
      <c r="C583" s="150"/>
      <c r="D583" s="150"/>
      <c r="E583" s="150"/>
      <c r="F583" s="150"/>
      <c r="G583" s="150"/>
    </row>
    <row r="584" spans="2:7" ht="15.75" customHeight="1" x14ac:dyDescent="0.2">
      <c r="B584" s="150"/>
      <c r="C584" s="150"/>
      <c r="D584" s="150"/>
      <c r="E584" s="150"/>
      <c r="F584" s="150"/>
      <c r="G584" s="150"/>
    </row>
    <row r="585" spans="2:7" ht="15.75" customHeight="1" x14ac:dyDescent="0.2">
      <c r="B585" s="150"/>
      <c r="C585" s="150"/>
      <c r="D585" s="150"/>
      <c r="E585" s="150"/>
      <c r="F585" s="150"/>
      <c r="G585" s="150"/>
    </row>
    <row r="586" spans="2:7" ht="15.75" customHeight="1" x14ac:dyDescent="0.2">
      <c r="B586" s="150"/>
      <c r="C586" s="150"/>
      <c r="D586" s="150"/>
      <c r="E586" s="150"/>
      <c r="F586" s="150"/>
      <c r="G586" s="150"/>
    </row>
    <row r="587" spans="2:7" ht="15.75" customHeight="1" x14ac:dyDescent="0.2">
      <c r="B587" s="150"/>
      <c r="C587" s="150"/>
      <c r="D587" s="150"/>
      <c r="E587" s="150"/>
      <c r="F587" s="150"/>
      <c r="G587" s="150"/>
    </row>
    <row r="588" spans="2:7" ht="15.75" customHeight="1" x14ac:dyDescent="0.2">
      <c r="B588" s="150"/>
      <c r="C588" s="150"/>
      <c r="D588" s="150"/>
      <c r="E588" s="150"/>
      <c r="F588" s="150"/>
      <c r="G588" s="150"/>
    </row>
    <row r="589" spans="2:7" ht="15.75" customHeight="1" x14ac:dyDescent="0.2">
      <c r="B589" s="150"/>
      <c r="C589" s="150"/>
      <c r="D589" s="150"/>
      <c r="E589" s="150"/>
      <c r="F589" s="150"/>
      <c r="G589" s="150"/>
    </row>
    <row r="590" spans="2:7" ht="15.75" customHeight="1" x14ac:dyDescent="0.2">
      <c r="B590" s="150"/>
      <c r="C590" s="150"/>
      <c r="D590" s="150"/>
      <c r="E590" s="150"/>
      <c r="F590" s="150"/>
      <c r="G590" s="150"/>
    </row>
    <row r="591" spans="2:7" ht="15.75" customHeight="1" x14ac:dyDescent="0.2">
      <c r="B591" s="150"/>
      <c r="C591" s="150"/>
      <c r="D591" s="150"/>
      <c r="E591" s="150"/>
      <c r="F591" s="150"/>
      <c r="G591" s="150"/>
    </row>
    <row r="592" spans="2:7" ht="15.75" customHeight="1" x14ac:dyDescent="0.2">
      <c r="B592" s="150"/>
      <c r="C592" s="150"/>
      <c r="D592" s="150"/>
      <c r="E592" s="150"/>
      <c r="F592" s="150"/>
      <c r="G592" s="150"/>
    </row>
    <row r="593" spans="2:7" ht="15.75" customHeight="1" x14ac:dyDescent="0.2">
      <c r="B593" s="150"/>
      <c r="C593" s="150"/>
      <c r="D593" s="150"/>
      <c r="E593" s="150"/>
      <c r="F593" s="150"/>
      <c r="G593" s="150"/>
    </row>
    <row r="594" spans="2:7" ht="15.75" customHeight="1" x14ac:dyDescent="0.2">
      <c r="B594" s="150"/>
      <c r="C594" s="150"/>
      <c r="D594" s="150"/>
      <c r="E594" s="150"/>
      <c r="F594" s="150"/>
      <c r="G594" s="150"/>
    </row>
    <row r="595" spans="2:7" ht="15.75" customHeight="1" x14ac:dyDescent="0.2">
      <c r="B595" s="150"/>
      <c r="C595" s="150"/>
      <c r="D595" s="150"/>
      <c r="E595" s="150"/>
      <c r="F595" s="150"/>
      <c r="G595" s="150"/>
    </row>
    <row r="596" spans="2:7" ht="15.75" customHeight="1" x14ac:dyDescent="0.2">
      <c r="B596" s="150"/>
      <c r="C596" s="150"/>
      <c r="D596" s="150"/>
      <c r="E596" s="150"/>
      <c r="F596" s="150"/>
      <c r="G596" s="150"/>
    </row>
    <row r="597" spans="2:7" ht="15.75" customHeight="1" x14ac:dyDescent="0.2">
      <c r="B597" s="150"/>
      <c r="C597" s="150"/>
      <c r="D597" s="150"/>
      <c r="E597" s="150"/>
      <c r="F597" s="150"/>
      <c r="G597" s="150"/>
    </row>
    <row r="598" spans="2:7" ht="15.75" customHeight="1" x14ac:dyDescent="0.2">
      <c r="B598" s="150"/>
      <c r="C598" s="150"/>
      <c r="D598" s="150"/>
      <c r="E598" s="150"/>
      <c r="F598" s="150"/>
      <c r="G598" s="150"/>
    </row>
    <row r="599" spans="2:7" ht="15.75" customHeight="1" x14ac:dyDescent="0.2">
      <c r="B599" s="150"/>
      <c r="C599" s="150"/>
      <c r="D599" s="150"/>
      <c r="E599" s="150"/>
      <c r="F599" s="150"/>
      <c r="G599" s="150"/>
    </row>
    <row r="600" spans="2:7" ht="15.75" customHeight="1" x14ac:dyDescent="0.2">
      <c r="B600" s="150"/>
      <c r="C600" s="150"/>
      <c r="D600" s="150"/>
      <c r="E600" s="150"/>
      <c r="F600" s="150"/>
      <c r="G600" s="150"/>
    </row>
    <row r="601" spans="2:7" ht="15.75" customHeight="1" x14ac:dyDescent="0.2">
      <c r="B601" s="150"/>
      <c r="C601" s="150"/>
      <c r="D601" s="150"/>
      <c r="E601" s="150"/>
      <c r="F601" s="150"/>
      <c r="G601" s="150"/>
    </row>
    <row r="602" spans="2:7" ht="15.75" customHeight="1" x14ac:dyDescent="0.2">
      <c r="B602" s="150"/>
      <c r="C602" s="150"/>
      <c r="D602" s="150"/>
      <c r="E602" s="150"/>
      <c r="F602" s="150"/>
      <c r="G602" s="150"/>
    </row>
    <row r="603" spans="2:7" ht="15.75" customHeight="1" x14ac:dyDescent="0.2">
      <c r="B603" s="150"/>
      <c r="C603" s="150"/>
      <c r="D603" s="150"/>
      <c r="E603" s="150"/>
      <c r="F603" s="150"/>
      <c r="G603" s="150"/>
    </row>
    <row r="604" spans="2:7" ht="15.75" customHeight="1" x14ac:dyDescent="0.2">
      <c r="B604" s="150"/>
      <c r="C604" s="150"/>
      <c r="D604" s="150"/>
      <c r="E604" s="150"/>
      <c r="F604" s="150"/>
      <c r="G604" s="150"/>
    </row>
    <row r="605" spans="2:7" ht="15.75" customHeight="1" x14ac:dyDescent="0.2">
      <c r="B605" s="150"/>
      <c r="C605" s="150"/>
      <c r="D605" s="150"/>
      <c r="E605" s="150"/>
      <c r="F605" s="150"/>
      <c r="G605" s="150"/>
    </row>
    <row r="606" spans="2:7" ht="15.75" customHeight="1" x14ac:dyDescent="0.2">
      <c r="B606" s="150"/>
      <c r="C606" s="150"/>
      <c r="D606" s="150"/>
      <c r="E606" s="150"/>
      <c r="F606" s="150"/>
      <c r="G606" s="150"/>
    </row>
    <row r="607" spans="2:7" ht="15.75" customHeight="1" x14ac:dyDescent="0.2">
      <c r="B607" s="150"/>
      <c r="C607" s="150"/>
      <c r="D607" s="150"/>
      <c r="E607" s="150"/>
      <c r="F607" s="150"/>
      <c r="G607" s="150"/>
    </row>
    <row r="608" spans="2:7" ht="15.75" customHeight="1" x14ac:dyDescent="0.2">
      <c r="B608" s="150"/>
      <c r="C608" s="150"/>
      <c r="D608" s="150"/>
      <c r="E608" s="150"/>
      <c r="F608" s="150"/>
      <c r="G608" s="150"/>
    </row>
    <row r="609" spans="2:7" ht="15.75" customHeight="1" x14ac:dyDescent="0.2">
      <c r="B609" s="150"/>
      <c r="C609" s="150"/>
      <c r="D609" s="150"/>
      <c r="E609" s="150"/>
      <c r="F609" s="150"/>
      <c r="G609" s="150"/>
    </row>
    <row r="610" spans="2:7" ht="15.75" customHeight="1" x14ac:dyDescent="0.2">
      <c r="B610" s="150"/>
      <c r="C610" s="150"/>
      <c r="D610" s="150"/>
      <c r="E610" s="150"/>
      <c r="F610" s="150"/>
      <c r="G610" s="150"/>
    </row>
    <row r="611" spans="2:7" ht="15.75" customHeight="1" x14ac:dyDescent="0.2">
      <c r="B611" s="150"/>
      <c r="C611" s="150"/>
      <c r="D611" s="150"/>
      <c r="E611" s="150"/>
      <c r="F611" s="150"/>
      <c r="G611" s="150"/>
    </row>
    <row r="612" spans="2:7" ht="15.75" customHeight="1" x14ac:dyDescent="0.2">
      <c r="B612" s="150"/>
      <c r="C612" s="150"/>
      <c r="D612" s="150"/>
      <c r="E612" s="150"/>
      <c r="F612" s="150"/>
      <c r="G612" s="150"/>
    </row>
    <row r="613" spans="2:7" ht="15.75" customHeight="1" x14ac:dyDescent="0.2">
      <c r="B613" s="150"/>
      <c r="C613" s="150"/>
      <c r="D613" s="150"/>
      <c r="E613" s="150"/>
      <c r="F613" s="150"/>
      <c r="G613" s="150"/>
    </row>
    <row r="614" spans="2:7" ht="15.75" customHeight="1" x14ac:dyDescent="0.2">
      <c r="B614" s="150"/>
      <c r="C614" s="150"/>
      <c r="D614" s="150"/>
      <c r="E614" s="150"/>
      <c r="F614" s="150"/>
      <c r="G614" s="150"/>
    </row>
    <row r="615" spans="2:7" ht="15.75" customHeight="1" x14ac:dyDescent="0.2">
      <c r="B615" s="150"/>
      <c r="C615" s="150"/>
      <c r="D615" s="150"/>
      <c r="E615" s="150"/>
      <c r="F615" s="150"/>
      <c r="G615" s="150"/>
    </row>
    <row r="616" spans="2:7" ht="15.75" customHeight="1" x14ac:dyDescent="0.2">
      <c r="B616" s="150"/>
      <c r="C616" s="150"/>
      <c r="D616" s="150"/>
      <c r="E616" s="150"/>
      <c r="F616" s="150"/>
      <c r="G616" s="150"/>
    </row>
    <row r="617" spans="2:7" ht="15.75" customHeight="1" x14ac:dyDescent="0.2">
      <c r="B617" s="150"/>
      <c r="C617" s="150"/>
      <c r="D617" s="150"/>
      <c r="E617" s="150"/>
      <c r="F617" s="150"/>
      <c r="G617" s="150"/>
    </row>
    <row r="618" spans="2:7" ht="15.75" customHeight="1" x14ac:dyDescent="0.2">
      <c r="B618" s="150"/>
      <c r="C618" s="150"/>
      <c r="D618" s="150"/>
      <c r="E618" s="150"/>
      <c r="F618" s="150"/>
      <c r="G618" s="150"/>
    </row>
    <row r="619" spans="2:7" ht="15.75" customHeight="1" x14ac:dyDescent="0.2">
      <c r="B619" s="150"/>
      <c r="C619" s="150"/>
      <c r="D619" s="150"/>
      <c r="E619" s="150"/>
      <c r="F619" s="150"/>
      <c r="G619" s="150"/>
    </row>
    <row r="620" spans="2:7" ht="15.75" customHeight="1" x14ac:dyDescent="0.2">
      <c r="B620" s="150"/>
      <c r="C620" s="150"/>
      <c r="D620" s="150"/>
      <c r="E620" s="150"/>
      <c r="F620" s="150"/>
      <c r="G620" s="150"/>
    </row>
    <row r="621" spans="2:7" ht="15.75" customHeight="1" x14ac:dyDescent="0.2">
      <c r="B621" s="150"/>
      <c r="C621" s="150"/>
      <c r="D621" s="150"/>
      <c r="E621" s="150"/>
      <c r="F621" s="150"/>
      <c r="G621" s="150"/>
    </row>
    <row r="622" spans="2:7" ht="15.75" customHeight="1" x14ac:dyDescent="0.2">
      <c r="B622" s="150"/>
      <c r="C622" s="150"/>
      <c r="D622" s="150"/>
      <c r="E622" s="150"/>
      <c r="F622" s="150"/>
      <c r="G622" s="150"/>
    </row>
    <row r="623" spans="2:7" ht="15.75" customHeight="1" x14ac:dyDescent="0.2">
      <c r="B623" s="150"/>
      <c r="C623" s="150"/>
      <c r="D623" s="150"/>
      <c r="E623" s="150"/>
      <c r="F623" s="150"/>
      <c r="G623" s="150"/>
    </row>
    <row r="624" spans="2:7" ht="15.75" customHeight="1" x14ac:dyDescent="0.2">
      <c r="B624" s="150"/>
      <c r="C624" s="150"/>
      <c r="D624" s="150"/>
      <c r="E624" s="150"/>
      <c r="F624" s="150"/>
      <c r="G624" s="150"/>
    </row>
    <row r="625" spans="2:7" ht="15.75" customHeight="1" x14ac:dyDescent="0.2">
      <c r="B625" s="150"/>
      <c r="C625" s="150"/>
      <c r="D625" s="150"/>
      <c r="E625" s="150"/>
      <c r="F625" s="150"/>
      <c r="G625" s="150"/>
    </row>
    <row r="626" spans="2:7" ht="15.75" customHeight="1" x14ac:dyDescent="0.2">
      <c r="B626" s="150"/>
      <c r="C626" s="150"/>
      <c r="D626" s="150"/>
      <c r="E626" s="150"/>
      <c r="F626" s="150"/>
      <c r="G626" s="150"/>
    </row>
    <row r="627" spans="2:7" ht="15.75" customHeight="1" x14ac:dyDescent="0.2">
      <c r="B627" s="150"/>
      <c r="C627" s="150"/>
      <c r="D627" s="150"/>
      <c r="E627" s="150"/>
      <c r="F627" s="150"/>
      <c r="G627" s="150"/>
    </row>
    <row r="628" spans="2:7" ht="15.75" customHeight="1" x14ac:dyDescent="0.2">
      <c r="B628" s="150"/>
      <c r="C628" s="150"/>
      <c r="D628" s="150"/>
      <c r="E628" s="150"/>
      <c r="F628" s="150"/>
      <c r="G628" s="150"/>
    </row>
    <row r="629" spans="2:7" ht="15.75" customHeight="1" x14ac:dyDescent="0.2">
      <c r="B629" s="150"/>
      <c r="C629" s="150"/>
      <c r="D629" s="150"/>
      <c r="E629" s="150"/>
      <c r="F629" s="150"/>
      <c r="G629" s="150"/>
    </row>
    <row r="630" spans="2:7" ht="15.75" customHeight="1" x14ac:dyDescent="0.2">
      <c r="B630" s="150"/>
      <c r="C630" s="150"/>
      <c r="D630" s="150"/>
      <c r="E630" s="150"/>
      <c r="F630" s="150"/>
      <c r="G630" s="150"/>
    </row>
    <row r="631" spans="2:7" ht="15.75" customHeight="1" x14ac:dyDescent="0.2">
      <c r="B631" s="150"/>
      <c r="C631" s="150"/>
      <c r="D631" s="150"/>
      <c r="E631" s="150"/>
      <c r="F631" s="150"/>
      <c r="G631" s="150"/>
    </row>
    <row r="632" spans="2:7" ht="15.75" customHeight="1" x14ac:dyDescent="0.2">
      <c r="B632" s="150"/>
      <c r="C632" s="150"/>
      <c r="D632" s="150"/>
      <c r="E632" s="150"/>
      <c r="F632" s="150"/>
      <c r="G632" s="150"/>
    </row>
    <row r="633" spans="2:7" ht="15.75" customHeight="1" x14ac:dyDescent="0.2">
      <c r="B633" s="150"/>
      <c r="C633" s="150"/>
      <c r="D633" s="150"/>
      <c r="E633" s="150"/>
      <c r="F633" s="150"/>
      <c r="G633" s="150"/>
    </row>
    <row r="634" spans="2:7" ht="15.75" customHeight="1" x14ac:dyDescent="0.2">
      <c r="B634" s="150"/>
      <c r="C634" s="150"/>
      <c r="D634" s="150"/>
      <c r="E634" s="150"/>
      <c r="F634" s="150"/>
      <c r="G634" s="150"/>
    </row>
    <row r="635" spans="2:7" ht="15.75" customHeight="1" x14ac:dyDescent="0.2">
      <c r="B635" s="150"/>
      <c r="C635" s="150"/>
      <c r="D635" s="150"/>
      <c r="E635" s="150"/>
      <c r="F635" s="150"/>
      <c r="G635" s="150"/>
    </row>
    <row r="636" spans="2:7" ht="15.75" customHeight="1" x14ac:dyDescent="0.2">
      <c r="B636" s="150"/>
      <c r="C636" s="150"/>
      <c r="D636" s="150"/>
      <c r="E636" s="150"/>
      <c r="F636" s="150"/>
      <c r="G636" s="150"/>
    </row>
    <row r="637" spans="2:7" ht="15.75" customHeight="1" x14ac:dyDescent="0.2">
      <c r="B637" s="150"/>
      <c r="C637" s="150"/>
      <c r="D637" s="150"/>
      <c r="E637" s="150"/>
      <c r="F637" s="150"/>
      <c r="G637" s="150"/>
    </row>
    <row r="638" spans="2:7" ht="15.75" customHeight="1" x14ac:dyDescent="0.2">
      <c r="B638" s="150"/>
      <c r="C638" s="150"/>
      <c r="D638" s="150"/>
      <c r="E638" s="150"/>
      <c r="F638" s="150"/>
      <c r="G638" s="150"/>
    </row>
    <row r="639" spans="2:7" ht="15.75" customHeight="1" x14ac:dyDescent="0.2">
      <c r="B639" s="150"/>
      <c r="C639" s="150"/>
      <c r="D639" s="150"/>
      <c r="E639" s="150"/>
      <c r="F639" s="150"/>
      <c r="G639" s="150"/>
    </row>
    <row r="640" spans="2:7" ht="15.75" customHeight="1" x14ac:dyDescent="0.2">
      <c r="B640" s="150"/>
      <c r="C640" s="150"/>
      <c r="D640" s="150"/>
      <c r="E640" s="150"/>
      <c r="F640" s="150"/>
      <c r="G640" s="150"/>
    </row>
    <row r="641" spans="2:7" ht="15.75" customHeight="1" x14ac:dyDescent="0.2">
      <c r="B641" s="150"/>
      <c r="C641" s="150"/>
      <c r="D641" s="150"/>
      <c r="E641" s="150"/>
      <c r="F641" s="150"/>
      <c r="G641" s="150"/>
    </row>
    <row r="642" spans="2:7" ht="15.75" customHeight="1" x14ac:dyDescent="0.2">
      <c r="B642" s="150"/>
      <c r="C642" s="150"/>
      <c r="D642" s="150"/>
      <c r="E642" s="150"/>
      <c r="F642" s="150"/>
      <c r="G642" s="150"/>
    </row>
    <row r="643" spans="2:7" ht="15.75" customHeight="1" x14ac:dyDescent="0.2">
      <c r="B643" s="150"/>
      <c r="C643" s="150"/>
      <c r="D643" s="150"/>
      <c r="E643" s="150"/>
      <c r="F643" s="150"/>
      <c r="G643" s="150"/>
    </row>
    <row r="644" spans="2:7" ht="15.75" customHeight="1" x14ac:dyDescent="0.2">
      <c r="B644" s="150"/>
      <c r="C644" s="150"/>
      <c r="D644" s="150"/>
      <c r="E644" s="150"/>
      <c r="F644" s="150"/>
      <c r="G644" s="150"/>
    </row>
    <row r="645" spans="2:7" ht="15.75" customHeight="1" x14ac:dyDescent="0.2">
      <c r="B645" s="150"/>
      <c r="C645" s="150"/>
      <c r="D645" s="150"/>
      <c r="E645" s="150"/>
      <c r="F645" s="150"/>
      <c r="G645" s="150"/>
    </row>
    <row r="646" spans="2:7" ht="15.75" customHeight="1" x14ac:dyDescent="0.2">
      <c r="B646" s="150"/>
      <c r="C646" s="150"/>
      <c r="D646" s="150"/>
      <c r="E646" s="150"/>
      <c r="F646" s="150"/>
      <c r="G646" s="150"/>
    </row>
    <row r="647" spans="2:7" ht="15.75" customHeight="1" x14ac:dyDescent="0.2">
      <c r="B647" s="150"/>
      <c r="C647" s="150"/>
      <c r="D647" s="150"/>
      <c r="E647" s="150"/>
      <c r="F647" s="150"/>
      <c r="G647" s="150"/>
    </row>
    <row r="648" spans="2:7" ht="15.75" customHeight="1" x14ac:dyDescent="0.2">
      <c r="B648" s="150"/>
      <c r="C648" s="150"/>
      <c r="D648" s="150"/>
      <c r="E648" s="150"/>
      <c r="F648" s="150"/>
      <c r="G648" s="150"/>
    </row>
    <row r="649" spans="2:7" ht="15.75" customHeight="1" x14ac:dyDescent="0.2">
      <c r="B649" s="150"/>
      <c r="C649" s="150"/>
      <c r="D649" s="150"/>
      <c r="E649" s="150"/>
      <c r="F649" s="150"/>
      <c r="G649" s="150"/>
    </row>
    <row r="650" spans="2:7" ht="15.75" customHeight="1" x14ac:dyDescent="0.2">
      <c r="B650" s="150"/>
      <c r="C650" s="150"/>
      <c r="D650" s="150"/>
      <c r="E650" s="150"/>
      <c r="F650" s="150"/>
      <c r="G650" s="150"/>
    </row>
    <row r="651" spans="2:7" ht="15.75" customHeight="1" x14ac:dyDescent="0.2">
      <c r="B651" s="150"/>
      <c r="C651" s="150"/>
      <c r="D651" s="150"/>
      <c r="E651" s="150"/>
      <c r="F651" s="150"/>
      <c r="G651" s="150"/>
    </row>
    <row r="652" spans="2:7" ht="15.75" customHeight="1" x14ac:dyDescent="0.2">
      <c r="B652" s="150"/>
      <c r="C652" s="150"/>
      <c r="D652" s="150"/>
      <c r="E652" s="150"/>
      <c r="F652" s="150"/>
      <c r="G652" s="150"/>
    </row>
    <row r="653" spans="2:7" ht="15.75" customHeight="1" x14ac:dyDescent="0.2">
      <c r="B653" s="150"/>
      <c r="C653" s="150"/>
      <c r="D653" s="150"/>
      <c r="E653" s="150"/>
      <c r="F653" s="150"/>
      <c r="G653" s="150"/>
    </row>
    <row r="654" spans="2:7" ht="15.75" customHeight="1" x14ac:dyDescent="0.2">
      <c r="B654" s="150"/>
      <c r="C654" s="150"/>
      <c r="D654" s="150"/>
      <c r="E654" s="150"/>
      <c r="F654" s="150"/>
      <c r="G654" s="150"/>
    </row>
    <row r="655" spans="2:7" ht="15.75" customHeight="1" x14ac:dyDescent="0.2">
      <c r="B655" s="150"/>
      <c r="C655" s="150"/>
      <c r="D655" s="150"/>
      <c r="E655" s="150"/>
      <c r="F655" s="150"/>
      <c r="G655" s="150"/>
    </row>
    <row r="656" spans="2:7" ht="15.75" customHeight="1" x14ac:dyDescent="0.2">
      <c r="B656" s="150"/>
      <c r="C656" s="150"/>
      <c r="D656" s="150"/>
      <c r="E656" s="150"/>
      <c r="F656" s="150"/>
      <c r="G656" s="150"/>
    </row>
    <row r="657" spans="2:7" ht="15.75" customHeight="1" x14ac:dyDescent="0.2">
      <c r="B657" s="150"/>
      <c r="C657" s="150"/>
      <c r="D657" s="150"/>
      <c r="E657" s="150"/>
      <c r="F657" s="150"/>
      <c r="G657" s="150"/>
    </row>
    <row r="658" spans="2:7" ht="15.75" customHeight="1" x14ac:dyDescent="0.2">
      <c r="B658" s="150"/>
      <c r="C658" s="150"/>
      <c r="D658" s="150"/>
      <c r="E658" s="150"/>
      <c r="F658" s="150"/>
      <c r="G658" s="150"/>
    </row>
    <row r="659" spans="2:7" ht="15.75" customHeight="1" x14ac:dyDescent="0.2">
      <c r="B659" s="150"/>
      <c r="C659" s="150"/>
      <c r="D659" s="150"/>
      <c r="E659" s="150"/>
      <c r="F659" s="150"/>
      <c r="G659" s="150"/>
    </row>
    <row r="660" spans="2:7" ht="15.75" customHeight="1" x14ac:dyDescent="0.2">
      <c r="B660" s="150"/>
      <c r="C660" s="150"/>
      <c r="D660" s="150"/>
      <c r="E660" s="150"/>
      <c r="F660" s="150"/>
      <c r="G660" s="150"/>
    </row>
    <row r="661" spans="2:7" ht="15.75" customHeight="1" x14ac:dyDescent="0.2">
      <c r="B661" s="150"/>
      <c r="C661" s="150"/>
      <c r="D661" s="150"/>
      <c r="E661" s="150"/>
      <c r="F661" s="150"/>
      <c r="G661" s="150"/>
    </row>
    <row r="662" spans="2:7" ht="15.75" customHeight="1" x14ac:dyDescent="0.2">
      <c r="B662" s="150"/>
      <c r="C662" s="150"/>
      <c r="D662" s="150"/>
      <c r="E662" s="150"/>
      <c r="F662" s="150"/>
      <c r="G662" s="150"/>
    </row>
    <row r="663" spans="2:7" ht="15.75" customHeight="1" x14ac:dyDescent="0.2">
      <c r="B663" s="150"/>
      <c r="C663" s="150"/>
      <c r="D663" s="150"/>
      <c r="E663" s="150"/>
      <c r="F663" s="150"/>
      <c r="G663" s="150"/>
    </row>
    <row r="664" spans="2:7" ht="15.75" customHeight="1" x14ac:dyDescent="0.2">
      <c r="B664" s="150"/>
      <c r="C664" s="150"/>
      <c r="D664" s="150"/>
      <c r="E664" s="150"/>
      <c r="F664" s="150"/>
      <c r="G664" s="150"/>
    </row>
    <row r="665" spans="2:7" ht="15.75" customHeight="1" x14ac:dyDescent="0.2">
      <c r="B665" s="150"/>
      <c r="C665" s="150"/>
      <c r="D665" s="150"/>
      <c r="E665" s="150"/>
      <c r="F665" s="150"/>
      <c r="G665" s="150"/>
    </row>
    <row r="666" spans="2:7" ht="15.75" customHeight="1" x14ac:dyDescent="0.2">
      <c r="B666" s="150"/>
      <c r="C666" s="150"/>
      <c r="D666" s="150"/>
      <c r="E666" s="150"/>
      <c r="F666" s="150"/>
      <c r="G666" s="150"/>
    </row>
    <row r="667" spans="2:7" ht="15.75" customHeight="1" x14ac:dyDescent="0.2">
      <c r="B667" s="150"/>
      <c r="C667" s="150"/>
      <c r="D667" s="150"/>
      <c r="E667" s="150"/>
      <c r="F667" s="150"/>
      <c r="G667" s="150"/>
    </row>
    <row r="668" spans="2:7" ht="15.75" customHeight="1" x14ac:dyDescent="0.2">
      <c r="B668" s="150"/>
      <c r="C668" s="150"/>
      <c r="D668" s="150"/>
      <c r="E668" s="150"/>
      <c r="F668" s="150"/>
      <c r="G668" s="150"/>
    </row>
    <row r="669" spans="2:7" ht="15.75" customHeight="1" x14ac:dyDescent="0.2">
      <c r="B669" s="150"/>
      <c r="C669" s="150"/>
      <c r="D669" s="150"/>
      <c r="E669" s="150"/>
      <c r="F669" s="150"/>
      <c r="G669" s="150"/>
    </row>
    <row r="670" spans="2:7" ht="15.75" customHeight="1" x14ac:dyDescent="0.2">
      <c r="B670" s="150"/>
      <c r="C670" s="150"/>
      <c r="D670" s="150"/>
      <c r="E670" s="150"/>
      <c r="F670" s="150"/>
      <c r="G670" s="150"/>
    </row>
    <row r="671" spans="2:7" ht="15.75" customHeight="1" x14ac:dyDescent="0.2">
      <c r="B671" s="150"/>
      <c r="C671" s="150"/>
      <c r="D671" s="150"/>
      <c r="E671" s="150"/>
      <c r="F671" s="150"/>
      <c r="G671" s="150"/>
    </row>
    <row r="672" spans="2:7" ht="15.75" customHeight="1" x14ac:dyDescent="0.2">
      <c r="B672" s="150"/>
      <c r="C672" s="150"/>
      <c r="D672" s="150"/>
      <c r="E672" s="150"/>
      <c r="F672" s="150"/>
      <c r="G672" s="150"/>
    </row>
    <row r="673" spans="2:7" ht="15.75" customHeight="1" x14ac:dyDescent="0.2">
      <c r="B673" s="150"/>
      <c r="C673" s="150"/>
      <c r="D673" s="150"/>
      <c r="E673" s="150"/>
      <c r="F673" s="150"/>
      <c r="G673" s="150"/>
    </row>
    <row r="674" spans="2:7" ht="15.75" customHeight="1" x14ac:dyDescent="0.2">
      <c r="B674" s="150"/>
      <c r="C674" s="150"/>
      <c r="D674" s="150"/>
      <c r="E674" s="150"/>
      <c r="F674" s="150"/>
      <c r="G674" s="150"/>
    </row>
    <row r="675" spans="2:7" ht="15.75" customHeight="1" x14ac:dyDescent="0.2">
      <c r="B675" s="150"/>
      <c r="C675" s="150"/>
      <c r="D675" s="150"/>
      <c r="E675" s="150"/>
      <c r="F675" s="150"/>
      <c r="G675" s="150"/>
    </row>
    <row r="676" spans="2:7" ht="15.75" customHeight="1" x14ac:dyDescent="0.2">
      <c r="B676" s="150"/>
      <c r="C676" s="150"/>
      <c r="D676" s="150"/>
      <c r="E676" s="150"/>
      <c r="F676" s="150"/>
      <c r="G676" s="150"/>
    </row>
    <row r="677" spans="2:7" ht="15.75" customHeight="1" x14ac:dyDescent="0.2">
      <c r="B677" s="150"/>
      <c r="C677" s="150"/>
      <c r="D677" s="150"/>
      <c r="E677" s="150"/>
      <c r="F677" s="150"/>
      <c r="G677" s="150"/>
    </row>
    <row r="678" spans="2:7" ht="15.75" customHeight="1" x14ac:dyDescent="0.2">
      <c r="B678" s="150"/>
      <c r="C678" s="150"/>
      <c r="D678" s="150"/>
      <c r="E678" s="150"/>
      <c r="F678" s="150"/>
      <c r="G678" s="150"/>
    </row>
    <row r="679" spans="2:7" ht="15.75" customHeight="1" x14ac:dyDescent="0.2">
      <c r="B679" s="150"/>
      <c r="C679" s="150"/>
      <c r="D679" s="150"/>
      <c r="E679" s="150"/>
      <c r="F679" s="150"/>
      <c r="G679" s="150"/>
    </row>
    <row r="680" spans="2:7" ht="15.75" customHeight="1" x14ac:dyDescent="0.2">
      <c r="B680" s="150"/>
      <c r="C680" s="150"/>
      <c r="D680" s="150"/>
      <c r="E680" s="150"/>
      <c r="F680" s="150"/>
      <c r="G680" s="150"/>
    </row>
    <row r="681" spans="2:7" ht="15.75" customHeight="1" x14ac:dyDescent="0.2">
      <c r="B681" s="150"/>
      <c r="C681" s="150"/>
      <c r="D681" s="150"/>
      <c r="E681" s="150"/>
      <c r="F681" s="150"/>
      <c r="G681" s="150"/>
    </row>
    <row r="682" spans="2:7" ht="15.75" customHeight="1" x14ac:dyDescent="0.2">
      <c r="B682" s="150"/>
      <c r="C682" s="150"/>
      <c r="D682" s="150"/>
      <c r="E682" s="150"/>
      <c r="F682" s="150"/>
      <c r="G682" s="150"/>
    </row>
    <row r="683" spans="2:7" ht="15.75" customHeight="1" x14ac:dyDescent="0.2">
      <c r="B683" s="150"/>
      <c r="C683" s="150"/>
      <c r="D683" s="150"/>
      <c r="E683" s="150"/>
      <c r="F683" s="150"/>
      <c r="G683" s="150"/>
    </row>
    <row r="684" spans="2:7" ht="15.75" customHeight="1" x14ac:dyDescent="0.2">
      <c r="B684" s="150"/>
      <c r="C684" s="150"/>
      <c r="D684" s="150"/>
      <c r="E684" s="150"/>
      <c r="F684" s="150"/>
      <c r="G684" s="150"/>
    </row>
    <row r="685" spans="2:7" ht="15.75" customHeight="1" x14ac:dyDescent="0.2">
      <c r="B685" s="150"/>
      <c r="C685" s="150"/>
      <c r="D685" s="150"/>
      <c r="E685" s="150"/>
      <c r="F685" s="150"/>
      <c r="G685" s="150"/>
    </row>
    <row r="686" spans="2:7" ht="15.75" customHeight="1" x14ac:dyDescent="0.2">
      <c r="B686" s="150"/>
      <c r="C686" s="150"/>
      <c r="D686" s="150"/>
      <c r="E686" s="150"/>
      <c r="F686" s="150"/>
      <c r="G686" s="150"/>
    </row>
    <row r="687" spans="2:7" ht="15.75" customHeight="1" x14ac:dyDescent="0.2">
      <c r="B687" s="150"/>
      <c r="C687" s="150"/>
      <c r="D687" s="150"/>
      <c r="E687" s="150"/>
      <c r="F687" s="150"/>
      <c r="G687" s="150"/>
    </row>
    <row r="688" spans="2:7" ht="15.75" customHeight="1" x14ac:dyDescent="0.2">
      <c r="B688" s="150"/>
      <c r="C688" s="150"/>
      <c r="D688" s="150"/>
      <c r="E688" s="150"/>
      <c r="F688" s="150"/>
      <c r="G688" s="150"/>
    </row>
    <row r="689" spans="2:7" ht="15.75" customHeight="1" x14ac:dyDescent="0.2">
      <c r="B689" s="150"/>
      <c r="C689" s="150"/>
      <c r="D689" s="150"/>
      <c r="E689" s="150"/>
      <c r="F689" s="150"/>
      <c r="G689" s="150"/>
    </row>
    <row r="690" spans="2:7" ht="15.75" customHeight="1" x14ac:dyDescent="0.2">
      <c r="B690" s="150"/>
      <c r="C690" s="150"/>
      <c r="D690" s="150"/>
      <c r="E690" s="150"/>
      <c r="F690" s="150"/>
      <c r="G690" s="150"/>
    </row>
    <row r="691" spans="2:7" ht="15.75" customHeight="1" x14ac:dyDescent="0.2">
      <c r="B691" s="150"/>
      <c r="C691" s="150"/>
      <c r="D691" s="150"/>
      <c r="E691" s="150"/>
      <c r="F691" s="150"/>
      <c r="G691" s="150"/>
    </row>
    <row r="692" spans="2:7" ht="15.75" customHeight="1" x14ac:dyDescent="0.2">
      <c r="B692" s="150"/>
      <c r="C692" s="150"/>
      <c r="D692" s="150"/>
      <c r="E692" s="150"/>
      <c r="F692" s="150"/>
      <c r="G692" s="150"/>
    </row>
    <row r="693" spans="2:7" ht="15.75" customHeight="1" x14ac:dyDescent="0.2">
      <c r="B693" s="150"/>
      <c r="C693" s="150"/>
      <c r="D693" s="150"/>
      <c r="E693" s="150"/>
      <c r="F693" s="150"/>
      <c r="G693" s="150"/>
    </row>
    <row r="694" spans="2:7" ht="15.75" customHeight="1" x14ac:dyDescent="0.2">
      <c r="B694" s="150"/>
      <c r="C694" s="150"/>
      <c r="D694" s="150"/>
      <c r="E694" s="150"/>
      <c r="F694" s="150"/>
      <c r="G694" s="150"/>
    </row>
    <row r="695" spans="2:7" ht="15.75" customHeight="1" x14ac:dyDescent="0.2">
      <c r="B695" s="150"/>
      <c r="C695" s="150"/>
      <c r="D695" s="150"/>
      <c r="E695" s="150"/>
      <c r="F695" s="150"/>
      <c r="G695" s="150"/>
    </row>
    <row r="696" spans="2:7" ht="15.75" customHeight="1" x14ac:dyDescent="0.2">
      <c r="B696" s="150"/>
      <c r="C696" s="150"/>
      <c r="D696" s="150"/>
      <c r="E696" s="150"/>
      <c r="F696" s="150"/>
      <c r="G696" s="150"/>
    </row>
    <row r="697" spans="2:7" ht="15.75" customHeight="1" x14ac:dyDescent="0.2">
      <c r="B697" s="150"/>
      <c r="C697" s="150"/>
      <c r="D697" s="150"/>
      <c r="E697" s="150"/>
      <c r="F697" s="150"/>
      <c r="G697" s="150"/>
    </row>
    <row r="698" spans="2:7" ht="15.75" customHeight="1" x14ac:dyDescent="0.2">
      <c r="B698" s="150"/>
      <c r="C698" s="150"/>
      <c r="D698" s="150"/>
      <c r="E698" s="150"/>
      <c r="F698" s="150"/>
      <c r="G698" s="150"/>
    </row>
    <row r="699" spans="2:7" ht="15.75" customHeight="1" x14ac:dyDescent="0.2">
      <c r="B699" s="150"/>
      <c r="C699" s="150"/>
      <c r="D699" s="150"/>
      <c r="E699" s="150"/>
      <c r="F699" s="150"/>
      <c r="G699" s="150"/>
    </row>
    <row r="700" spans="2:7" ht="15.75" customHeight="1" x14ac:dyDescent="0.2">
      <c r="B700" s="150"/>
      <c r="C700" s="150"/>
      <c r="D700" s="150"/>
      <c r="E700" s="150"/>
      <c r="F700" s="150"/>
      <c r="G700" s="150"/>
    </row>
    <row r="701" spans="2:7" ht="15.75" customHeight="1" x14ac:dyDescent="0.2">
      <c r="B701" s="150"/>
      <c r="C701" s="150"/>
      <c r="D701" s="150"/>
      <c r="E701" s="150"/>
      <c r="F701" s="150"/>
      <c r="G701" s="150"/>
    </row>
    <row r="702" spans="2:7" ht="15.75" customHeight="1" x14ac:dyDescent="0.2">
      <c r="B702" s="150"/>
      <c r="C702" s="150"/>
      <c r="D702" s="150"/>
      <c r="E702" s="150"/>
      <c r="F702" s="150"/>
      <c r="G702" s="150"/>
    </row>
    <row r="703" spans="2:7" ht="15.75" customHeight="1" x14ac:dyDescent="0.2">
      <c r="B703" s="150"/>
      <c r="C703" s="150"/>
      <c r="D703" s="150"/>
      <c r="E703" s="150"/>
      <c r="F703" s="150"/>
      <c r="G703" s="150"/>
    </row>
    <row r="704" spans="2:7" ht="15.75" customHeight="1" x14ac:dyDescent="0.2">
      <c r="B704" s="150"/>
      <c r="C704" s="150"/>
      <c r="D704" s="150"/>
      <c r="E704" s="150"/>
      <c r="F704" s="150"/>
      <c r="G704" s="150"/>
    </row>
    <row r="705" spans="2:7" ht="15.75" customHeight="1" x14ac:dyDescent="0.2">
      <c r="B705" s="150"/>
      <c r="C705" s="150"/>
      <c r="D705" s="150"/>
      <c r="E705" s="150"/>
      <c r="F705" s="150"/>
      <c r="G705" s="150"/>
    </row>
    <row r="706" spans="2:7" ht="15.75" customHeight="1" x14ac:dyDescent="0.2">
      <c r="B706" s="150"/>
      <c r="C706" s="150"/>
      <c r="D706" s="150"/>
      <c r="E706" s="150"/>
      <c r="F706" s="150"/>
      <c r="G706" s="150"/>
    </row>
    <row r="707" spans="2:7" ht="15.75" customHeight="1" x14ac:dyDescent="0.2">
      <c r="B707" s="150"/>
      <c r="C707" s="150"/>
      <c r="D707" s="150"/>
      <c r="E707" s="150"/>
      <c r="F707" s="150"/>
      <c r="G707" s="150"/>
    </row>
    <row r="708" spans="2:7" ht="15.75" customHeight="1" x14ac:dyDescent="0.2">
      <c r="B708" s="150"/>
      <c r="C708" s="150"/>
      <c r="D708" s="150"/>
      <c r="E708" s="150"/>
      <c r="F708" s="150"/>
      <c r="G708" s="150"/>
    </row>
    <row r="709" spans="2:7" ht="15.75" customHeight="1" x14ac:dyDescent="0.2">
      <c r="B709" s="150"/>
      <c r="C709" s="150"/>
      <c r="D709" s="150"/>
      <c r="E709" s="150"/>
      <c r="F709" s="150"/>
      <c r="G709" s="150"/>
    </row>
    <row r="710" spans="2:7" ht="15.75" customHeight="1" x14ac:dyDescent="0.2">
      <c r="B710" s="150"/>
      <c r="C710" s="150"/>
      <c r="D710" s="150"/>
      <c r="E710" s="150"/>
      <c r="F710" s="150"/>
      <c r="G710" s="150"/>
    </row>
    <row r="711" spans="2:7" ht="15.75" customHeight="1" x14ac:dyDescent="0.2">
      <c r="B711" s="150"/>
      <c r="C711" s="150"/>
      <c r="D711" s="150"/>
      <c r="E711" s="150"/>
      <c r="F711" s="150"/>
      <c r="G711" s="150"/>
    </row>
    <row r="712" spans="2:7" ht="15.75" customHeight="1" x14ac:dyDescent="0.2">
      <c r="B712" s="150"/>
      <c r="C712" s="150"/>
      <c r="D712" s="150"/>
      <c r="E712" s="150"/>
      <c r="F712" s="150"/>
      <c r="G712" s="150"/>
    </row>
    <row r="713" spans="2:7" ht="15.75" customHeight="1" x14ac:dyDescent="0.2">
      <c r="B713" s="150"/>
      <c r="C713" s="150"/>
      <c r="D713" s="150"/>
      <c r="E713" s="150"/>
      <c r="F713" s="150"/>
      <c r="G713" s="150"/>
    </row>
    <row r="714" spans="2:7" ht="15.75" customHeight="1" x14ac:dyDescent="0.2">
      <c r="B714" s="150"/>
      <c r="C714" s="150"/>
      <c r="D714" s="150"/>
      <c r="E714" s="150"/>
      <c r="F714" s="150"/>
      <c r="G714" s="150"/>
    </row>
    <row r="715" spans="2:7" ht="15.75" customHeight="1" x14ac:dyDescent="0.2">
      <c r="B715" s="150"/>
      <c r="C715" s="150"/>
      <c r="D715" s="150"/>
      <c r="E715" s="150"/>
      <c r="F715" s="150"/>
      <c r="G715" s="150"/>
    </row>
    <row r="716" spans="2:7" ht="15.75" customHeight="1" x14ac:dyDescent="0.2">
      <c r="B716" s="150"/>
      <c r="C716" s="150"/>
      <c r="D716" s="150"/>
      <c r="E716" s="150"/>
      <c r="F716" s="150"/>
      <c r="G716" s="150"/>
    </row>
    <row r="717" spans="2:7" ht="15.75" customHeight="1" x14ac:dyDescent="0.2">
      <c r="B717" s="150"/>
      <c r="C717" s="150"/>
      <c r="D717" s="150"/>
      <c r="E717" s="150"/>
      <c r="F717" s="150"/>
      <c r="G717" s="150"/>
    </row>
    <row r="718" spans="2:7" ht="15.75" customHeight="1" x14ac:dyDescent="0.2">
      <c r="B718" s="150"/>
      <c r="C718" s="150"/>
      <c r="D718" s="150"/>
      <c r="E718" s="150"/>
      <c r="F718" s="150"/>
      <c r="G718" s="150"/>
    </row>
    <row r="719" spans="2:7" ht="15.75" customHeight="1" x14ac:dyDescent="0.2">
      <c r="B719" s="150"/>
      <c r="C719" s="150"/>
      <c r="D719" s="150"/>
      <c r="E719" s="150"/>
      <c r="F719" s="150"/>
      <c r="G719" s="150"/>
    </row>
    <row r="720" spans="2:7" ht="15.75" customHeight="1" x14ac:dyDescent="0.2">
      <c r="B720" s="150"/>
      <c r="C720" s="150"/>
      <c r="D720" s="150"/>
      <c r="E720" s="150"/>
      <c r="F720" s="150"/>
      <c r="G720" s="150"/>
    </row>
    <row r="721" spans="2:7" ht="15.75" customHeight="1" x14ac:dyDescent="0.2">
      <c r="B721" s="150"/>
      <c r="C721" s="150"/>
      <c r="D721" s="150"/>
      <c r="E721" s="150"/>
      <c r="F721" s="150"/>
      <c r="G721" s="150"/>
    </row>
    <row r="722" spans="2:7" ht="15.75" customHeight="1" x14ac:dyDescent="0.2">
      <c r="B722" s="150"/>
      <c r="C722" s="150"/>
      <c r="D722" s="150"/>
      <c r="E722" s="150"/>
      <c r="F722" s="150"/>
      <c r="G722" s="150"/>
    </row>
    <row r="723" spans="2:7" ht="15.75" customHeight="1" x14ac:dyDescent="0.2">
      <c r="B723" s="150"/>
      <c r="C723" s="150"/>
      <c r="D723" s="150"/>
      <c r="E723" s="150"/>
      <c r="F723" s="150"/>
      <c r="G723" s="150"/>
    </row>
    <row r="724" spans="2:7" ht="15.75" customHeight="1" x14ac:dyDescent="0.2">
      <c r="B724" s="150"/>
      <c r="C724" s="150"/>
      <c r="D724" s="150"/>
      <c r="E724" s="150"/>
      <c r="F724" s="150"/>
      <c r="G724" s="150"/>
    </row>
    <row r="725" spans="2:7" ht="15.75" customHeight="1" x14ac:dyDescent="0.2">
      <c r="B725" s="150"/>
      <c r="C725" s="150"/>
      <c r="D725" s="150"/>
      <c r="E725" s="150"/>
      <c r="F725" s="150"/>
      <c r="G725" s="150"/>
    </row>
    <row r="726" spans="2:7" ht="15.75" customHeight="1" x14ac:dyDescent="0.2">
      <c r="B726" s="150"/>
      <c r="C726" s="150"/>
      <c r="D726" s="150"/>
      <c r="E726" s="150"/>
      <c r="F726" s="150"/>
      <c r="G726" s="150"/>
    </row>
    <row r="727" spans="2:7" ht="15.75" customHeight="1" x14ac:dyDescent="0.2">
      <c r="B727" s="150"/>
      <c r="C727" s="150"/>
      <c r="D727" s="150"/>
      <c r="E727" s="150"/>
      <c r="F727" s="150"/>
      <c r="G727" s="150"/>
    </row>
    <row r="728" spans="2:7" ht="15.75" customHeight="1" x14ac:dyDescent="0.2">
      <c r="B728" s="150"/>
      <c r="C728" s="150"/>
      <c r="D728" s="150"/>
      <c r="E728" s="150"/>
      <c r="F728" s="150"/>
      <c r="G728" s="150"/>
    </row>
    <row r="729" spans="2:7" ht="15.75" customHeight="1" x14ac:dyDescent="0.2">
      <c r="B729" s="150"/>
      <c r="C729" s="150"/>
      <c r="D729" s="150"/>
      <c r="E729" s="150"/>
      <c r="F729" s="150"/>
      <c r="G729" s="150"/>
    </row>
    <row r="730" spans="2:7" ht="15.75" customHeight="1" x14ac:dyDescent="0.2">
      <c r="B730" s="150"/>
      <c r="C730" s="150"/>
      <c r="D730" s="150"/>
      <c r="E730" s="150"/>
      <c r="F730" s="150"/>
      <c r="G730" s="150"/>
    </row>
    <row r="731" spans="2:7" ht="15.75" customHeight="1" x14ac:dyDescent="0.2">
      <c r="B731" s="150"/>
      <c r="C731" s="150"/>
      <c r="D731" s="150"/>
      <c r="E731" s="150"/>
      <c r="F731" s="150"/>
      <c r="G731" s="150"/>
    </row>
    <row r="732" spans="2:7" ht="15.75" customHeight="1" x14ac:dyDescent="0.2">
      <c r="B732" s="150"/>
      <c r="C732" s="150"/>
      <c r="D732" s="150"/>
      <c r="E732" s="150"/>
      <c r="F732" s="150"/>
      <c r="G732" s="150"/>
    </row>
    <row r="733" spans="2:7" ht="15.75" customHeight="1" x14ac:dyDescent="0.2">
      <c r="B733" s="150"/>
      <c r="C733" s="150"/>
      <c r="D733" s="150"/>
      <c r="E733" s="150"/>
      <c r="F733" s="150"/>
      <c r="G733" s="150"/>
    </row>
    <row r="734" spans="2:7" ht="15.75" customHeight="1" x14ac:dyDescent="0.2">
      <c r="B734" s="150"/>
      <c r="C734" s="150"/>
      <c r="D734" s="150"/>
      <c r="E734" s="150"/>
      <c r="F734" s="150"/>
      <c r="G734" s="150"/>
    </row>
    <row r="735" spans="2:7" ht="15.75" customHeight="1" x14ac:dyDescent="0.2">
      <c r="B735" s="150"/>
      <c r="C735" s="150"/>
      <c r="D735" s="150"/>
      <c r="E735" s="150"/>
      <c r="F735" s="150"/>
      <c r="G735" s="150"/>
    </row>
    <row r="736" spans="2:7" ht="15.75" customHeight="1" x14ac:dyDescent="0.2">
      <c r="B736" s="150"/>
      <c r="C736" s="150"/>
      <c r="D736" s="150"/>
      <c r="E736" s="150"/>
      <c r="F736" s="150"/>
      <c r="G736" s="150"/>
    </row>
    <row r="737" spans="2:7" ht="15.75" customHeight="1" x14ac:dyDescent="0.2">
      <c r="B737" s="150"/>
      <c r="C737" s="150"/>
      <c r="D737" s="150"/>
      <c r="E737" s="150"/>
      <c r="F737" s="150"/>
      <c r="G737" s="150"/>
    </row>
    <row r="738" spans="2:7" ht="15.75" customHeight="1" x14ac:dyDescent="0.2">
      <c r="B738" s="150"/>
      <c r="C738" s="150"/>
      <c r="D738" s="150"/>
      <c r="E738" s="150"/>
      <c r="F738" s="150"/>
      <c r="G738" s="150"/>
    </row>
    <row r="739" spans="2:7" ht="15.75" customHeight="1" x14ac:dyDescent="0.2">
      <c r="B739" s="150"/>
      <c r="C739" s="150"/>
      <c r="D739" s="150"/>
      <c r="E739" s="150"/>
      <c r="F739" s="150"/>
      <c r="G739" s="150"/>
    </row>
    <row r="740" spans="2:7" ht="15.75" customHeight="1" x14ac:dyDescent="0.2">
      <c r="B740" s="150"/>
      <c r="C740" s="150"/>
      <c r="D740" s="150"/>
      <c r="E740" s="150"/>
      <c r="F740" s="150"/>
      <c r="G740" s="150"/>
    </row>
    <row r="741" spans="2:7" ht="15.75" customHeight="1" x14ac:dyDescent="0.2">
      <c r="B741" s="150"/>
      <c r="C741" s="150"/>
      <c r="D741" s="150"/>
      <c r="E741" s="150"/>
      <c r="F741" s="150"/>
      <c r="G741" s="150"/>
    </row>
    <row r="742" spans="2:7" ht="15.75" customHeight="1" x14ac:dyDescent="0.2">
      <c r="B742" s="150"/>
      <c r="C742" s="150"/>
      <c r="D742" s="150"/>
      <c r="E742" s="150"/>
      <c r="F742" s="150"/>
      <c r="G742" s="150"/>
    </row>
    <row r="743" spans="2:7" ht="15.75" customHeight="1" x14ac:dyDescent="0.2">
      <c r="B743" s="150"/>
      <c r="C743" s="150"/>
      <c r="D743" s="150"/>
      <c r="E743" s="150"/>
      <c r="F743" s="150"/>
      <c r="G743" s="150"/>
    </row>
    <row r="744" spans="2:7" ht="15.75" customHeight="1" x14ac:dyDescent="0.2">
      <c r="B744" s="150"/>
      <c r="C744" s="150"/>
      <c r="D744" s="150"/>
      <c r="E744" s="150"/>
      <c r="F744" s="150"/>
      <c r="G744" s="150"/>
    </row>
    <row r="745" spans="2:7" ht="15.75" customHeight="1" x14ac:dyDescent="0.2">
      <c r="B745" s="150"/>
      <c r="C745" s="150"/>
      <c r="D745" s="150"/>
      <c r="E745" s="150"/>
      <c r="F745" s="150"/>
      <c r="G745" s="150"/>
    </row>
    <row r="746" spans="2:7" ht="15.75" customHeight="1" x14ac:dyDescent="0.2">
      <c r="B746" s="150"/>
      <c r="C746" s="150"/>
      <c r="D746" s="150"/>
      <c r="E746" s="150"/>
      <c r="F746" s="150"/>
      <c r="G746" s="150"/>
    </row>
    <row r="747" spans="2:7" ht="15.75" customHeight="1" x14ac:dyDescent="0.2">
      <c r="B747" s="150"/>
      <c r="C747" s="150"/>
      <c r="D747" s="150"/>
      <c r="E747" s="150"/>
      <c r="F747" s="150"/>
      <c r="G747" s="150"/>
    </row>
    <row r="748" spans="2:7" ht="15.75" customHeight="1" x14ac:dyDescent="0.2">
      <c r="B748" s="150"/>
      <c r="C748" s="150"/>
      <c r="D748" s="150"/>
      <c r="E748" s="150"/>
      <c r="F748" s="150"/>
      <c r="G748" s="150"/>
    </row>
    <row r="749" spans="2:7" ht="15.75" customHeight="1" x14ac:dyDescent="0.2">
      <c r="B749" s="150"/>
      <c r="C749" s="150"/>
      <c r="D749" s="150"/>
      <c r="E749" s="150"/>
      <c r="F749" s="150"/>
      <c r="G749" s="150"/>
    </row>
    <row r="750" spans="2:7" ht="15.75" customHeight="1" x14ac:dyDescent="0.2">
      <c r="B750" s="150"/>
      <c r="C750" s="150"/>
      <c r="D750" s="150"/>
      <c r="E750" s="150"/>
      <c r="F750" s="150"/>
      <c r="G750" s="150"/>
    </row>
    <row r="751" spans="2:7" ht="15.75" customHeight="1" x14ac:dyDescent="0.2">
      <c r="B751" s="150"/>
      <c r="C751" s="150"/>
      <c r="D751" s="150"/>
      <c r="E751" s="150"/>
      <c r="F751" s="150"/>
      <c r="G751" s="150"/>
    </row>
    <row r="752" spans="2:7" ht="15.75" customHeight="1" x14ac:dyDescent="0.2">
      <c r="B752" s="150"/>
      <c r="C752" s="150"/>
      <c r="D752" s="150"/>
      <c r="E752" s="150"/>
      <c r="F752" s="150"/>
      <c r="G752" s="150"/>
    </row>
    <row r="753" spans="2:7" ht="15.75" customHeight="1" x14ac:dyDescent="0.2">
      <c r="B753" s="150"/>
      <c r="C753" s="150"/>
      <c r="D753" s="150"/>
      <c r="E753" s="150"/>
      <c r="F753" s="150"/>
      <c r="G753" s="150"/>
    </row>
    <row r="754" spans="2:7" ht="15.75" customHeight="1" x14ac:dyDescent="0.2">
      <c r="B754" s="150"/>
      <c r="C754" s="150"/>
      <c r="D754" s="150"/>
      <c r="E754" s="150"/>
      <c r="F754" s="150"/>
      <c r="G754" s="150"/>
    </row>
    <row r="755" spans="2:7" ht="15.75" customHeight="1" x14ac:dyDescent="0.2">
      <c r="B755" s="150"/>
      <c r="C755" s="150"/>
      <c r="D755" s="150"/>
      <c r="E755" s="150"/>
      <c r="F755" s="150"/>
      <c r="G755" s="150"/>
    </row>
    <row r="756" spans="2:7" ht="15.75" customHeight="1" x14ac:dyDescent="0.2">
      <c r="B756" s="150"/>
      <c r="C756" s="150"/>
      <c r="D756" s="150"/>
      <c r="E756" s="150"/>
      <c r="F756" s="150"/>
      <c r="G756" s="150"/>
    </row>
    <row r="757" spans="2:7" ht="15.75" customHeight="1" x14ac:dyDescent="0.2">
      <c r="B757" s="150"/>
      <c r="C757" s="150"/>
      <c r="D757" s="150"/>
      <c r="E757" s="150"/>
      <c r="F757" s="150"/>
      <c r="G757" s="150"/>
    </row>
    <row r="758" spans="2:7" ht="15.75" customHeight="1" x14ac:dyDescent="0.2">
      <c r="B758" s="150"/>
      <c r="C758" s="150"/>
      <c r="D758" s="150"/>
      <c r="E758" s="150"/>
      <c r="F758" s="150"/>
      <c r="G758" s="150"/>
    </row>
    <row r="759" spans="2:7" ht="15.75" customHeight="1" x14ac:dyDescent="0.2">
      <c r="B759" s="150"/>
      <c r="C759" s="150"/>
      <c r="D759" s="150"/>
      <c r="E759" s="150"/>
      <c r="F759" s="150"/>
      <c r="G759" s="150"/>
    </row>
    <row r="760" spans="2:7" ht="15.75" customHeight="1" x14ac:dyDescent="0.2">
      <c r="B760" s="150"/>
      <c r="C760" s="150"/>
      <c r="D760" s="150"/>
      <c r="E760" s="150"/>
      <c r="F760" s="150"/>
      <c r="G760" s="150"/>
    </row>
    <row r="761" spans="2:7" ht="15.75" customHeight="1" x14ac:dyDescent="0.2">
      <c r="B761" s="150"/>
      <c r="C761" s="150"/>
      <c r="D761" s="150"/>
      <c r="E761" s="150"/>
      <c r="F761" s="150"/>
      <c r="G761" s="150"/>
    </row>
    <row r="762" spans="2:7" ht="15.75" customHeight="1" x14ac:dyDescent="0.2">
      <c r="B762" s="150"/>
      <c r="C762" s="150"/>
      <c r="D762" s="150"/>
      <c r="E762" s="150"/>
      <c r="F762" s="150"/>
      <c r="G762" s="150"/>
    </row>
    <row r="763" spans="2:7" ht="15.75" customHeight="1" x14ac:dyDescent="0.2">
      <c r="B763" s="150"/>
      <c r="C763" s="150"/>
      <c r="D763" s="150"/>
      <c r="E763" s="150"/>
      <c r="F763" s="150"/>
      <c r="G763" s="150"/>
    </row>
    <row r="764" spans="2:7" ht="15.75" customHeight="1" x14ac:dyDescent="0.2">
      <c r="B764" s="150"/>
      <c r="C764" s="150"/>
      <c r="D764" s="150"/>
      <c r="E764" s="150"/>
      <c r="F764" s="150"/>
      <c r="G764" s="150"/>
    </row>
    <row r="765" spans="2:7" ht="15.75" customHeight="1" x14ac:dyDescent="0.2">
      <c r="B765" s="150"/>
      <c r="C765" s="150"/>
      <c r="D765" s="150"/>
      <c r="E765" s="150"/>
      <c r="F765" s="150"/>
      <c r="G765" s="150"/>
    </row>
    <row r="766" spans="2:7" ht="15.75" customHeight="1" x14ac:dyDescent="0.2">
      <c r="B766" s="150"/>
      <c r="C766" s="150"/>
      <c r="D766" s="150"/>
      <c r="E766" s="150"/>
      <c r="F766" s="150"/>
      <c r="G766" s="150"/>
    </row>
    <row r="767" spans="2:7" ht="15.75" customHeight="1" x14ac:dyDescent="0.2">
      <c r="B767" s="150"/>
      <c r="C767" s="150"/>
      <c r="D767" s="150"/>
      <c r="E767" s="150"/>
      <c r="F767" s="150"/>
      <c r="G767" s="150"/>
    </row>
    <row r="768" spans="2:7" ht="15.75" customHeight="1" x14ac:dyDescent="0.2">
      <c r="B768" s="150"/>
      <c r="C768" s="150"/>
      <c r="D768" s="150"/>
      <c r="E768" s="150"/>
      <c r="F768" s="150"/>
      <c r="G768" s="150"/>
    </row>
    <row r="769" spans="2:7" ht="15.75" customHeight="1" x14ac:dyDescent="0.2">
      <c r="B769" s="150"/>
      <c r="C769" s="150"/>
      <c r="D769" s="150"/>
      <c r="E769" s="150"/>
      <c r="F769" s="150"/>
      <c r="G769" s="150"/>
    </row>
    <row r="770" spans="2:7" ht="15.75" customHeight="1" x14ac:dyDescent="0.2">
      <c r="B770" s="150"/>
      <c r="C770" s="150"/>
      <c r="D770" s="150"/>
      <c r="E770" s="150"/>
      <c r="F770" s="150"/>
      <c r="G770" s="150"/>
    </row>
    <row r="771" spans="2:7" ht="15.75" customHeight="1" x14ac:dyDescent="0.2">
      <c r="B771" s="150"/>
      <c r="C771" s="150"/>
      <c r="D771" s="150"/>
      <c r="E771" s="150"/>
      <c r="F771" s="150"/>
      <c r="G771" s="150"/>
    </row>
    <row r="772" spans="2:7" ht="15.75" customHeight="1" x14ac:dyDescent="0.2">
      <c r="B772" s="150"/>
      <c r="C772" s="150"/>
      <c r="D772" s="150"/>
      <c r="E772" s="150"/>
      <c r="F772" s="150"/>
      <c r="G772" s="150"/>
    </row>
    <row r="773" spans="2:7" ht="15.75" customHeight="1" x14ac:dyDescent="0.2">
      <c r="B773" s="150"/>
      <c r="C773" s="150"/>
      <c r="D773" s="150"/>
      <c r="E773" s="150"/>
      <c r="F773" s="150"/>
      <c r="G773" s="150"/>
    </row>
    <row r="774" spans="2:7" ht="15.75" customHeight="1" x14ac:dyDescent="0.2">
      <c r="B774" s="150"/>
      <c r="C774" s="150"/>
      <c r="D774" s="150"/>
      <c r="E774" s="150"/>
      <c r="F774" s="150"/>
      <c r="G774" s="150"/>
    </row>
    <row r="775" spans="2:7" ht="15.75" customHeight="1" x14ac:dyDescent="0.2">
      <c r="B775" s="150"/>
      <c r="C775" s="150"/>
      <c r="D775" s="150"/>
      <c r="E775" s="150"/>
      <c r="F775" s="150"/>
      <c r="G775" s="150"/>
    </row>
    <row r="776" spans="2:7" ht="15.75" customHeight="1" x14ac:dyDescent="0.2">
      <c r="B776" s="150"/>
      <c r="C776" s="150"/>
      <c r="D776" s="150"/>
      <c r="E776" s="150"/>
      <c r="F776" s="150"/>
      <c r="G776" s="150"/>
    </row>
    <row r="777" spans="2:7" ht="15.75" customHeight="1" x14ac:dyDescent="0.2">
      <c r="B777" s="150"/>
      <c r="C777" s="150"/>
      <c r="D777" s="150"/>
      <c r="E777" s="150"/>
      <c r="F777" s="150"/>
      <c r="G777" s="150"/>
    </row>
    <row r="778" spans="2:7" ht="15.75" customHeight="1" x14ac:dyDescent="0.2">
      <c r="B778" s="150"/>
      <c r="C778" s="150"/>
      <c r="D778" s="150"/>
      <c r="E778" s="150"/>
      <c r="F778" s="150"/>
      <c r="G778" s="150"/>
    </row>
    <row r="779" spans="2:7" ht="15.75" customHeight="1" x14ac:dyDescent="0.2">
      <c r="B779" s="150"/>
      <c r="C779" s="150"/>
      <c r="D779" s="150"/>
      <c r="E779" s="150"/>
      <c r="F779" s="150"/>
      <c r="G779" s="150"/>
    </row>
    <row r="780" spans="2:7" ht="15.75" customHeight="1" x14ac:dyDescent="0.2">
      <c r="B780" s="150"/>
      <c r="C780" s="150"/>
      <c r="D780" s="150"/>
      <c r="E780" s="150"/>
      <c r="F780" s="150"/>
      <c r="G780" s="150"/>
    </row>
    <row r="781" spans="2:7" ht="15.75" customHeight="1" x14ac:dyDescent="0.2">
      <c r="B781" s="150"/>
      <c r="C781" s="150"/>
      <c r="D781" s="150"/>
      <c r="E781" s="150"/>
      <c r="F781" s="150"/>
      <c r="G781" s="150"/>
    </row>
    <row r="782" spans="2:7" ht="15.75" customHeight="1" x14ac:dyDescent="0.2">
      <c r="B782" s="150"/>
      <c r="C782" s="150"/>
      <c r="D782" s="150"/>
      <c r="E782" s="150"/>
      <c r="F782" s="150"/>
      <c r="G782" s="150"/>
    </row>
    <row r="783" spans="2:7" ht="15.75" customHeight="1" x14ac:dyDescent="0.2">
      <c r="B783" s="150"/>
      <c r="C783" s="150"/>
      <c r="D783" s="150"/>
      <c r="E783" s="150"/>
      <c r="F783" s="150"/>
      <c r="G783" s="150"/>
    </row>
    <row r="784" spans="2:7" ht="15.75" customHeight="1" x14ac:dyDescent="0.2">
      <c r="B784" s="150"/>
      <c r="C784" s="150"/>
      <c r="D784" s="150"/>
      <c r="E784" s="150"/>
      <c r="F784" s="150"/>
      <c r="G784" s="150"/>
    </row>
    <row r="785" spans="2:7" ht="15.75" customHeight="1" x14ac:dyDescent="0.2">
      <c r="B785" s="150"/>
      <c r="C785" s="150"/>
      <c r="D785" s="150"/>
      <c r="E785" s="150"/>
      <c r="F785" s="150"/>
      <c r="G785" s="150"/>
    </row>
    <row r="786" spans="2:7" ht="15.75" customHeight="1" x14ac:dyDescent="0.2">
      <c r="B786" s="150"/>
      <c r="C786" s="150"/>
      <c r="D786" s="150"/>
      <c r="E786" s="150"/>
      <c r="F786" s="150"/>
      <c r="G786" s="150"/>
    </row>
    <row r="787" spans="2:7" ht="15.75" customHeight="1" x14ac:dyDescent="0.2">
      <c r="B787" s="150"/>
      <c r="C787" s="150"/>
      <c r="D787" s="150"/>
      <c r="E787" s="150"/>
      <c r="F787" s="150"/>
      <c r="G787" s="150"/>
    </row>
    <row r="788" spans="2:7" ht="15.75" customHeight="1" x14ac:dyDescent="0.2">
      <c r="B788" s="150"/>
      <c r="C788" s="150"/>
      <c r="D788" s="150"/>
      <c r="E788" s="150"/>
      <c r="F788" s="150"/>
      <c r="G788" s="150"/>
    </row>
    <row r="789" spans="2:7" ht="15.75" customHeight="1" x14ac:dyDescent="0.2">
      <c r="B789" s="150"/>
      <c r="C789" s="150"/>
      <c r="D789" s="150"/>
      <c r="E789" s="150"/>
      <c r="F789" s="150"/>
      <c r="G789" s="150"/>
    </row>
    <row r="790" spans="2:7" ht="15.75" customHeight="1" x14ac:dyDescent="0.2">
      <c r="B790" s="150"/>
      <c r="C790" s="150"/>
      <c r="D790" s="150"/>
      <c r="E790" s="150"/>
      <c r="F790" s="150"/>
      <c r="G790" s="150"/>
    </row>
    <row r="791" spans="2:7" ht="15.75" customHeight="1" x14ac:dyDescent="0.2">
      <c r="B791" s="150"/>
      <c r="C791" s="150"/>
      <c r="D791" s="150"/>
      <c r="E791" s="150"/>
      <c r="F791" s="150"/>
      <c r="G791" s="150"/>
    </row>
    <row r="792" spans="2:7" ht="15.75" customHeight="1" x14ac:dyDescent="0.2">
      <c r="B792" s="150"/>
      <c r="C792" s="150"/>
      <c r="D792" s="150"/>
      <c r="E792" s="150"/>
      <c r="F792" s="150"/>
      <c r="G792" s="150"/>
    </row>
    <row r="793" spans="2:7" ht="15.75" customHeight="1" x14ac:dyDescent="0.2">
      <c r="B793" s="150"/>
      <c r="C793" s="150"/>
      <c r="D793" s="150"/>
      <c r="E793" s="150"/>
      <c r="F793" s="150"/>
      <c r="G793" s="150"/>
    </row>
    <row r="794" spans="2:7" ht="15.75" customHeight="1" x14ac:dyDescent="0.2">
      <c r="B794" s="150"/>
      <c r="C794" s="150"/>
      <c r="D794" s="150"/>
      <c r="E794" s="150"/>
      <c r="F794" s="150"/>
      <c r="G794" s="150"/>
    </row>
    <row r="795" spans="2:7" ht="15.75" customHeight="1" x14ac:dyDescent="0.2">
      <c r="B795" s="150"/>
      <c r="C795" s="150"/>
      <c r="D795" s="150"/>
      <c r="E795" s="150"/>
      <c r="F795" s="150"/>
      <c r="G795" s="150"/>
    </row>
    <row r="796" spans="2:7" ht="15.75" customHeight="1" x14ac:dyDescent="0.2">
      <c r="B796" s="150"/>
      <c r="C796" s="150"/>
      <c r="D796" s="150"/>
      <c r="E796" s="150"/>
      <c r="F796" s="150"/>
      <c r="G796" s="150"/>
    </row>
    <row r="797" spans="2:7" ht="15.75" customHeight="1" x14ac:dyDescent="0.2">
      <c r="B797" s="150"/>
      <c r="C797" s="150"/>
      <c r="D797" s="150"/>
      <c r="E797" s="150"/>
      <c r="F797" s="150"/>
      <c r="G797" s="150"/>
    </row>
    <row r="798" spans="2:7" ht="15.75" customHeight="1" x14ac:dyDescent="0.2">
      <c r="B798" s="150"/>
      <c r="C798" s="150"/>
      <c r="D798" s="150"/>
      <c r="E798" s="150"/>
      <c r="F798" s="150"/>
      <c r="G798" s="150"/>
    </row>
    <row r="799" spans="2:7" ht="15.75" customHeight="1" x14ac:dyDescent="0.2">
      <c r="B799" s="150"/>
      <c r="C799" s="150"/>
      <c r="D799" s="150"/>
      <c r="E799" s="150"/>
      <c r="F799" s="150"/>
      <c r="G799" s="150"/>
    </row>
    <row r="800" spans="2:7" ht="15.75" customHeight="1" x14ac:dyDescent="0.2">
      <c r="B800" s="150"/>
      <c r="C800" s="150"/>
      <c r="D800" s="150"/>
      <c r="E800" s="150"/>
      <c r="F800" s="150"/>
      <c r="G800" s="150"/>
    </row>
    <row r="801" spans="2:7" ht="15.75" customHeight="1" x14ac:dyDescent="0.2">
      <c r="B801" s="150"/>
      <c r="C801" s="150"/>
      <c r="D801" s="150"/>
      <c r="E801" s="150"/>
      <c r="F801" s="150"/>
      <c r="G801" s="150"/>
    </row>
    <row r="802" spans="2:7" ht="15.75" customHeight="1" x14ac:dyDescent="0.2">
      <c r="B802" s="150"/>
      <c r="C802" s="150"/>
      <c r="D802" s="150"/>
      <c r="E802" s="150"/>
      <c r="F802" s="150"/>
      <c r="G802" s="150"/>
    </row>
    <row r="803" spans="2:7" ht="15.75" customHeight="1" x14ac:dyDescent="0.2">
      <c r="B803" s="150"/>
      <c r="C803" s="150"/>
      <c r="D803" s="150"/>
      <c r="E803" s="150"/>
      <c r="F803" s="150"/>
      <c r="G803" s="150"/>
    </row>
    <row r="804" spans="2:7" ht="15.75" customHeight="1" x14ac:dyDescent="0.2">
      <c r="B804" s="150"/>
      <c r="C804" s="150"/>
      <c r="D804" s="150"/>
      <c r="E804" s="150"/>
      <c r="F804" s="150"/>
      <c r="G804" s="150"/>
    </row>
    <row r="805" spans="2:7" ht="15.75" customHeight="1" x14ac:dyDescent="0.2">
      <c r="B805" s="150"/>
      <c r="C805" s="150"/>
      <c r="D805" s="150"/>
      <c r="E805" s="150"/>
      <c r="F805" s="150"/>
      <c r="G805" s="150"/>
    </row>
    <row r="806" spans="2:7" ht="15.75" customHeight="1" x14ac:dyDescent="0.2">
      <c r="B806" s="150"/>
      <c r="C806" s="150"/>
      <c r="D806" s="150"/>
      <c r="E806" s="150"/>
      <c r="F806" s="150"/>
      <c r="G806" s="150"/>
    </row>
    <row r="807" spans="2:7" ht="15.75" customHeight="1" x14ac:dyDescent="0.2">
      <c r="B807" s="150"/>
      <c r="C807" s="150"/>
      <c r="D807" s="150"/>
      <c r="E807" s="150"/>
      <c r="F807" s="150"/>
      <c r="G807" s="150"/>
    </row>
    <row r="808" spans="2:7" ht="15.75" customHeight="1" x14ac:dyDescent="0.2">
      <c r="B808" s="150"/>
      <c r="C808" s="150"/>
      <c r="D808" s="150"/>
      <c r="E808" s="150"/>
      <c r="F808" s="150"/>
      <c r="G808" s="150"/>
    </row>
    <row r="809" spans="2:7" ht="15.75" customHeight="1" x14ac:dyDescent="0.2">
      <c r="B809" s="150"/>
      <c r="C809" s="150"/>
      <c r="D809" s="150"/>
      <c r="E809" s="150"/>
      <c r="F809" s="150"/>
      <c r="G809" s="150"/>
    </row>
    <row r="810" spans="2:7" ht="15.75" customHeight="1" x14ac:dyDescent="0.2">
      <c r="B810" s="150"/>
      <c r="C810" s="150"/>
      <c r="D810" s="150"/>
      <c r="E810" s="150"/>
      <c r="F810" s="150"/>
      <c r="G810" s="150"/>
    </row>
    <row r="811" spans="2:7" ht="15.75" customHeight="1" x14ac:dyDescent="0.2">
      <c r="B811" s="150"/>
      <c r="C811" s="150"/>
      <c r="D811" s="150"/>
      <c r="E811" s="150"/>
      <c r="F811" s="150"/>
      <c r="G811" s="150"/>
    </row>
    <row r="812" spans="2:7" ht="15.75" customHeight="1" x14ac:dyDescent="0.2">
      <c r="B812" s="150"/>
      <c r="C812" s="150"/>
      <c r="D812" s="150"/>
      <c r="E812" s="150"/>
      <c r="F812" s="150"/>
      <c r="G812" s="150"/>
    </row>
    <row r="813" spans="2:7" ht="15.75" customHeight="1" x14ac:dyDescent="0.2">
      <c r="B813" s="150"/>
      <c r="C813" s="150"/>
      <c r="D813" s="150"/>
      <c r="E813" s="150"/>
      <c r="F813" s="150"/>
      <c r="G813" s="150"/>
    </row>
    <row r="814" spans="2:7" ht="15.75" customHeight="1" x14ac:dyDescent="0.2">
      <c r="B814" s="150"/>
      <c r="C814" s="150"/>
      <c r="D814" s="150"/>
      <c r="E814" s="150"/>
      <c r="F814" s="150"/>
      <c r="G814" s="150"/>
    </row>
    <row r="815" spans="2:7" ht="15.75" customHeight="1" x14ac:dyDescent="0.2">
      <c r="B815" s="150"/>
      <c r="C815" s="150"/>
      <c r="D815" s="150"/>
      <c r="E815" s="150"/>
      <c r="F815" s="150"/>
      <c r="G815" s="150"/>
    </row>
    <row r="816" spans="2:7" ht="15.75" customHeight="1" x14ac:dyDescent="0.2">
      <c r="B816" s="150"/>
      <c r="C816" s="150"/>
      <c r="D816" s="150"/>
      <c r="E816" s="150"/>
      <c r="F816" s="150"/>
      <c r="G816" s="150"/>
    </row>
    <row r="817" spans="2:7" ht="15.75" customHeight="1" x14ac:dyDescent="0.2">
      <c r="B817" s="150"/>
      <c r="C817" s="150"/>
      <c r="D817" s="150"/>
      <c r="E817" s="150"/>
      <c r="F817" s="150"/>
      <c r="G817" s="150"/>
    </row>
    <row r="818" spans="2:7" ht="15.75" customHeight="1" x14ac:dyDescent="0.2">
      <c r="B818" s="150"/>
      <c r="C818" s="150"/>
      <c r="D818" s="150"/>
      <c r="E818" s="150"/>
      <c r="F818" s="150"/>
      <c r="G818" s="150"/>
    </row>
    <row r="819" spans="2:7" ht="15.75" customHeight="1" x14ac:dyDescent="0.2">
      <c r="B819" s="150"/>
      <c r="C819" s="150"/>
      <c r="D819" s="150"/>
      <c r="E819" s="150"/>
      <c r="F819" s="150"/>
      <c r="G819" s="150"/>
    </row>
    <row r="820" spans="2:7" ht="15.75" customHeight="1" x14ac:dyDescent="0.2">
      <c r="B820" s="150"/>
      <c r="C820" s="150"/>
      <c r="D820" s="150"/>
      <c r="E820" s="150"/>
      <c r="F820" s="150"/>
      <c r="G820" s="150"/>
    </row>
    <row r="821" spans="2:7" ht="15.75" customHeight="1" x14ac:dyDescent="0.2">
      <c r="B821" s="150"/>
      <c r="C821" s="150"/>
      <c r="D821" s="150"/>
      <c r="E821" s="150"/>
      <c r="F821" s="150"/>
      <c r="G821" s="150"/>
    </row>
    <row r="822" spans="2:7" ht="15.75" customHeight="1" x14ac:dyDescent="0.2">
      <c r="B822" s="150"/>
      <c r="C822" s="150"/>
      <c r="D822" s="150"/>
      <c r="E822" s="150"/>
      <c r="F822" s="150"/>
      <c r="G822" s="150"/>
    </row>
    <row r="823" spans="2:7" ht="15.75" customHeight="1" x14ac:dyDescent="0.2">
      <c r="B823" s="150"/>
      <c r="C823" s="150"/>
      <c r="D823" s="150"/>
      <c r="E823" s="150"/>
      <c r="F823" s="150"/>
      <c r="G823" s="150"/>
    </row>
    <row r="824" spans="2:7" ht="15.75" customHeight="1" x14ac:dyDescent="0.2">
      <c r="B824" s="150"/>
      <c r="C824" s="150"/>
      <c r="D824" s="150"/>
      <c r="E824" s="150"/>
      <c r="F824" s="150"/>
      <c r="G824" s="150"/>
    </row>
    <row r="825" spans="2:7" ht="15.75" customHeight="1" x14ac:dyDescent="0.2">
      <c r="B825" s="150"/>
      <c r="C825" s="150"/>
      <c r="D825" s="150"/>
      <c r="E825" s="150"/>
      <c r="F825" s="150"/>
      <c r="G825" s="150"/>
    </row>
    <row r="826" spans="2:7" ht="15.75" customHeight="1" x14ac:dyDescent="0.2">
      <c r="B826" s="150"/>
      <c r="C826" s="150"/>
      <c r="D826" s="150"/>
      <c r="E826" s="150"/>
      <c r="F826" s="150"/>
      <c r="G826" s="150"/>
    </row>
    <row r="827" spans="2:7" ht="15.75" customHeight="1" x14ac:dyDescent="0.2">
      <c r="B827" s="150"/>
      <c r="C827" s="150"/>
      <c r="D827" s="150"/>
      <c r="E827" s="150"/>
      <c r="F827" s="150"/>
      <c r="G827" s="150"/>
    </row>
    <row r="828" spans="2:7" ht="15.75" customHeight="1" x14ac:dyDescent="0.2">
      <c r="B828" s="150"/>
      <c r="C828" s="150"/>
      <c r="D828" s="150"/>
      <c r="E828" s="150"/>
      <c r="F828" s="150"/>
      <c r="G828" s="150"/>
    </row>
    <row r="829" spans="2:7" ht="15.75" customHeight="1" x14ac:dyDescent="0.2">
      <c r="B829" s="150"/>
      <c r="C829" s="150"/>
      <c r="D829" s="150"/>
      <c r="E829" s="150"/>
      <c r="F829" s="150"/>
      <c r="G829" s="150"/>
    </row>
    <row r="830" spans="2:7" ht="15.75" customHeight="1" x14ac:dyDescent="0.2">
      <c r="B830" s="150"/>
      <c r="C830" s="150"/>
      <c r="D830" s="150"/>
      <c r="E830" s="150"/>
      <c r="F830" s="150"/>
      <c r="G830" s="150"/>
    </row>
    <row r="831" spans="2:7" ht="15.75" customHeight="1" x14ac:dyDescent="0.2">
      <c r="B831" s="150"/>
      <c r="C831" s="150"/>
      <c r="D831" s="150"/>
      <c r="E831" s="150"/>
      <c r="F831" s="150"/>
      <c r="G831" s="150"/>
    </row>
    <row r="832" spans="2:7" ht="15.75" customHeight="1" x14ac:dyDescent="0.2">
      <c r="B832" s="150"/>
      <c r="C832" s="150"/>
      <c r="D832" s="150"/>
      <c r="E832" s="150"/>
      <c r="F832" s="150"/>
      <c r="G832" s="150"/>
    </row>
    <row r="833" spans="2:7" ht="15.75" customHeight="1" x14ac:dyDescent="0.2">
      <c r="B833" s="150"/>
      <c r="C833" s="150"/>
      <c r="D833" s="150"/>
      <c r="E833" s="150"/>
      <c r="F833" s="150"/>
      <c r="G833" s="150"/>
    </row>
    <row r="834" spans="2:7" ht="15.75" customHeight="1" x14ac:dyDescent="0.2">
      <c r="B834" s="150"/>
      <c r="C834" s="150"/>
      <c r="D834" s="150"/>
      <c r="E834" s="150"/>
      <c r="F834" s="150"/>
      <c r="G834" s="150"/>
    </row>
    <row r="835" spans="2:7" ht="15.75" customHeight="1" x14ac:dyDescent="0.2">
      <c r="B835" s="150"/>
      <c r="C835" s="150"/>
      <c r="D835" s="150"/>
      <c r="E835" s="150"/>
      <c r="F835" s="150"/>
      <c r="G835" s="150"/>
    </row>
    <row r="836" spans="2:7" ht="15.75" customHeight="1" x14ac:dyDescent="0.2">
      <c r="B836" s="150"/>
      <c r="C836" s="150"/>
      <c r="D836" s="150"/>
      <c r="E836" s="150"/>
      <c r="F836" s="150"/>
      <c r="G836" s="150"/>
    </row>
    <row r="837" spans="2:7" ht="15.75" customHeight="1" x14ac:dyDescent="0.2">
      <c r="B837" s="150"/>
      <c r="C837" s="150"/>
      <c r="D837" s="150"/>
      <c r="E837" s="150"/>
      <c r="F837" s="150"/>
      <c r="G837" s="150"/>
    </row>
    <row r="838" spans="2:7" ht="15.75" customHeight="1" x14ac:dyDescent="0.2">
      <c r="B838" s="150"/>
      <c r="C838" s="150"/>
      <c r="D838" s="150"/>
      <c r="E838" s="150"/>
      <c r="F838" s="150"/>
      <c r="G838" s="150"/>
    </row>
    <row r="839" spans="2:7" ht="15.75" customHeight="1" x14ac:dyDescent="0.2">
      <c r="B839" s="150"/>
      <c r="C839" s="150"/>
      <c r="D839" s="150"/>
      <c r="E839" s="150"/>
      <c r="F839" s="150"/>
      <c r="G839" s="150"/>
    </row>
    <row r="840" spans="2:7" ht="15.75" customHeight="1" x14ac:dyDescent="0.2">
      <c r="B840" s="150"/>
      <c r="C840" s="150"/>
      <c r="D840" s="150"/>
      <c r="E840" s="150"/>
      <c r="F840" s="150"/>
      <c r="G840" s="150"/>
    </row>
    <row r="841" spans="2:7" ht="15.75" customHeight="1" x14ac:dyDescent="0.2">
      <c r="B841" s="150"/>
      <c r="C841" s="150"/>
      <c r="D841" s="150"/>
      <c r="E841" s="150"/>
      <c r="F841" s="150"/>
      <c r="G841" s="150"/>
    </row>
    <row r="842" spans="2:7" ht="15.75" customHeight="1" x14ac:dyDescent="0.2">
      <c r="B842" s="150"/>
      <c r="C842" s="150"/>
      <c r="D842" s="150"/>
      <c r="E842" s="150"/>
      <c r="F842" s="150"/>
      <c r="G842" s="150"/>
    </row>
    <row r="843" spans="2:7" ht="15.75" customHeight="1" x14ac:dyDescent="0.2">
      <c r="B843" s="150"/>
      <c r="C843" s="150"/>
      <c r="D843" s="150"/>
      <c r="E843" s="150"/>
      <c r="F843" s="150"/>
      <c r="G843" s="150"/>
    </row>
    <row r="844" spans="2:7" ht="15.75" customHeight="1" x14ac:dyDescent="0.2">
      <c r="B844" s="150"/>
      <c r="C844" s="150"/>
      <c r="D844" s="150"/>
      <c r="E844" s="150"/>
      <c r="F844" s="150"/>
      <c r="G844" s="150"/>
    </row>
    <row r="845" spans="2:7" ht="15.75" customHeight="1" x14ac:dyDescent="0.2">
      <c r="B845" s="150"/>
      <c r="C845" s="150"/>
      <c r="D845" s="150"/>
      <c r="E845" s="150"/>
      <c r="F845" s="150"/>
      <c r="G845" s="150"/>
    </row>
    <row r="846" spans="2:7" ht="15.75" customHeight="1" x14ac:dyDescent="0.2">
      <c r="B846" s="150"/>
      <c r="C846" s="150"/>
      <c r="D846" s="150"/>
      <c r="E846" s="150"/>
      <c r="F846" s="150"/>
      <c r="G846" s="150"/>
    </row>
    <row r="847" spans="2:7" ht="15.75" customHeight="1" x14ac:dyDescent="0.2">
      <c r="B847" s="150"/>
      <c r="C847" s="150"/>
      <c r="D847" s="150"/>
      <c r="E847" s="150"/>
      <c r="F847" s="150"/>
      <c r="G847" s="150"/>
    </row>
    <row r="848" spans="2:7" ht="15.75" customHeight="1" x14ac:dyDescent="0.2">
      <c r="B848" s="150"/>
      <c r="C848" s="150"/>
      <c r="D848" s="150"/>
      <c r="E848" s="150"/>
      <c r="F848" s="150"/>
      <c r="G848" s="150"/>
    </row>
    <row r="849" spans="2:7" ht="15.75" customHeight="1" x14ac:dyDescent="0.2">
      <c r="B849" s="150"/>
      <c r="C849" s="150"/>
      <c r="D849" s="150"/>
      <c r="E849" s="150"/>
      <c r="F849" s="150"/>
      <c r="G849" s="150"/>
    </row>
    <row r="850" spans="2:7" ht="15.75" customHeight="1" x14ac:dyDescent="0.2">
      <c r="B850" s="150"/>
      <c r="C850" s="150"/>
      <c r="D850" s="150"/>
      <c r="E850" s="150"/>
      <c r="F850" s="150"/>
      <c r="G850" s="150"/>
    </row>
    <row r="851" spans="2:7" ht="15.75" customHeight="1" x14ac:dyDescent="0.2">
      <c r="B851" s="150"/>
      <c r="C851" s="150"/>
      <c r="D851" s="150"/>
      <c r="E851" s="150"/>
      <c r="F851" s="150"/>
      <c r="G851" s="150"/>
    </row>
    <row r="852" spans="2:7" ht="15.75" customHeight="1" x14ac:dyDescent="0.2">
      <c r="B852" s="150"/>
      <c r="C852" s="150"/>
      <c r="D852" s="150"/>
      <c r="E852" s="150"/>
      <c r="F852" s="150"/>
      <c r="G852" s="150"/>
    </row>
    <row r="853" spans="2:7" ht="15.75" customHeight="1" x14ac:dyDescent="0.2">
      <c r="B853" s="150"/>
      <c r="C853" s="150"/>
      <c r="D853" s="150"/>
      <c r="E853" s="150"/>
      <c r="F853" s="150"/>
      <c r="G853" s="150"/>
    </row>
    <row r="854" spans="2:7" ht="15.75" customHeight="1" x14ac:dyDescent="0.2">
      <c r="B854" s="150"/>
      <c r="C854" s="150"/>
      <c r="D854" s="150"/>
      <c r="E854" s="150"/>
      <c r="F854" s="150"/>
      <c r="G854" s="150"/>
    </row>
    <row r="855" spans="2:7" ht="15.75" customHeight="1" x14ac:dyDescent="0.2">
      <c r="B855" s="150"/>
      <c r="C855" s="150"/>
      <c r="D855" s="150"/>
      <c r="E855" s="150"/>
      <c r="F855" s="150"/>
      <c r="G855" s="150"/>
    </row>
    <row r="856" spans="2:7" ht="15.75" customHeight="1" x14ac:dyDescent="0.2">
      <c r="B856" s="150"/>
      <c r="C856" s="150"/>
      <c r="D856" s="150"/>
      <c r="E856" s="150"/>
      <c r="F856" s="150"/>
      <c r="G856" s="150"/>
    </row>
    <row r="857" spans="2:7" ht="15.75" customHeight="1" x14ac:dyDescent="0.2">
      <c r="B857" s="150"/>
      <c r="C857" s="150"/>
      <c r="D857" s="150"/>
      <c r="E857" s="150"/>
      <c r="F857" s="150"/>
      <c r="G857" s="150"/>
    </row>
    <row r="858" spans="2:7" ht="15.75" customHeight="1" x14ac:dyDescent="0.2">
      <c r="B858" s="150"/>
      <c r="C858" s="150"/>
      <c r="D858" s="150"/>
      <c r="E858" s="150"/>
      <c r="F858" s="150"/>
      <c r="G858" s="150"/>
    </row>
    <row r="859" spans="2:7" ht="15.75" customHeight="1" x14ac:dyDescent="0.2">
      <c r="B859" s="150"/>
      <c r="C859" s="150"/>
      <c r="D859" s="150"/>
      <c r="E859" s="150"/>
      <c r="F859" s="150"/>
      <c r="G859" s="150"/>
    </row>
    <row r="860" spans="2:7" ht="15.75" customHeight="1" x14ac:dyDescent="0.2">
      <c r="B860" s="150"/>
      <c r="C860" s="150"/>
      <c r="D860" s="150"/>
      <c r="E860" s="150"/>
      <c r="F860" s="150"/>
      <c r="G860" s="150"/>
    </row>
    <row r="861" spans="2:7" ht="15.75" customHeight="1" x14ac:dyDescent="0.2">
      <c r="B861" s="150"/>
      <c r="C861" s="150"/>
      <c r="D861" s="150"/>
      <c r="E861" s="150"/>
      <c r="F861" s="150"/>
      <c r="G861" s="150"/>
    </row>
    <row r="862" spans="2:7" ht="15.75" customHeight="1" x14ac:dyDescent="0.2">
      <c r="B862" s="150"/>
      <c r="C862" s="150"/>
      <c r="D862" s="150"/>
      <c r="E862" s="150"/>
      <c r="F862" s="150"/>
      <c r="G862" s="150"/>
    </row>
    <row r="863" spans="2:7" ht="15.75" customHeight="1" x14ac:dyDescent="0.2">
      <c r="B863" s="150"/>
      <c r="C863" s="150"/>
      <c r="D863" s="150"/>
      <c r="E863" s="150"/>
      <c r="F863" s="150"/>
      <c r="G863" s="150"/>
    </row>
    <row r="864" spans="2:7" ht="15.75" customHeight="1" x14ac:dyDescent="0.2">
      <c r="B864" s="150"/>
      <c r="C864" s="150"/>
      <c r="D864" s="150"/>
      <c r="E864" s="150"/>
      <c r="F864" s="150"/>
      <c r="G864" s="150"/>
    </row>
    <row r="865" spans="2:7" ht="15.75" customHeight="1" x14ac:dyDescent="0.2">
      <c r="B865" s="150"/>
      <c r="C865" s="150"/>
      <c r="D865" s="150"/>
      <c r="E865" s="150"/>
      <c r="F865" s="150"/>
      <c r="G865" s="150"/>
    </row>
    <row r="866" spans="2:7" ht="15.75" customHeight="1" x14ac:dyDescent="0.2">
      <c r="B866" s="150"/>
      <c r="C866" s="150"/>
      <c r="D866" s="150"/>
      <c r="E866" s="150"/>
      <c r="F866" s="150"/>
      <c r="G866" s="150"/>
    </row>
    <row r="867" spans="2:7" ht="15.75" customHeight="1" x14ac:dyDescent="0.2">
      <c r="B867" s="150"/>
      <c r="C867" s="150"/>
      <c r="D867" s="150"/>
      <c r="E867" s="150"/>
      <c r="F867" s="150"/>
      <c r="G867" s="150"/>
    </row>
    <row r="868" spans="2:7" ht="15.75" customHeight="1" x14ac:dyDescent="0.2">
      <c r="B868" s="150"/>
      <c r="C868" s="150"/>
      <c r="D868" s="150"/>
      <c r="E868" s="150"/>
      <c r="F868" s="150"/>
      <c r="G868" s="150"/>
    </row>
    <row r="869" spans="2:7" ht="15.75" customHeight="1" x14ac:dyDescent="0.2">
      <c r="B869" s="150"/>
      <c r="C869" s="150"/>
      <c r="D869" s="150"/>
      <c r="E869" s="150"/>
      <c r="F869" s="150"/>
      <c r="G869" s="150"/>
    </row>
    <row r="870" spans="2:7" ht="15.75" customHeight="1" x14ac:dyDescent="0.2">
      <c r="B870" s="150"/>
      <c r="C870" s="150"/>
      <c r="D870" s="150"/>
      <c r="E870" s="150"/>
      <c r="F870" s="150"/>
      <c r="G870" s="150"/>
    </row>
    <row r="871" spans="2:7" ht="15.75" customHeight="1" x14ac:dyDescent="0.2">
      <c r="B871" s="150"/>
      <c r="C871" s="150"/>
      <c r="D871" s="150"/>
      <c r="E871" s="150"/>
      <c r="F871" s="150"/>
      <c r="G871" s="150"/>
    </row>
    <row r="872" spans="2:7" ht="15.75" customHeight="1" x14ac:dyDescent="0.2">
      <c r="B872" s="150"/>
      <c r="C872" s="150"/>
      <c r="D872" s="150"/>
      <c r="E872" s="150"/>
      <c r="F872" s="150"/>
      <c r="G872" s="150"/>
    </row>
    <row r="873" spans="2:7" ht="15.75" customHeight="1" x14ac:dyDescent="0.2">
      <c r="B873" s="150"/>
      <c r="C873" s="150"/>
      <c r="D873" s="150"/>
      <c r="E873" s="150"/>
      <c r="F873" s="150"/>
      <c r="G873" s="150"/>
    </row>
    <row r="874" spans="2:7" ht="15.75" customHeight="1" x14ac:dyDescent="0.2">
      <c r="B874" s="150"/>
      <c r="C874" s="150"/>
      <c r="D874" s="150"/>
      <c r="E874" s="150"/>
      <c r="F874" s="150"/>
      <c r="G874" s="150"/>
    </row>
    <row r="875" spans="2:7" ht="15.75" customHeight="1" x14ac:dyDescent="0.2">
      <c r="B875" s="150"/>
      <c r="C875" s="150"/>
      <c r="D875" s="150"/>
      <c r="E875" s="150"/>
      <c r="F875" s="150"/>
      <c r="G875" s="150"/>
    </row>
    <row r="876" spans="2:7" ht="15.75" customHeight="1" x14ac:dyDescent="0.2">
      <c r="B876" s="150"/>
      <c r="C876" s="150"/>
      <c r="D876" s="150"/>
      <c r="E876" s="150"/>
      <c r="F876" s="150"/>
      <c r="G876" s="150"/>
    </row>
    <row r="877" spans="2:7" ht="15.75" customHeight="1" x14ac:dyDescent="0.2">
      <c r="B877" s="150"/>
      <c r="C877" s="150"/>
      <c r="D877" s="150"/>
      <c r="E877" s="150"/>
      <c r="F877" s="150"/>
      <c r="G877" s="150"/>
    </row>
    <row r="878" spans="2:7" ht="15.75" customHeight="1" x14ac:dyDescent="0.2">
      <c r="B878" s="150"/>
      <c r="C878" s="150"/>
      <c r="D878" s="150"/>
      <c r="E878" s="150"/>
      <c r="F878" s="150"/>
      <c r="G878" s="150"/>
    </row>
    <row r="879" spans="2:7" ht="15.75" customHeight="1" x14ac:dyDescent="0.2">
      <c r="B879" s="150"/>
      <c r="C879" s="150"/>
      <c r="D879" s="150"/>
      <c r="E879" s="150"/>
      <c r="F879" s="150"/>
      <c r="G879" s="150"/>
    </row>
    <row r="880" spans="2:7" ht="15.75" customHeight="1" x14ac:dyDescent="0.2">
      <c r="B880" s="150"/>
      <c r="C880" s="150"/>
      <c r="D880" s="150"/>
      <c r="E880" s="150"/>
      <c r="F880" s="150"/>
      <c r="G880" s="150"/>
    </row>
    <row r="881" spans="2:7" ht="15.75" customHeight="1" x14ac:dyDescent="0.2">
      <c r="B881" s="150"/>
      <c r="C881" s="150"/>
      <c r="D881" s="150"/>
      <c r="E881" s="150"/>
      <c r="F881" s="150"/>
      <c r="G881" s="150"/>
    </row>
    <row r="882" spans="2:7" ht="15.75" customHeight="1" x14ac:dyDescent="0.2">
      <c r="B882" s="150"/>
      <c r="C882" s="150"/>
      <c r="D882" s="150"/>
      <c r="E882" s="150"/>
      <c r="F882" s="150"/>
      <c r="G882" s="150"/>
    </row>
    <row r="883" spans="2:7" ht="15.75" customHeight="1" x14ac:dyDescent="0.2">
      <c r="B883" s="150"/>
      <c r="C883" s="150"/>
      <c r="D883" s="150"/>
      <c r="E883" s="150"/>
      <c r="F883" s="150"/>
      <c r="G883" s="150"/>
    </row>
    <row r="884" spans="2:7" ht="15.75" customHeight="1" x14ac:dyDescent="0.2">
      <c r="B884" s="150"/>
      <c r="C884" s="150"/>
      <c r="D884" s="150"/>
      <c r="E884" s="150"/>
      <c r="F884" s="150"/>
      <c r="G884" s="150"/>
    </row>
    <row r="885" spans="2:7" ht="15.75" customHeight="1" x14ac:dyDescent="0.2">
      <c r="B885" s="150"/>
      <c r="C885" s="150"/>
      <c r="D885" s="150"/>
      <c r="E885" s="150"/>
      <c r="F885" s="150"/>
      <c r="G885" s="150"/>
    </row>
    <row r="886" spans="2:7" ht="15.75" customHeight="1" x14ac:dyDescent="0.2">
      <c r="B886" s="150"/>
      <c r="C886" s="150"/>
      <c r="D886" s="150"/>
      <c r="E886" s="150"/>
      <c r="F886" s="150"/>
      <c r="G886" s="150"/>
    </row>
    <row r="887" spans="2:7" ht="15.75" customHeight="1" x14ac:dyDescent="0.2">
      <c r="B887" s="150"/>
      <c r="C887" s="150"/>
      <c r="D887" s="150"/>
      <c r="E887" s="150"/>
      <c r="F887" s="150"/>
      <c r="G887" s="150"/>
    </row>
    <row r="888" spans="2:7" ht="15.75" customHeight="1" x14ac:dyDescent="0.2">
      <c r="B888" s="150"/>
      <c r="C888" s="150"/>
      <c r="D888" s="150"/>
      <c r="E888" s="150"/>
      <c r="F888" s="150"/>
      <c r="G888" s="150"/>
    </row>
    <row r="889" spans="2:7" ht="15.75" customHeight="1" x14ac:dyDescent="0.2">
      <c r="B889" s="150"/>
      <c r="C889" s="150"/>
      <c r="D889" s="150"/>
      <c r="E889" s="150"/>
      <c r="F889" s="150"/>
      <c r="G889" s="150"/>
    </row>
    <row r="890" spans="2:7" ht="15.75" customHeight="1" x14ac:dyDescent="0.2">
      <c r="B890" s="150"/>
      <c r="C890" s="150"/>
      <c r="D890" s="150"/>
      <c r="E890" s="150"/>
      <c r="F890" s="150"/>
      <c r="G890" s="150"/>
    </row>
    <row r="891" spans="2:7" ht="15.75" customHeight="1" x14ac:dyDescent="0.2">
      <c r="B891" s="150"/>
      <c r="C891" s="150"/>
      <c r="D891" s="150"/>
      <c r="E891" s="150"/>
      <c r="F891" s="150"/>
      <c r="G891" s="150"/>
    </row>
    <row r="892" spans="2:7" ht="15.75" customHeight="1" x14ac:dyDescent="0.2">
      <c r="B892" s="150"/>
      <c r="C892" s="150"/>
      <c r="D892" s="150"/>
      <c r="E892" s="150"/>
      <c r="F892" s="150"/>
      <c r="G892" s="150"/>
    </row>
    <row r="893" spans="2:7" ht="15.75" customHeight="1" x14ac:dyDescent="0.2">
      <c r="B893" s="150"/>
      <c r="C893" s="150"/>
      <c r="D893" s="150"/>
      <c r="E893" s="150"/>
      <c r="F893" s="150"/>
      <c r="G893" s="150"/>
    </row>
    <row r="894" spans="2:7" ht="15.75" customHeight="1" x14ac:dyDescent="0.2">
      <c r="B894" s="150"/>
      <c r="C894" s="150"/>
      <c r="D894" s="150"/>
      <c r="E894" s="150"/>
      <c r="F894" s="150"/>
      <c r="G894" s="150"/>
    </row>
    <row r="895" spans="2:7" ht="15.75" customHeight="1" x14ac:dyDescent="0.2">
      <c r="B895" s="150"/>
      <c r="C895" s="150"/>
      <c r="D895" s="150"/>
      <c r="E895" s="150"/>
      <c r="F895" s="150"/>
      <c r="G895" s="150"/>
    </row>
    <row r="896" spans="2:7" ht="15.75" customHeight="1" x14ac:dyDescent="0.2">
      <c r="B896" s="150"/>
      <c r="C896" s="150"/>
      <c r="D896" s="150"/>
      <c r="E896" s="150"/>
      <c r="F896" s="150"/>
      <c r="G896" s="150"/>
    </row>
    <row r="897" spans="2:7" ht="15.75" customHeight="1" x14ac:dyDescent="0.2">
      <c r="B897" s="150"/>
      <c r="C897" s="150"/>
      <c r="D897" s="150"/>
      <c r="E897" s="150"/>
      <c r="F897" s="150"/>
      <c r="G897" s="150"/>
    </row>
    <row r="898" spans="2:7" ht="15.75" customHeight="1" x14ac:dyDescent="0.2">
      <c r="B898" s="150"/>
      <c r="C898" s="150"/>
      <c r="D898" s="150"/>
      <c r="E898" s="150"/>
      <c r="F898" s="150"/>
      <c r="G898" s="150"/>
    </row>
    <row r="899" spans="2:7" ht="15.75" customHeight="1" x14ac:dyDescent="0.2">
      <c r="B899" s="150"/>
      <c r="C899" s="150"/>
      <c r="D899" s="150"/>
      <c r="E899" s="150"/>
      <c r="F899" s="150"/>
      <c r="G899" s="150"/>
    </row>
    <row r="900" spans="2:7" ht="15.75" customHeight="1" x14ac:dyDescent="0.2">
      <c r="B900" s="150"/>
      <c r="C900" s="150"/>
      <c r="D900" s="150"/>
      <c r="E900" s="150"/>
      <c r="F900" s="150"/>
      <c r="G900" s="150"/>
    </row>
    <row r="901" spans="2:7" ht="15.75" customHeight="1" x14ac:dyDescent="0.2">
      <c r="B901" s="150"/>
      <c r="C901" s="150"/>
      <c r="D901" s="150"/>
      <c r="E901" s="150"/>
      <c r="F901" s="150"/>
      <c r="G901" s="150"/>
    </row>
    <row r="902" spans="2:7" ht="15.75" customHeight="1" x14ac:dyDescent="0.2">
      <c r="B902" s="150"/>
      <c r="C902" s="150"/>
      <c r="D902" s="150"/>
      <c r="E902" s="150"/>
      <c r="F902" s="150"/>
      <c r="G902" s="150"/>
    </row>
    <row r="903" spans="2:7" ht="15.75" customHeight="1" x14ac:dyDescent="0.2">
      <c r="B903" s="150"/>
      <c r="C903" s="150"/>
      <c r="D903" s="150"/>
      <c r="E903" s="150"/>
      <c r="F903" s="150"/>
      <c r="G903" s="150"/>
    </row>
    <row r="904" spans="2:7" ht="15.75" customHeight="1" x14ac:dyDescent="0.2">
      <c r="B904" s="150"/>
      <c r="C904" s="150"/>
      <c r="D904" s="150"/>
      <c r="E904" s="150"/>
      <c r="F904" s="150"/>
      <c r="G904" s="150"/>
    </row>
    <row r="905" spans="2:7" ht="15.75" customHeight="1" x14ac:dyDescent="0.2">
      <c r="B905" s="150"/>
      <c r="C905" s="150"/>
      <c r="D905" s="150"/>
      <c r="E905" s="150"/>
      <c r="F905" s="150"/>
      <c r="G905" s="150"/>
    </row>
    <row r="906" spans="2:7" ht="15.75" customHeight="1" x14ac:dyDescent="0.2">
      <c r="B906" s="150"/>
      <c r="C906" s="150"/>
      <c r="D906" s="150"/>
      <c r="E906" s="150"/>
      <c r="F906" s="150"/>
      <c r="G906" s="150"/>
    </row>
    <row r="907" spans="2:7" ht="15.75" customHeight="1" x14ac:dyDescent="0.2">
      <c r="B907" s="150"/>
      <c r="C907" s="150"/>
      <c r="D907" s="150"/>
      <c r="E907" s="150"/>
      <c r="F907" s="150"/>
      <c r="G907" s="150"/>
    </row>
    <row r="908" spans="2:7" ht="15.75" customHeight="1" x14ac:dyDescent="0.2">
      <c r="B908" s="150"/>
      <c r="C908" s="150"/>
      <c r="D908" s="150"/>
      <c r="E908" s="150"/>
      <c r="F908" s="150"/>
      <c r="G908" s="150"/>
    </row>
    <row r="909" spans="2:7" ht="15.75" customHeight="1" x14ac:dyDescent="0.2">
      <c r="B909" s="150"/>
      <c r="C909" s="150"/>
      <c r="D909" s="150"/>
      <c r="E909" s="150"/>
      <c r="F909" s="150"/>
      <c r="G909" s="150"/>
    </row>
    <row r="910" spans="2:7" ht="15.75" customHeight="1" x14ac:dyDescent="0.2">
      <c r="B910" s="150"/>
      <c r="C910" s="150"/>
      <c r="D910" s="150"/>
      <c r="E910" s="150"/>
      <c r="F910" s="150"/>
      <c r="G910" s="150"/>
    </row>
    <row r="911" spans="2:7" ht="15.75" customHeight="1" x14ac:dyDescent="0.2">
      <c r="B911" s="150"/>
      <c r="C911" s="150"/>
      <c r="D911" s="150"/>
      <c r="E911" s="150"/>
      <c r="F911" s="150"/>
      <c r="G911" s="150"/>
    </row>
    <row r="912" spans="2:7" ht="15.75" customHeight="1" x14ac:dyDescent="0.2">
      <c r="B912" s="150"/>
      <c r="C912" s="150"/>
      <c r="D912" s="150"/>
      <c r="E912" s="150"/>
      <c r="F912" s="150"/>
      <c r="G912" s="150"/>
    </row>
    <row r="913" spans="2:7" ht="15.75" customHeight="1" x14ac:dyDescent="0.2">
      <c r="B913" s="150"/>
      <c r="C913" s="150"/>
      <c r="D913" s="150"/>
      <c r="E913" s="150"/>
      <c r="F913" s="150"/>
      <c r="G913" s="150"/>
    </row>
    <row r="914" spans="2:7" ht="15.75" customHeight="1" x14ac:dyDescent="0.2">
      <c r="B914" s="150"/>
      <c r="C914" s="150"/>
      <c r="D914" s="150"/>
      <c r="E914" s="150"/>
      <c r="F914" s="150"/>
      <c r="G914" s="150"/>
    </row>
    <row r="915" spans="2:7" ht="15.75" customHeight="1" x14ac:dyDescent="0.2">
      <c r="B915" s="150"/>
      <c r="C915" s="150"/>
      <c r="D915" s="150"/>
      <c r="E915" s="150"/>
      <c r="F915" s="150"/>
      <c r="G915" s="150"/>
    </row>
    <row r="916" spans="2:7" ht="15.75" customHeight="1" x14ac:dyDescent="0.2">
      <c r="B916" s="150"/>
      <c r="C916" s="150"/>
      <c r="D916" s="150"/>
      <c r="E916" s="150"/>
      <c r="F916" s="150"/>
      <c r="G916" s="150"/>
    </row>
    <row r="917" spans="2:7" ht="15.75" customHeight="1" x14ac:dyDescent="0.2">
      <c r="B917" s="150"/>
      <c r="C917" s="150"/>
      <c r="D917" s="150"/>
      <c r="E917" s="150"/>
      <c r="F917" s="150"/>
      <c r="G917" s="150"/>
    </row>
    <row r="918" spans="2:7" ht="15.75" customHeight="1" x14ac:dyDescent="0.2">
      <c r="B918" s="150"/>
      <c r="C918" s="150"/>
      <c r="D918" s="150"/>
      <c r="E918" s="150"/>
      <c r="F918" s="150"/>
      <c r="G918" s="150"/>
    </row>
    <row r="919" spans="2:7" ht="15.75" customHeight="1" x14ac:dyDescent="0.2">
      <c r="B919" s="150"/>
      <c r="C919" s="150"/>
      <c r="D919" s="150"/>
      <c r="E919" s="150"/>
      <c r="F919" s="150"/>
      <c r="G919" s="150"/>
    </row>
    <row r="920" spans="2:7" ht="15.75" customHeight="1" x14ac:dyDescent="0.2">
      <c r="B920" s="150"/>
      <c r="C920" s="150"/>
      <c r="D920" s="150"/>
      <c r="E920" s="150"/>
      <c r="F920" s="150"/>
      <c r="G920" s="150"/>
    </row>
    <row r="921" spans="2:7" ht="15.75" customHeight="1" x14ac:dyDescent="0.2">
      <c r="B921" s="150"/>
      <c r="C921" s="150"/>
      <c r="D921" s="150"/>
      <c r="E921" s="150"/>
      <c r="F921" s="150"/>
      <c r="G921" s="150"/>
    </row>
    <row r="922" spans="2:7" ht="15.75" customHeight="1" x14ac:dyDescent="0.2">
      <c r="B922" s="150"/>
      <c r="C922" s="150"/>
      <c r="D922" s="150"/>
      <c r="E922" s="150"/>
      <c r="F922" s="150"/>
      <c r="G922" s="150"/>
    </row>
    <row r="923" spans="2:7" ht="15.75" customHeight="1" x14ac:dyDescent="0.2">
      <c r="B923" s="150"/>
      <c r="C923" s="150"/>
      <c r="D923" s="150"/>
      <c r="E923" s="150"/>
      <c r="F923" s="150"/>
      <c r="G923" s="150"/>
    </row>
    <row r="924" spans="2:7" ht="15.75" customHeight="1" x14ac:dyDescent="0.2">
      <c r="B924" s="150"/>
      <c r="C924" s="150"/>
      <c r="D924" s="150"/>
      <c r="E924" s="150"/>
      <c r="F924" s="150"/>
      <c r="G924" s="150"/>
    </row>
    <row r="925" spans="2:7" ht="15.75" customHeight="1" x14ac:dyDescent="0.2">
      <c r="B925" s="150"/>
      <c r="C925" s="150"/>
      <c r="D925" s="150"/>
      <c r="E925" s="150"/>
      <c r="F925" s="150"/>
      <c r="G925" s="150"/>
    </row>
    <row r="926" spans="2:7" ht="15.75" customHeight="1" x14ac:dyDescent="0.2">
      <c r="B926" s="150"/>
      <c r="C926" s="150"/>
      <c r="D926" s="150"/>
      <c r="E926" s="150"/>
      <c r="F926" s="150"/>
      <c r="G926" s="150"/>
    </row>
    <row r="927" spans="2:7" ht="15.75" customHeight="1" x14ac:dyDescent="0.2">
      <c r="B927" s="150"/>
      <c r="C927" s="150"/>
      <c r="D927" s="150"/>
      <c r="E927" s="150"/>
      <c r="F927" s="150"/>
      <c r="G927" s="150"/>
    </row>
    <row r="928" spans="2:7" ht="15.75" customHeight="1" x14ac:dyDescent="0.2">
      <c r="B928" s="150"/>
      <c r="C928" s="150"/>
      <c r="D928" s="150"/>
      <c r="E928" s="150"/>
      <c r="F928" s="150"/>
      <c r="G928" s="150"/>
    </row>
    <row r="929" spans="2:7" ht="15.75" customHeight="1" x14ac:dyDescent="0.2">
      <c r="B929" s="150"/>
      <c r="C929" s="150"/>
      <c r="D929" s="150"/>
      <c r="E929" s="150"/>
      <c r="F929" s="150"/>
      <c r="G929" s="150"/>
    </row>
    <row r="930" spans="2:7" ht="15.75" customHeight="1" x14ac:dyDescent="0.2">
      <c r="B930" s="150"/>
      <c r="C930" s="150"/>
      <c r="D930" s="150"/>
      <c r="E930" s="150"/>
      <c r="F930" s="150"/>
      <c r="G930" s="150"/>
    </row>
    <row r="931" spans="2:7" ht="15.75" customHeight="1" x14ac:dyDescent="0.2">
      <c r="B931" s="150"/>
      <c r="C931" s="150"/>
      <c r="D931" s="150"/>
      <c r="E931" s="150"/>
      <c r="F931" s="150"/>
      <c r="G931" s="150"/>
    </row>
    <row r="932" spans="2:7" ht="15.75" customHeight="1" x14ac:dyDescent="0.2">
      <c r="B932" s="150"/>
      <c r="C932" s="150"/>
      <c r="D932" s="150"/>
      <c r="E932" s="150"/>
      <c r="F932" s="150"/>
      <c r="G932" s="150"/>
    </row>
    <row r="933" spans="2:7" ht="15.75" customHeight="1" x14ac:dyDescent="0.2">
      <c r="B933" s="150"/>
      <c r="C933" s="150"/>
      <c r="D933" s="150"/>
      <c r="E933" s="150"/>
      <c r="F933" s="150"/>
      <c r="G933" s="150"/>
    </row>
    <row r="934" spans="2:7" ht="15.75" customHeight="1" x14ac:dyDescent="0.2">
      <c r="B934" s="150"/>
      <c r="C934" s="150"/>
      <c r="D934" s="150"/>
      <c r="E934" s="150"/>
      <c r="F934" s="150"/>
      <c r="G934" s="150"/>
    </row>
    <row r="935" spans="2:7" ht="15.75" customHeight="1" x14ac:dyDescent="0.2">
      <c r="B935" s="150"/>
      <c r="C935" s="150"/>
      <c r="D935" s="150"/>
      <c r="E935" s="150"/>
      <c r="F935" s="150"/>
      <c r="G935" s="150"/>
    </row>
    <row r="936" spans="2:7" ht="15.75" customHeight="1" x14ac:dyDescent="0.2">
      <c r="B936" s="150"/>
      <c r="C936" s="150"/>
      <c r="D936" s="150"/>
      <c r="E936" s="150"/>
      <c r="F936" s="150"/>
      <c r="G936" s="150"/>
    </row>
    <row r="937" spans="2:7" ht="15.75" customHeight="1" x14ac:dyDescent="0.2">
      <c r="B937" s="150"/>
      <c r="C937" s="150"/>
      <c r="D937" s="150"/>
      <c r="E937" s="150"/>
      <c r="F937" s="150"/>
      <c r="G937" s="150"/>
    </row>
    <row r="938" spans="2:7" ht="15.75" customHeight="1" x14ac:dyDescent="0.2">
      <c r="B938" s="150"/>
      <c r="C938" s="150"/>
      <c r="D938" s="150"/>
      <c r="E938" s="150"/>
      <c r="F938" s="150"/>
      <c r="G938" s="150"/>
    </row>
    <row r="939" spans="2:7" ht="15.75" customHeight="1" x14ac:dyDescent="0.2">
      <c r="B939" s="150"/>
      <c r="C939" s="150"/>
      <c r="D939" s="150"/>
      <c r="E939" s="150"/>
      <c r="F939" s="150"/>
      <c r="G939" s="150"/>
    </row>
    <row r="940" spans="2:7" ht="15.75" customHeight="1" x14ac:dyDescent="0.2">
      <c r="B940" s="150"/>
      <c r="C940" s="150"/>
      <c r="D940" s="150"/>
      <c r="E940" s="150"/>
      <c r="F940" s="150"/>
      <c r="G940" s="150"/>
    </row>
    <row r="941" spans="2:7" ht="15.75" customHeight="1" x14ac:dyDescent="0.2">
      <c r="B941" s="150"/>
      <c r="C941" s="150"/>
      <c r="D941" s="150"/>
      <c r="E941" s="150"/>
      <c r="F941" s="150"/>
      <c r="G941" s="150"/>
    </row>
    <row r="942" spans="2:7" ht="15.75" customHeight="1" x14ac:dyDescent="0.2">
      <c r="B942" s="150"/>
      <c r="C942" s="150"/>
      <c r="D942" s="150"/>
      <c r="E942" s="150"/>
      <c r="F942" s="150"/>
      <c r="G942" s="150"/>
    </row>
    <row r="943" spans="2:7" ht="15.75" customHeight="1" x14ac:dyDescent="0.2">
      <c r="B943" s="150"/>
      <c r="C943" s="150"/>
      <c r="D943" s="150"/>
      <c r="E943" s="150"/>
      <c r="F943" s="150"/>
      <c r="G943" s="150"/>
    </row>
    <row r="944" spans="2:7" ht="15.75" customHeight="1" x14ac:dyDescent="0.2">
      <c r="B944" s="150"/>
      <c r="C944" s="150"/>
      <c r="D944" s="150"/>
      <c r="E944" s="150"/>
      <c r="F944" s="150"/>
      <c r="G944" s="150"/>
    </row>
    <row r="945" spans="2:7" ht="15.75" customHeight="1" x14ac:dyDescent="0.2">
      <c r="B945" s="150"/>
      <c r="C945" s="150"/>
      <c r="D945" s="150"/>
      <c r="E945" s="150"/>
      <c r="F945" s="150"/>
      <c r="G945" s="150"/>
    </row>
    <row r="946" spans="2:7" ht="15.75" customHeight="1" x14ac:dyDescent="0.2">
      <c r="B946" s="150"/>
      <c r="C946" s="150"/>
      <c r="D946" s="150"/>
      <c r="E946" s="150"/>
      <c r="F946" s="150"/>
      <c r="G946" s="150"/>
    </row>
    <row r="947" spans="2:7" ht="15.75" customHeight="1" x14ac:dyDescent="0.2">
      <c r="B947" s="150"/>
      <c r="C947" s="150"/>
      <c r="D947" s="150"/>
      <c r="E947" s="150"/>
      <c r="F947" s="150"/>
      <c r="G947" s="150"/>
    </row>
    <row r="948" spans="2:7" ht="15.75" customHeight="1" x14ac:dyDescent="0.2">
      <c r="B948" s="150"/>
      <c r="C948" s="150"/>
      <c r="D948" s="150"/>
      <c r="E948" s="150"/>
      <c r="F948" s="150"/>
      <c r="G948" s="150"/>
    </row>
    <row r="949" spans="2:7" ht="15.75" customHeight="1" x14ac:dyDescent="0.2">
      <c r="B949" s="150"/>
      <c r="C949" s="150"/>
      <c r="D949" s="150"/>
      <c r="E949" s="150"/>
      <c r="F949" s="150"/>
      <c r="G949" s="150"/>
    </row>
    <row r="950" spans="2:7" ht="15.75" customHeight="1" x14ac:dyDescent="0.2">
      <c r="B950" s="150"/>
      <c r="C950" s="150"/>
      <c r="D950" s="150"/>
      <c r="E950" s="150"/>
      <c r="F950" s="150"/>
      <c r="G950" s="150"/>
    </row>
    <row r="951" spans="2:7" ht="15.75" customHeight="1" x14ac:dyDescent="0.2">
      <c r="B951" s="150"/>
      <c r="C951" s="150"/>
      <c r="D951" s="150"/>
      <c r="E951" s="150"/>
      <c r="F951" s="150"/>
      <c r="G951" s="150"/>
    </row>
    <row r="952" spans="2:7" ht="15.75" customHeight="1" x14ac:dyDescent="0.2">
      <c r="B952" s="150"/>
      <c r="C952" s="150"/>
      <c r="D952" s="150"/>
      <c r="E952" s="150"/>
      <c r="F952" s="150"/>
      <c r="G952" s="150"/>
    </row>
    <row r="953" spans="2:7" ht="15.75" customHeight="1" x14ac:dyDescent="0.2">
      <c r="B953" s="150"/>
      <c r="C953" s="150"/>
      <c r="D953" s="150"/>
      <c r="E953" s="150"/>
      <c r="F953" s="150"/>
      <c r="G953" s="150"/>
    </row>
    <row r="954" spans="2:7" ht="15.75" customHeight="1" x14ac:dyDescent="0.2">
      <c r="B954" s="150"/>
      <c r="C954" s="150"/>
      <c r="D954" s="150"/>
      <c r="E954" s="150"/>
      <c r="F954" s="150"/>
      <c r="G954" s="150"/>
    </row>
    <row r="955" spans="2:7" ht="15.75" customHeight="1" x14ac:dyDescent="0.2">
      <c r="B955" s="150"/>
      <c r="C955" s="150"/>
      <c r="D955" s="150"/>
      <c r="E955" s="150"/>
      <c r="F955" s="150"/>
      <c r="G955" s="150"/>
    </row>
    <row r="956" spans="2:7" ht="15.75" customHeight="1" x14ac:dyDescent="0.2">
      <c r="B956" s="150"/>
      <c r="C956" s="150"/>
      <c r="D956" s="150"/>
      <c r="E956" s="150"/>
      <c r="F956" s="150"/>
      <c r="G956" s="150"/>
    </row>
    <row r="957" spans="2:7" ht="15.75" customHeight="1" x14ac:dyDescent="0.2">
      <c r="B957" s="150"/>
      <c r="C957" s="150"/>
      <c r="D957" s="150"/>
      <c r="E957" s="150"/>
      <c r="F957" s="150"/>
      <c r="G957" s="150"/>
    </row>
    <row r="958" spans="2:7" ht="15.75" customHeight="1" x14ac:dyDescent="0.2">
      <c r="B958" s="150"/>
      <c r="C958" s="150"/>
      <c r="D958" s="150"/>
      <c r="E958" s="150"/>
      <c r="F958" s="150"/>
      <c r="G958" s="150"/>
    </row>
    <row r="959" spans="2:7" ht="15.75" customHeight="1" x14ac:dyDescent="0.2">
      <c r="B959" s="150"/>
      <c r="C959" s="150"/>
      <c r="D959" s="150"/>
      <c r="E959" s="150"/>
      <c r="F959" s="150"/>
      <c r="G959" s="150"/>
    </row>
    <row r="960" spans="2:7" ht="15.75" customHeight="1" x14ac:dyDescent="0.2">
      <c r="B960" s="150"/>
      <c r="C960" s="150"/>
      <c r="D960" s="150"/>
      <c r="E960" s="150"/>
      <c r="F960" s="150"/>
      <c r="G960" s="150"/>
    </row>
    <row r="961" spans="2:7" ht="15.75" customHeight="1" x14ac:dyDescent="0.2">
      <c r="B961" s="150"/>
      <c r="C961" s="150"/>
      <c r="D961" s="150"/>
      <c r="E961" s="150"/>
      <c r="F961" s="150"/>
      <c r="G961" s="150"/>
    </row>
    <row r="962" spans="2:7" ht="15.75" customHeight="1" x14ac:dyDescent="0.2">
      <c r="B962" s="150"/>
      <c r="C962" s="150"/>
      <c r="D962" s="150"/>
      <c r="E962" s="150"/>
      <c r="F962" s="150"/>
      <c r="G962" s="150"/>
    </row>
    <row r="963" spans="2:7" ht="15.75" customHeight="1" x14ac:dyDescent="0.2">
      <c r="B963" s="150"/>
      <c r="C963" s="150"/>
      <c r="D963" s="150"/>
      <c r="E963" s="150"/>
      <c r="F963" s="150"/>
      <c r="G963" s="150"/>
    </row>
    <row r="964" spans="2:7" ht="15.75" customHeight="1" x14ac:dyDescent="0.2">
      <c r="B964" s="150"/>
      <c r="C964" s="150"/>
      <c r="D964" s="150"/>
      <c r="E964" s="150"/>
      <c r="F964" s="150"/>
      <c r="G964" s="150"/>
    </row>
    <row r="965" spans="2:7" ht="15.75" customHeight="1" x14ac:dyDescent="0.2">
      <c r="B965" s="150"/>
      <c r="C965" s="150"/>
      <c r="D965" s="150"/>
      <c r="E965" s="150"/>
      <c r="F965" s="150"/>
      <c r="G965" s="150"/>
    </row>
    <row r="966" spans="2:7" ht="15.75" customHeight="1" x14ac:dyDescent="0.2">
      <c r="B966" s="150"/>
      <c r="C966" s="150"/>
      <c r="D966" s="150"/>
      <c r="E966" s="150"/>
      <c r="F966" s="150"/>
      <c r="G966" s="150"/>
    </row>
    <row r="967" spans="2:7" ht="15.75" customHeight="1" x14ac:dyDescent="0.2">
      <c r="B967" s="150"/>
      <c r="C967" s="150"/>
      <c r="D967" s="150"/>
      <c r="E967" s="150"/>
      <c r="F967" s="150"/>
      <c r="G967" s="150"/>
    </row>
    <row r="968" spans="2:7" ht="15.75" customHeight="1" x14ac:dyDescent="0.2">
      <c r="B968" s="150"/>
      <c r="C968" s="150"/>
      <c r="D968" s="150"/>
      <c r="E968" s="150"/>
      <c r="F968" s="150"/>
      <c r="G968" s="150"/>
    </row>
    <row r="969" spans="2:7" ht="15.75" customHeight="1" x14ac:dyDescent="0.2">
      <c r="B969" s="150"/>
      <c r="C969" s="150"/>
      <c r="D969" s="150"/>
      <c r="E969" s="150"/>
      <c r="F969" s="150"/>
      <c r="G969" s="150"/>
    </row>
    <row r="970" spans="2:7" ht="15.75" customHeight="1" x14ac:dyDescent="0.2">
      <c r="B970" s="150"/>
      <c r="C970" s="150"/>
      <c r="D970" s="150"/>
      <c r="E970" s="150"/>
      <c r="F970" s="150"/>
      <c r="G970" s="150"/>
    </row>
    <row r="971" spans="2:7" ht="15.75" customHeight="1" x14ac:dyDescent="0.2">
      <c r="B971" s="150"/>
      <c r="C971" s="150"/>
      <c r="D971" s="150"/>
      <c r="E971" s="150"/>
      <c r="F971" s="150"/>
      <c r="G971" s="150"/>
    </row>
    <row r="972" spans="2:7" ht="15.75" customHeight="1" x14ac:dyDescent="0.2">
      <c r="B972" s="150"/>
      <c r="C972" s="150"/>
      <c r="D972" s="150"/>
      <c r="E972" s="150"/>
      <c r="F972" s="150"/>
      <c r="G972" s="150"/>
    </row>
    <row r="973" spans="2:7" ht="15.75" customHeight="1" x14ac:dyDescent="0.2">
      <c r="B973" s="150"/>
      <c r="C973" s="150"/>
      <c r="D973" s="150"/>
      <c r="E973" s="150"/>
      <c r="F973" s="150"/>
      <c r="G973" s="150"/>
    </row>
    <row r="974" spans="2:7" ht="15.75" customHeight="1" x14ac:dyDescent="0.2">
      <c r="B974" s="150"/>
      <c r="C974" s="150"/>
      <c r="D974" s="150"/>
      <c r="E974" s="150"/>
      <c r="F974" s="150"/>
      <c r="G974" s="150"/>
    </row>
    <row r="975" spans="2:7" ht="15.75" customHeight="1" x14ac:dyDescent="0.2">
      <c r="B975" s="150"/>
      <c r="C975" s="150"/>
      <c r="D975" s="150"/>
      <c r="E975" s="150"/>
      <c r="F975" s="150"/>
      <c r="G975" s="150"/>
    </row>
    <row r="976" spans="2:7" ht="15.75" customHeight="1" x14ac:dyDescent="0.2">
      <c r="B976" s="150"/>
      <c r="C976" s="150"/>
      <c r="D976" s="150"/>
      <c r="E976" s="150"/>
      <c r="F976" s="150"/>
      <c r="G976" s="150"/>
    </row>
    <row r="977" spans="2:7" ht="15.75" customHeight="1" x14ac:dyDescent="0.2">
      <c r="B977" s="150"/>
      <c r="C977" s="150"/>
      <c r="D977" s="150"/>
      <c r="E977" s="150"/>
      <c r="F977" s="150"/>
      <c r="G977" s="150"/>
    </row>
    <row r="978" spans="2:7" ht="15.75" customHeight="1" x14ac:dyDescent="0.2">
      <c r="B978" s="150"/>
      <c r="C978" s="150"/>
      <c r="D978" s="150"/>
      <c r="E978" s="150"/>
      <c r="F978" s="150"/>
      <c r="G978" s="150"/>
    </row>
    <row r="979" spans="2:7" ht="15.75" customHeight="1" x14ac:dyDescent="0.2">
      <c r="B979" s="150"/>
      <c r="C979" s="150"/>
      <c r="D979" s="150"/>
      <c r="E979" s="150"/>
      <c r="F979" s="150"/>
      <c r="G979" s="150"/>
    </row>
    <row r="980" spans="2:7" ht="15.75" customHeight="1" x14ac:dyDescent="0.2">
      <c r="B980" s="150"/>
      <c r="C980" s="150"/>
      <c r="D980" s="150"/>
      <c r="E980" s="150"/>
      <c r="F980" s="150"/>
      <c r="G980" s="150"/>
    </row>
    <row r="981" spans="2:7" ht="15.75" customHeight="1" x14ac:dyDescent="0.2">
      <c r="B981" s="150"/>
      <c r="C981" s="150"/>
      <c r="D981" s="150"/>
      <c r="E981" s="150"/>
      <c r="F981" s="150"/>
      <c r="G981" s="150"/>
    </row>
    <row r="982" spans="2:7" ht="15.75" customHeight="1" x14ac:dyDescent="0.2">
      <c r="B982" s="150"/>
      <c r="C982" s="150"/>
      <c r="D982" s="150"/>
      <c r="E982" s="150"/>
      <c r="F982" s="150"/>
      <c r="G982" s="150"/>
    </row>
    <row r="983" spans="2:7" ht="15.75" customHeight="1" x14ac:dyDescent="0.2">
      <c r="B983" s="150"/>
      <c r="C983" s="150"/>
      <c r="D983" s="150"/>
      <c r="E983" s="150"/>
      <c r="F983" s="150"/>
      <c r="G983" s="150"/>
    </row>
    <row r="984" spans="2:7" ht="15.75" customHeight="1" x14ac:dyDescent="0.2">
      <c r="B984" s="150"/>
      <c r="C984" s="150"/>
      <c r="D984" s="150"/>
      <c r="E984" s="150"/>
      <c r="F984" s="150"/>
      <c r="G984" s="150"/>
    </row>
    <row r="985" spans="2:7" ht="15.75" customHeight="1" x14ac:dyDescent="0.2">
      <c r="B985" s="150"/>
      <c r="C985" s="150"/>
      <c r="D985" s="150"/>
      <c r="E985" s="150"/>
      <c r="F985" s="150"/>
      <c r="G985" s="150"/>
    </row>
    <row r="986" spans="2:7" ht="15.75" customHeight="1" x14ac:dyDescent="0.2">
      <c r="B986" s="150"/>
      <c r="C986" s="150"/>
      <c r="D986" s="150"/>
      <c r="E986" s="150"/>
      <c r="F986" s="150"/>
      <c r="G986" s="150"/>
    </row>
    <row r="987" spans="2:7" ht="15.75" customHeight="1" x14ac:dyDescent="0.2">
      <c r="B987" s="150"/>
      <c r="C987" s="150"/>
      <c r="D987" s="150"/>
      <c r="E987" s="150"/>
      <c r="F987" s="150"/>
      <c r="G987" s="150"/>
    </row>
    <row r="988" spans="2:7" ht="15.75" customHeight="1" x14ac:dyDescent="0.2">
      <c r="B988" s="150"/>
      <c r="C988" s="150"/>
      <c r="D988" s="150"/>
      <c r="E988" s="150"/>
      <c r="F988" s="150"/>
      <c r="G988" s="150"/>
    </row>
    <row r="989" spans="2:7" ht="15.75" customHeight="1" x14ac:dyDescent="0.2">
      <c r="B989" s="150"/>
      <c r="C989" s="150"/>
      <c r="D989" s="150"/>
      <c r="E989" s="150"/>
      <c r="F989" s="150"/>
      <c r="G989" s="150"/>
    </row>
    <row r="990" spans="2:7" ht="15.75" customHeight="1" x14ac:dyDescent="0.2">
      <c r="B990" s="150"/>
      <c r="C990" s="150"/>
      <c r="D990" s="150"/>
      <c r="E990" s="150"/>
      <c r="F990" s="150"/>
      <c r="G990" s="150"/>
    </row>
    <row r="991" spans="2:7" ht="15.75" customHeight="1" x14ac:dyDescent="0.2">
      <c r="B991" s="150"/>
      <c r="C991" s="150"/>
      <c r="D991" s="150"/>
      <c r="E991" s="150"/>
      <c r="F991" s="150"/>
      <c r="G991" s="150"/>
    </row>
    <row r="992" spans="2:7" ht="15.75" customHeight="1" x14ac:dyDescent="0.2">
      <c r="B992" s="150"/>
      <c r="C992" s="150"/>
      <c r="D992" s="150"/>
      <c r="E992" s="150"/>
      <c r="F992" s="150"/>
      <c r="G992" s="150"/>
    </row>
    <row r="993" spans="2:7" ht="15.75" customHeight="1" x14ac:dyDescent="0.2">
      <c r="B993" s="150"/>
      <c r="C993" s="150"/>
      <c r="D993" s="150"/>
      <c r="E993" s="150"/>
      <c r="F993" s="150"/>
      <c r="G993" s="150"/>
    </row>
    <row r="994" spans="2:7" ht="15.75" customHeight="1" x14ac:dyDescent="0.2">
      <c r="B994" s="150"/>
      <c r="C994" s="150"/>
      <c r="D994" s="150"/>
      <c r="E994" s="150"/>
      <c r="F994" s="150"/>
      <c r="G994" s="150"/>
    </row>
    <row r="995" spans="2:7" ht="15.75" customHeight="1" x14ac:dyDescent="0.2">
      <c r="B995" s="150"/>
      <c r="C995" s="150"/>
      <c r="D995" s="150"/>
      <c r="E995" s="150"/>
      <c r="F995" s="150"/>
      <c r="G995" s="150"/>
    </row>
    <row r="996" spans="2:7" ht="15.75" customHeight="1" x14ac:dyDescent="0.2">
      <c r="B996" s="150"/>
      <c r="C996" s="150"/>
      <c r="D996" s="150"/>
      <c r="E996" s="150"/>
      <c r="F996" s="150"/>
      <c r="G996" s="150"/>
    </row>
    <row r="997" spans="2:7" ht="15.75" customHeight="1" x14ac:dyDescent="0.2">
      <c r="B997" s="150"/>
      <c r="C997" s="150"/>
      <c r="D997" s="150"/>
      <c r="E997" s="150"/>
      <c r="F997" s="150"/>
      <c r="G997" s="150"/>
    </row>
    <row r="998" spans="2:7" ht="15.75" customHeight="1" x14ac:dyDescent="0.2">
      <c r="B998" s="150"/>
      <c r="C998" s="150"/>
      <c r="D998" s="150"/>
      <c r="E998" s="150"/>
      <c r="F998" s="150"/>
      <c r="G998" s="150"/>
    </row>
    <row r="999" spans="2:7" ht="15.75" customHeight="1" x14ac:dyDescent="0.2">
      <c r="B999" s="150"/>
      <c r="C999" s="150"/>
      <c r="D999" s="150"/>
      <c r="E999" s="150"/>
      <c r="F999" s="150"/>
      <c r="G999" s="150"/>
    </row>
    <row r="1000" spans="2:7" ht="15.75" customHeight="1" x14ac:dyDescent="0.2">
      <c r="B1000" s="150"/>
      <c r="C1000" s="150"/>
      <c r="D1000" s="150"/>
      <c r="E1000" s="150"/>
      <c r="F1000" s="150"/>
      <c r="G1000" s="150"/>
    </row>
  </sheetData>
  <conditionalFormatting sqref="B34:F34">
    <cfRule type="cellIs" dxfId="1" priority="2" operator="lessThan">
      <formula>B33</formula>
    </cfRule>
    <cfRule type="cellIs" dxfId="0" priority="3" operator="greaterThanOrEqual">
      <formula>B33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5:B1000"/>
  <sheetViews>
    <sheetView zoomScaleNormal="100" workbookViewId="0"/>
  </sheetViews>
  <sheetFormatPr baseColWidth="10" defaultColWidth="14.5" defaultRowHeight="15" customHeight="1" x14ac:dyDescent="0.2"/>
  <cols>
    <col min="1" max="1" width="10.6640625" customWidth="1"/>
    <col min="2" max="2" width="66.1640625" customWidth="1"/>
    <col min="3" max="26" width="10.6640625" customWidth="1"/>
  </cols>
  <sheetData>
    <row r="5" spans="2:2" ht="15" customHeight="1" x14ac:dyDescent="0.2">
      <c r="B5" s="121" t="s">
        <v>1187</v>
      </c>
    </row>
    <row r="6" spans="2:2" ht="15" customHeight="1" x14ac:dyDescent="0.2">
      <c r="B6" s="121" t="s">
        <v>1188</v>
      </c>
    </row>
    <row r="7" spans="2:2" ht="15" customHeight="1" x14ac:dyDescent="0.2">
      <c r="B7" s="121" t="s">
        <v>1189</v>
      </c>
    </row>
    <row r="8" spans="2:2" ht="15" customHeight="1" x14ac:dyDescent="0.2">
      <c r="B8" s="304" t="s">
        <v>1190</v>
      </c>
    </row>
    <row r="9" spans="2:2" ht="15" customHeight="1" x14ac:dyDescent="0.2">
      <c r="B9" s="121" t="s">
        <v>1191</v>
      </c>
    </row>
    <row r="10" spans="2:2" ht="15" customHeight="1" x14ac:dyDescent="0.2">
      <c r="B10" s="121" t="s">
        <v>1192</v>
      </c>
    </row>
    <row r="11" spans="2:2" ht="15" customHeight="1" x14ac:dyDescent="0.2">
      <c r="B11" s="121" t="s">
        <v>1193</v>
      </c>
    </row>
    <row r="12" spans="2:2" ht="15" customHeight="1" x14ac:dyDescent="0.2">
      <c r="B12" s="304" t="s">
        <v>1194</v>
      </c>
    </row>
    <row r="13" spans="2:2" ht="15" customHeight="1" x14ac:dyDescent="0.2">
      <c r="B13" s="121" t="s">
        <v>1195</v>
      </c>
    </row>
    <row r="14" spans="2:2" ht="15" customHeight="1" x14ac:dyDescent="0.2">
      <c r="B14" s="121" t="s">
        <v>1196</v>
      </c>
    </row>
    <row r="15" spans="2:2" ht="15" customHeight="1" x14ac:dyDescent="0.2">
      <c r="B15" s="304" t="s">
        <v>1197</v>
      </c>
    </row>
    <row r="16" spans="2:2" ht="15" customHeight="1" x14ac:dyDescent="0.2">
      <c r="B16" s="121" t="s">
        <v>1198</v>
      </c>
    </row>
    <row r="17" spans="2:2" ht="15" customHeight="1" x14ac:dyDescent="0.2">
      <c r="B17" s="121" t="s">
        <v>1199</v>
      </c>
    </row>
    <row r="18" spans="2:2" ht="15" customHeight="1" x14ac:dyDescent="0.2">
      <c r="B18" s="121" t="s">
        <v>1200</v>
      </c>
    </row>
    <row r="19" spans="2:2" ht="15" customHeight="1" x14ac:dyDescent="0.2">
      <c r="B19" s="121" t="s">
        <v>1201</v>
      </c>
    </row>
    <row r="20" spans="2:2" ht="15" customHeight="1" x14ac:dyDescent="0.2">
      <c r="B20" s="121" t="s">
        <v>1202</v>
      </c>
    </row>
    <row r="21" spans="2:2" ht="15" customHeight="1" x14ac:dyDescent="0.2">
      <c r="B21" s="121" t="s">
        <v>1203</v>
      </c>
    </row>
    <row r="22" spans="2:2" ht="15.75" customHeight="1" x14ac:dyDescent="0.2"/>
    <row r="23" spans="2:2" ht="15.75" customHeight="1" x14ac:dyDescent="0.2"/>
    <row r="24" spans="2:2" ht="15" customHeight="1" x14ac:dyDescent="0.2">
      <c r="B24" s="305" t="s">
        <v>1204</v>
      </c>
    </row>
    <row r="25" spans="2:2" ht="15" customHeight="1" x14ac:dyDescent="0.2">
      <c r="B25" s="305" t="s">
        <v>1205</v>
      </c>
    </row>
    <row r="26" spans="2:2" ht="15" customHeight="1" x14ac:dyDescent="0.2">
      <c r="B26" s="121" t="s">
        <v>1206</v>
      </c>
    </row>
    <row r="27" spans="2:2" ht="15" customHeight="1" x14ac:dyDescent="0.2">
      <c r="B27" s="121" t="s">
        <v>1207</v>
      </c>
    </row>
    <row r="28" spans="2:2" ht="15" customHeight="1" x14ac:dyDescent="0.2">
      <c r="B28" s="121" t="s">
        <v>1208</v>
      </c>
    </row>
    <row r="29" spans="2:2" ht="15" customHeight="1" x14ac:dyDescent="0.2">
      <c r="B29" s="121" t="s">
        <v>1209</v>
      </c>
    </row>
    <row r="30" spans="2:2" ht="15" customHeight="1" x14ac:dyDescent="0.2">
      <c r="B30" s="121" t="s">
        <v>1210</v>
      </c>
    </row>
    <row r="31" spans="2:2" ht="15" customHeight="1" x14ac:dyDescent="0.2">
      <c r="B31" s="121" t="s">
        <v>1211</v>
      </c>
    </row>
    <row r="32" spans="2:2" ht="15" customHeight="1" x14ac:dyDescent="0.2">
      <c r="B32" s="121" t="s">
        <v>1212</v>
      </c>
    </row>
    <row r="33" spans="2:2" ht="15" customHeight="1" x14ac:dyDescent="0.2">
      <c r="B33" s="121" t="s">
        <v>1213</v>
      </c>
    </row>
    <row r="34" spans="2:2" ht="15" customHeight="1" x14ac:dyDescent="0.2">
      <c r="B34" s="121" t="s">
        <v>1214</v>
      </c>
    </row>
    <row r="35" spans="2:2" ht="15.75" customHeight="1" x14ac:dyDescent="0.2"/>
    <row r="36" spans="2:2" ht="15.75" customHeight="1" x14ac:dyDescent="0.2"/>
    <row r="37" spans="2:2" ht="15" customHeight="1" x14ac:dyDescent="0.2">
      <c r="B37" s="121" t="s">
        <v>1215</v>
      </c>
    </row>
    <row r="38" spans="2:2" ht="15" customHeight="1" x14ac:dyDescent="0.2">
      <c r="B38" s="121" t="s">
        <v>1216</v>
      </c>
    </row>
    <row r="39" spans="2:2" ht="15" customHeight="1" x14ac:dyDescent="0.2">
      <c r="B39" s="121" t="s">
        <v>1217</v>
      </c>
    </row>
    <row r="40" spans="2:2" ht="15.75" customHeight="1" x14ac:dyDescent="0.2"/>
    <row r="41" spans="2:2" ht="15" customHeight="1" x14ac:dyDescent="0.2">
      <c r="B41" s="305" t="s">
        <v>1218</v>
      </c>
    </row>
    <row r="42" spans="2:2" ht="15" customHeight="1" x14ac:dyDescent="0.2">
      <c r="B42" s="121" t="s">
        <v>1219</v>
      </c>
    </row>
    <row r="43" spans="2:2" ht="15" customHeight="1" x14ac:dyDescent="0.2">
      <c r="B43" s="121" t="s">
        <v>1220</v>
      </c>
    </row>
    <row r="44" spans="2:2" ht="15" customHeight="1" x14ac:dyDescent="0.2">
      <c r="B44" s="121" t="s">
        <v>1221</v>
      </c>
    </row>
    <row r="45" spans="2:2" ht="15" customHeight="1" x14ac:dyDescent="0.2">
      <c r="B45" s="306" t="s">
        <v>1222</v>
      </c>
    </row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00_DASHBOARD</vt:lpstr>
      <vt:lpstr>01_PANEL_CONTROL</vt:lpstr>
      <vt:lpstr>02_COMPARATIVA_LENDAR</vt:lpstr>
      <vt:lpstr>03_CASCADA_FLUJO_5Y</vt:lpstr>
      <vt:lpstr>04_INGRESOS_TCMC</vt:lpstr>
      <vt:lpstr>05_SENSIBILIDADES</vt:lpstr>
      <vt:lpstr>SUPUESTOS</vt:lpstr>
      <vt:lpstr>FLUJO 5 AÑOS (5Y)</vt:lpstr>
      <vt:lpstr>RESULTADOS ASESOR TCMC (5Y)</vt:lpstr>
      <vt:lpstr>FLUJO 11 AÑOS</vt:lpstr>
      <vt:lpstr>CUOTAS TOMADOR</vt:lpstr>
      <vt:lpstr>RESULTADOS ASESOR TCMC</vt:lpstr>
      <vt:lpstr>TCA</vt:lpstr>
      <vt:lpstr>TODO LIST</vt:lpstr>
      <vt:lpstr>Copia de FLUJO 5 AÑOS (5Y)</vt:lpstr>
      <vt:lpstr>Datos 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Benegas</cp:lastModifiedBy>
  <cp:revision>0</cp:revision>
  <dcterms:created xsi:type="dcterms:W3CDTF">2026-03-13T18:09:47Z</dcterms:created>
  <dcterms:modified xsi:type="dcterms:W3CDTF">2026-05-11T23:19:37Z</dcterms:modified>
  <dc:language>en-US</dc:language>
</cp:coreProperties>
</file>