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franciscobenegas/Desktop/CLAUDE/TCMC/ORDENANDO NUMEROS/"/>
    </mc:Choice>
  </mc:AlternateContent>
  <xr:revisionPtr revIDLastSave="0" documentId="13_ncr:1_{375EE073-8F21-2041-9940-91A3485274FC}" xr6:coauthVersionLast="47" xr6:coauthVersionMax="47" xr10:uidLastSave="{00000000-0000-0000-0000-000000000000}"/>
  <bookViews>
    <workbookView xWindow="0" yWindow="600" windowWidth="33600" windowHeight="20400" activeTab="3" xr2:uid="{00000000-000D-0000-FFFF-FFFF00000000}"/>
  </bookViews>
  <sheets>
    <sheet name="TCA" sheetId="1" r:id="rId1"/>
    <sheet name="TODO LIST" sheetId="2" r:id="rId2"/>
    <sheet name="SUPUESTOS" sheetId="3" r:id="rId3"/>
    <sheet name="FLUJO 5 AÑOS (5Y)" sheetId="4" r:id="rId4"/>
    <sheet name="Copia de FLUJO 5 AÑOS (5Y)" sheetId="5" r:id="rId5"/>
    <sheet name="RESULTADOS ASESOR TCMC (5Y)" sheetId="6" r:id="rId6"/>
    <sheet name="FLUJO 11 AÑOS" sheetId="7" r:id="rId7"/>
    <sheet name="CUOTAS TOMADOR" sheetId="8" r:id="rId8"/>
    <sheet name="RESULTADOS ASESOR TCMC" sheetId="9" r:id="rId9"/>
    <sheet name="Datos extra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9NrNEr+O9V+aFacLDDeMdBml/R0CVhN+brmdN9Np8VI="/>
    </ext>
  </extLst>
</workbook>
</file>

<file path=xl/calcChain.xml><?xml version="1.0" encoding="utf-8"?>
<calcChain xmlns="http://schemas.openxmlformats.org/spreadsheetml/2006/main">
  <c r="F36" i="4" l="1"/>
  <c r="E36" i="4"/>
  <c r="D36" i="4"/>
  <c r="C36" i="4"/>
  <c r="B36" i="4"/>
  <c r="A36" i="4"/>
  <c r="B48" i="9"/>
  <c r="L29" i="9"/>
  <c r="H50" i="8"/>
  <c r="H49" i="8"/>
  <c r="H39" i="8"/>
  <c r="H38" i="8"/>
  <c r="H28" i="8"/>
  <c r="H27" i="8"/>
  <c r="Q18" i="8"/>
  <c r="H17" i="8"/>
  <c r="H16" i="8"/>
  <c r="H6" i="8"/>
  <c r="H5" i="8"/>
  <c r="K77" i="7"/>
  <c r="J77" i="7"/>
  <c r="I77" i="7"/>
  <c r="H77" i="7"/>
  <c r="G77" i="7"/>
  <c r="F77" i="7"/>
  <c r="E77" i="7"/>
  <c r="D77" i="7"/>
  <c r="C77" i="7"/>
  <c r="B77" i="7"/>
  <c r="L55" i="7"/>
  <c r="B44" i="7"/>
  <c r="M42" i="7"/>
  <c r="L38" i="7"/>
  <c r="C34" i="7"/>
  <c r="B34" i="7"/>
  <c r="L29" i="7"/>
  <c r="K29" i="7"/>
  <c r="J29" i="7"/>
  <c r="I29" i="7"/>
  <c r="H29" i="7"/>
  <c r="G29" i="7"/>
  <c r="F29" i="7"/>
  <c r="E29" i="7"/>
  <c r="D29" i="7"/>
  <c r="C29" i="7"/>
  <c r="B29" i="7"/>
  <c r="L28" i="7"/>
  <c r="K28" i="7"/>
  <c r="J28" i="7"/>
  <c r="I28" i="7"/>
  <c r="H28" i="7"/>
  <c r="G28" i="7"/>
  <c r="F28" i="7"/>
  <c r="E28" i="7"/>
  <c r="M28" i="7" s="1"/>
  <c r="D28" i="7"/>
  <c r="C28" i="7"/>
  <c r="B28" i="7"/>
  <c r="B26" i="7"/>
  <c r="B7" i="9" s="1"/>
  <c r="B24" i="7"/>
  <c r="B14" i="7"/>
  <c r="B31" i="7" s="1"/>
  <c r="L8" i="7"/>
  <c r="B5" i="7"/>
  <c r="B48" i="6"/>
  <c r="F77" i="5"/>
  <c r="E77" i="5"/>
  <c r="D77" i="5"/>
  <c r="C77" i="5"/>
  <c r="B77" i="5"/>
  <c r="B44" i="5"/>
  <c r="B25" i="5" s="1"/>
  <c r="G42" i="5"/>
  <c r="E34" i="5"/>
  <c r="D34" i="5"/>
  <c r="C34" i="5"/>
  <c r="B34" i="5"/>
  <c r="G29" i="5"/>
  <c r="F29" i="5"/>
  <c r="E29" i="5"/>
  <c r="D29" i="5"/>
  <c r="C29" i="5"/>
  <c r="B29" i="5"/>
  <c r="F28" i="5"/>
  <c r="E28" i="5"/>
  <c r="D28" i="5"/>
  <c r="C28" i="5"/>
  <c r="B28" i="5"/>
  <c r="C14" i="5"/>
  <c r="C31" i="5" s="1"/>
  <c r="B14" i="5"/>
  <c r="B31" i="5" s="1"/>
  <c r="F8" i="5"/>
  <c r="F80" i="4"/>
  <c r="E80" i="4"/>
  <c r="D80" i="4"/>
  <c r="C80" i="4"/>
  <c r="B80" i="4"/>
  <c r="B77" i="4"/>
  <c r="B47" i="4"/>
  <c r="G45" i="4"/>
  <c r="E34" i="4"/>
  <c r="D34" i="4"/>
  <c r="C34" i="4"/>
  <c r="B34" i="4"/>
  <c r="F29" i="4"/>
  <c r="E29" i="4"/>
  <c r="D29" i="4"/>
  <c r="C29" i="4"/>
  <c r="B29" i="4"/>
  <c r="G29" i="4" s="1"/>
  <c r="F28" i="4"/>
  <c r="E28" i="4"/>
  <c r="D28" i="4"/>
  <c r="C28" i="4"/>
  <c r="B28" i="4"/>
  <c r="G28" i="4" s="1"/>
  <c r="B26" i="4"/>
  <c r="B25" i="4"/>
  <c r="B24" i="4"/>
  <c r="B14" i="4"/>
  <c r="B31" i="4" s="1"/>
  <c r="F8" i="4"/>
  <c r="B74" i="3"/>
  <c r="B75" i="3" s="1"/>
  <c r="E46" i="3"/>
  <c r="B21" i="3"/>
  <c r="B24" i="3" s="1"/>
  <c r="C24" i="3" s="1"/>
  <c r="B20" i="3"/>
  <c r="B22" i="3" s="1"/>
  <c r="B6" i="7" s="1"/>
  <c r="B8" i="7" s="1"/>
  <c r="G18" i="3"/>
  <c r="G17" i="3"/>
  <c r="G16" i="3"/>
  <c r="G15" i="3"/>
  <c r="G14" i="3"/>
  <c r="G19" i="3" s="1"/>
  <c r="G20" i="3" s="1"/>
  <c r="B71" i="5" l="1"/>
  <c r="B24" i="5"/>
  <c r="B74" i="5"/>
  <c r="B5" i="5"/>
  <c r="C14" i="4"/>
  <c r="C31" i="4" s="1"/>
  <c r="B7" i="6"/>
  <c r="B6" i="6"/>
  <c r="B5" i="4"/>
  <c r="B74" i="4"/>
  <c r="B26" i="5"/>
  <c r="G28" i="5"/>
  <c r="M29" i="7"/>
  <c r="B16" i="7"/>
  <c r="B9" i="7"/>
  <c r="B15" i="7"/>
  <c r="B10" i="7"/>
  <c r="B19" i="7"/>
  <c r="B6" i="9"/>
  <c r="B25" i="7"/>
  <c r="B71" i="7"/>
  <c r="B74" i="7"/>
  <c r="C14" i="7"/>
  <c r="B23" i="9" l="1"/>
  <c r="B20" i="7"/>
  <c r="B27" i="7"/>
  <c r="B11" i="7"/>
  <c r="D15" i="8"/>
  <c r="D16" i="8" s="1"/>
  <c r="D37" i="8"/>
  <c r="D38" i="8" s="1"/>
  <c r="D4" i="8"/>
  <c r="D5" i="8" s="1"/>
  <c r="D48" i="8"/>
  <c r="D49" i="8" s="1"/>
  <c r="D26" i="8"/>
  <c r="D27" i="8" s="1"/>
  <c r="B6" i="4"/>
  <c r="B15" i="4"/>
  <c r="B16" i="4"/>
  <c r="B76" i="7"/>
  <c r="B16" i="5"/>
  <c r="B6" i="5"/>
  <c r="B8" i="5" s="1"/>
  <c r="B10" i="5" s="1"/>
  <c r="B19" i="5"/>
  <c r="B15" i="5"/>
  <c r="C31" i="7"/>
  <c r="D14" i="7"/>
  <c r="B32" i="9"/>
  <c r="B76" i="5"/>
  <c r="B21" i="7"/>
  <c r="B79" i="4"/>
  <c r="B20" i="5" l="1"/>
  <c r="B27" i="5"/>
  <c r="X4" i="8"/>
  <c r="D17" i="8"/>
  <c r="H15" i="8"/>
  <c r="H18" i="8" s="1"/>
  <c r="B81" i="4"/>
  <c r="B41" i="4"/>
  <c r="B83" i="4"/>
  <c r="B80" i="7"/>
  <c r="B38" i="7"/>
  <c r="B78" i="7"/>
  <c r="B79" i="7" s="1"/>
  <c r="B8" i="9"/>
  <c r="B13" i="9"/>
  <c r="D50" i="8"/>
  <c r="H48" i="8"/>
  <c r="H51" i="8" s="1"/>
  <c r="X7" i="8"/>
  <c r="B25" i="9"/>
  <c r="B24" i="9"/>
  <c r="B26" i="9"/>
  <c r="W10" i="8"/>
  <c r="B8" i="4"/>
  <c r="B10" i="4" s="1"/>
  <c r="B32" i="7"/>
  <c r="B36" i="7" s="1"/>
  <c r="X3" i="8"/>
  <c r="D6" i="8"/>
  <c r="H4" i="8"/>
  <c r="B17" i="9"/>
  <c r="B21" i="5"/>
  <c r="D28" i="8"/>
  <c r="H26" i="8"/>
  <c r="H29" i="8" s="1"/>
  <c r="X5" i="8"/>
  <c r="B30" i="7"/>
  <c r="D31" i="7"/>
  <c r="E14" i="7"/>
  <c r="B9" i="5"/>
  <c r="B38" i="5"/>
  <c r="B78" i="5"/>
  <c r="B80" i="5"/>
  <c r="H37" i="8"/>
  <c r="H40" i="8" s="1"/>
  <c r="D39" i="8"/>
  <c r="X6" i="8"/>
  <c r="B39" i="7" l="1"/>
  <c r="B45" i="7"/>
  <c r="C44" i="7" s="1"/>
  <c r="B37" i="7"/>
  <c r="B55" i="7"/>
  <c r="D30" i="8"/>
  <c r="D29" i="8" s="1"/>
  <c r="W7" i="8"/>
  <c r="H53" i="8"/>
  <c r="H54" i="8" s="1"/>
  <c r="H55" i="8" s="1"/>
  <c r="D41" i="8"/>
  <c r="D40" i="8"/>
  <c r="B23" i="6"/>
  <c r="B27" i="4"/>
  <c r="B20" i="4"/>
  <c r="F14" i="7"/>
  <c r="E31" i="7"/>
  <c r="B29" i="9"/>
  <c r="D19" i="8"/>
  <c r="D18" i="8"/>
  <c r="B27" i="9"/>
  <c r="B28" i="9"/>
  <c r="B29" i="6"/>
  <c r="D52" i="8"/>
  <c r="D51" i="8" s="1"/>
  <c r="W6" i="8"/>
  <c r="H42" i="8"/>
  <c r="H43" i="8" s="1"/>
  <c r="H44" i="8" s="1"/>
  <c r="W4" i="8"/>
  <c r="H20" i="8"/>
  <c r="H21" i="8" s="1"/>
  <c r="H22" i="8" s="1"/>
  <c r="P3" i="8"/>
  <c r="H7" i="8"/>
  <c r="B14" i="9"/>
  <c r="B79" i="5"/>
  <c r="D8" i="8"/>
  <c r="D7" i="8"/>
  <c r="X8" i="8"/>
  <c r="B10" i="9"/>
  <c r="B9" i="9"/>
  <c r="B30" i="9" s="1"/>
  <c r="B82" i="4"/>
  <c r="H31" i="8"/>
  <c r="H32" i="8" s="1"/>
  <c r="H33" i="8" s="1"/>
  <c r="W5" i="8"/>
  <c r="B9" i="4"/>
  <c r="B30" i="5"/>
  <c r="B32" i="5" s="1"/>
  <c r="B36" i="5" l="1"/>
  <c r="B31" i="9"/>
  <c r="B30" i="4"/>
  <c r="B8" i="6"/>
  <c r="B32" i="4"/>
  <c r="B17" i="6"/>
  <c r="B32" i="6"/>
  <c r="B55" i="5"/>
  <c r="B16" i="9"/>
  <c r="B19" i="9" s="1"/>
  <c r="C15" i="9" s="1"/>
  <c r="B33" i="7"/>
  <c r="B24" i="6"/>
  <c r="B25" i="6"/>
  <c r="B26" i="6"/>
  <c r="B57" i="7"/>
  <c r="B19" i="4"/>
  <c r="C71" i="7"/>
  <c r="C5" i="7"/>
  <c r="C6" i="9"/>
  <c r="C74" i="7"/>
  <c r="C26" i="7"/>
  <c r="C25" i="7"/>
  <c r="C24" i="7"/>
  <c r="S10" i="8"/>
  <c r="S6" i="8"/>
  <c r="H9" i="8"/>
  <c r="H10" i="8" s="1"/>
  <c r="H11" i="8" s="1"/>
  <c r="S3" i="8"/>
  <c r="S13" i="8"/>
  <c r="S8" i="8"/>
  <c r="S9" i="8"/>
  <c r="W3" i="8"/>
  <c r="W8" i="8" s="1"/>
  <c r="W9" i="8" s="1"/>
  <c r="S11" i="8"/>
  <c r="S7" i="8"/>
  <c r="S14" i="8"/>
  <c r="S4" i="8"/>
  <c r="S12" i="8"/>
  <c r="S5" i="8"/>
  <c r="Q3" i="8"/>
  <c r="B58" i="4"/>
  <c r="F31" i="7"/>
  <c r="G14" i="7"/>
  <c r="B27" i="6" l="1"/>
  <c r="B28" i="6"/>
  <c r="B57" i="5"/>
  <c r="C6" i="7"/>
  <c r="C8" i="7" s="1"/>
  <c r="C10" i="7" s="1"/>
  <c r="C15" i="7"/>
  <c r="C16" i="7"/>
  <c r="C19" i="7"/>
  <c r="C76" i="7"/>
  <c r="B60" i="4"/>
  <c r="B21" i="4"/>
  <c r="B39" i="5"/>
  <c r="B45" i="5"/>
  <c r="C44" i="5" s="1"/>
  <c r="B37" i="5"/>
  <c r="H14" i="7"/>
  <c r="G31" i="7"/>
  <c r="S15" i="8"/>
  <c r="R3" i="8"/>
  <c r="C7" i="9"/>
  <c r="B61" i="7"/>
  <c r="B58" i="7"/>
  <c r="B9" i="6"/>
  <c r="B30" i="6" l="1"/>
  <c r="B61" i="4"/>
  <c r="B64" i="4"/>
  <c r="B61" i="5"/>
  <c r="B58" i="5"/>
  <c r="C9" i="7"/>
  <c r="H31" i="7"/>
  <c r="I14" i="7"/>
  <c r="B13" i="6"/>
  <c r="B39" i="4"/>
  <c r="C78" i="7"/>
  <c r="C79" i="7"/>
  <c r="C80" i="7"/>
  <c r="C38" i="7"/>
  <c r="C23" i="9"/>
  <c r="C20" i="7"/>
  <c r="C11" i="7"/>
  <c r="C27" i="7"/>
  <c r="C71" i="5"/>
  <c r="C24" i="5"/>
  <c r="C26" i="5"/>
  <c r="C74" i="5"/>
  <c r="C5" i="5"/>
  <c r="C25" i="5"/>
  <c r="T3" i="8"/>
  <c r="P4" i="8" s="1"/>
  <c r="C55" i="7" l="1"/>
  <c r="C30" i="7"/>
  <c r="C29" i="9"/>
  <c r="Q4" i="8"/>
  <c r="C25" i="9"/>
  <c r="C24" i="9"/>
  <c r="C26" i="9"/>
  <c r="B42" i="4"/>
  <c r="B40" i="4"/>
  <c r="B48" i="4"/>
  <c r="C76" i="5"/>
  <c r="B14" i="6"/>
  <c r="C21" i="7"/>
  <c r="C15" i="5"/>
  <c r="C16" i="5"/>
  <c r="C19" i="5"/>
  <c r="C6" i="5"/>
  <c r="C8" i="5" s="1"/>
  <c r="C10" i="5" s="1"/>
  <c r="I31" i="7"/>
  <c r="J14" i="7"/>
  <c r="C8" i="9"/>
  <c r="C17" i="9"/>
  <c r="C32" i="9"/>
  <c r="B31" i="6"/>
  <c r="C27" i="9" l="1"/>
  <c r="C28" i="9"/>
  <c r="C10" i="9"/>
  <c r="C9" i="9"/>
  <c r="C30" i="9" s="1"/>
  <c r="C21" i="5"/>
  <c r="K14" i="7"/>
  <c r="J31" i="7"/>
  <c r="C78" i="5"/>
  <c r="C38" i="5"/>
  <c r="C79" i="5"/>
  <c r="C80" i="5"/>
  <c r="B16" i="6"/>
  <c r="B19" i="6" s="1"/>
  <c r="C15" i="6" s="1"/>
  <c r="B33" i="4"/>
  <c r="B33" i="5"/>
  <c r="C20" i="5"/>
  <c r="C27" i="5"/>
  <c r="C13" i="9"/>
  <c r="C36" i="7"/>
  <c r="C5" i="4"/>
  <c r="C57" i="7"/>
  <c r="C9" i="5"/>
  <c r="C47" i="4"/>
  <c r="B35" i="4"/>
  <c r="R4" i="8"/>
  <c r="C32" i="7"/>
  <c r="C61" i="7" l="1"/>
  <c r="C58" i="7"/>
  <c r="C15" i="4"/>
  <c r="C9" i="4"/>
  <c r="C16" i="4"/>
  <c r="C6" i="4"/>
  <c r="C8" i="4" s="1"/>
  <c r="C10" i="4" s="1"/>
  <c r="C30" i="5"/>
  <c r="C55" i="5"/>
  <c r="C31" i="9"/>
  <c r="C39" i="7"/>
  <c r="C37" i="7"/>
  <c r="C45" i="7"/>
  <c r="D44" i="7" s="1"/>
  <c r="C14" i="9"/>
  <c r="L14" i="7"/>
  <c r="K31" i="7"/>
  <c r="C6" i="6"/>
  <c r="C26" i="4"/>
  <c r="C24" i="4"/>
  <c r="C74" i="4"/>
  <c r="C25" i="4"/>
  <c r="C77" i="4"/>
  <c r="T4" i="8"/>
  <c r="P5" i="8" s="1"/>
  <c r="C33" i="7" l="1"/>
  <c r="C16" i="9"/>
  <c r="C19" i="9" s="1"/>
  <c r="D15" i="9" s="1"/>
  <c r="Q5" i="8"/>
  <c r="C7" i="6"/>
  <c r="C57" i="5"/>
  <c r="C20" i="4"/>
  <c r="C27" i="4"/>
  <c r="C23" i="6"/>
  <c r="D6" i="9"/>
  <c r="D26" i="7"/>
  <c r="D24" i="7"/>
  <c r="D74" i="7"/>
  <c r="D71" i="7"/>
  <c r="D25" i="7"/>
  <c r="D5" i="7"/>
  <c r="C32" i="5"/>
  <c r="L31" i="7"/>
  <c r="M31" i="7" s="1"/>
  <c r="L51" i="7"/>
  <c r="C79" i="4"/>
  <c r="C19" i="4"/>
  <c r="C8" i="6" l="1"/>
  <c r="C17" i="6"/>
  <c r="C30" i="4"/>
  <c r="C83" i="4"/>
  <c r="C81" i="4"/>
  <c r="C41" i="4"/>
  <c r="C82" i="4"/>
  <c r="C9" i="6"/>
  <c r="D7" i="9"/>
  <c r="D6" i="7"/>
  <c r="D8" i="7" s="1"/>
  <c r="D10" i="7" s="1"/>
  <c r="D19" i="7"/>
  <c r="D16" i="7"/>
  <c r="D9" i="7"/>
  <c r="D15" i="7"/>
  <c r="C61" i="5"/>
  <c r="C58" i="5"/>
  <c r="D76" i="7"/>
  <c r="R5" i="8"/>
  <c r="C32" i="6"/>
  <c r="C36" i="5"/>
  <c r="C21" i="4"/>
  <c r="C26" i="6"/>
  <c r="C25" i="6"/>
  <c r="C24" i="6"/>
  <c r="D23" i="9" l="1"/>
  <c r="D27" i="7"/>
  <c r="D20" i="7"/>
  <c r="D11" i="7"/>
  <c r="C58" i="4"/>
  <c r="C28" i="6"/>
  <c r="C30" i="6" s="1"/>
  <c r="C27" i="6"/>
  <c r="D80" i="7"/>
  <c r="D78" i="7"/>
  <c r="D38" i="7"/>
  <c r="C29" i="6"/>
  <c r="T5" i="8"/>
  <c r="P6" i="8" s="1"/>
  <c r="D21" i="7"/>
  <c r="C13" i="6"/>
  <c r="C39" i="5"/>
  <c r="C45" i="5"/>
  <c r="D44" i="5" s="1"/>
  <c r="C37" i="5"/>
  <c r="C32" i="4"/>
  <c r="C31" i="6" l="1"/>
  <c r="C14" i="6"/>
  <c r="D71" i="5"/>
  <c r="D14" i="5"/>
  <c r="D25" i="5"/>
  <c r="D26" i="5"/>
  <c r="D24" i="5"/>
  <c r="D74" i="5"/>
  <c r="D5" i="5"/>
  <c r="D30" i="7"/>
  <c r="C39" i="4"/>
  <c r="C60" i="4"/>
  <c r="D13" i="9"/>
  <c r="Q6" i="8"/>
  <c r="D29" i="9"/>
  <c r="D8" i="9"/>
  <c r="D17" i="9"/>
  <c r="D32" i="7"/>
  <c r="D32" i="9"/>
  <c r="D79" i="7"/>
  <c r="D25" i="9"/>
  <c r="D26" i="9"/>
  <c r="D24" i="9"/>
  <c r="D14" i="9" l="1"/>
  <c r="D31" i="5"/>
  <c r="E14" i="5"/>
  <c r="D27" i="9"/>
  <c r="D28" i="9"/>
  <c r="D76" i="5"/>
  <c r="C64" i="4"/>
  <c r="C61" i="4"/>
  <c r="D55" i="7"/>
  <c r="D10" i="9"/>
  <c r="D9" i="9"/>
  <c r="D30" i="9" s="1"/>
  <c r="D19" i="5"/>
  <c r="D15" i="5"/>
  <c r="D6" i="5"/>
  <c r="D8" i="5" s="1"/>
  <c r="D10" i="5" s="1"/>
  <c r="D16" i="5"/>
  <c r="D9" i="5"/>
  <c r="R6" i="8"/>
  <c r="C16" i="6"/>
  <c r="C19" i="6" s="1"/>
  <c r="D15" i="6" s="1"/>
  <c r="C33" i="4"/>
  <c r="C33" i="5"/>
  <c r="C42" i="4"/>
  <c r="C48" i="4"/>
  <c r="C40" i="4"/>
  <c r="D36" i="7"/>
  <c r="D47" i="4" l="1"/>
  <c r="C35" i="4"/>
  <c r="E31" i="5"/>
  <c r="F14" i="5"/>
  <c r="D39" i="7"/>
  <c r="D37" i="7"/>
  <c r="D45" i="7"/>
  <c r="E44" i="7" s="1"/>
  <c r="D27" i="5"/>
  <c r="D20" i="5"/>
  <c r="D31" i="9"/>
  <c r="T6" i="8"/>
  <c r="P7" i="8" s="1"/>
  <c r="D21" i="5"/>
  <c r="D16" i="9"/>
  <c r="D19" i="9" s="1"/>
  <c r="E15" i="9" s="1"/>
  <c r="D33" i="7"/>
  <c r="D57" i="7"/>
  <c r="D78" i="5"/>
  <c r="D79" i="5"/>
  <c r="D80" i="5"/>
  <c r="D38" i="5"/>
  <c r="D55" i="5" l="1"/>
  <c r="D61" i="7"/>
  <c r="D58" i="7"/>
  <c r="D30" i="5"/>
  <c r="D32" i="5"/>
  <c r="D36" i="5" s="1"/>
  <c r="F51" i="5"/>
  <c r="F31" i="5"/>
  <c r="G31" i="5" s="1"/>
  <c r="E74" i="7"/>
  <c r="E24" i="7"/>
  <c r="E6" i="9"/>
  <c r="E26" i="7"/>
  <c r="E5" i="7"/>
  <c r="E25" i="7"/>
  <c r="E71" i="7"/>
  <c r="T7" i="8"/>
  <c r="P8" i="8" s="1"/>
  <c r="Q7" i="8"/>
  <c r="R7" i="8" s="1"/>
  <c r="D6" i="6"/>
  <c r="D77" i="4"/>
  <c r="D74" i="4"/>
  <c r="D25" i="4"/>
  <c r="D14" i="4"/>
  <c r="D24" i="4"/>
  <c r="D26" i="4"/>
  <c r="D39" i="5" l="1"/>
  <c r="D37" i="5"/>
  <c r="D45" i="5"/>
  <c r="E44" i="5" s="1"/>
  <c r="E7" i="9"/>
  <c r="E15" i="7"/>
  <c r="E19" i="7"/>
  <c r="E6" i="7"/>
  <c r="E8" i="7" s="1"/>
  <c r="E10" i="7" s="1"/>
  <c r="E16" i="7"/>
  <c r="D31" i="4"/>
  <c r="E14" i="4"/>
  <c r="D5" i="4"/>
  <c r="D79" i="4"/>
  <c r="E76" i="7"/>
  <c r="D7" i="6"/>
  <c r="Q8" i="8"/>
  <c r="R8" i="8" s="1"/>
  <c r="T8" i="8" s="1"/>
  <c r="P9" i="8" s="1"/>
  <c r="D57" i="5"/>
  <c r="Q9" i="8" l="1"/>
  <c r="R9" i="8" s="1"/>
  <c r="T9" i="8"/>
  <c r="P10" i="8" s="1"/>
  <c r="D61" i="5"/>
  <c r="D58" i="5"/>
  <c r="E31" i="4"/>
  <c r="F14" i="4"/>
  <c r="E27" i="7"/>
  <c r="E11" i="7"/>
  <c r="E23" i="9"/>
  <c r="E20" i="7"/>
  <c r="E21" i="7"/>
  <c r="D15" i="4"/>
  <c r="D16" i="4"/>
  <c r="D6" i="4"/>
  <c r="D8" i="4" s="1"/>
  <c r="D10" i="4" s="1"/>
  <c r="D9" i="4"/>
  <c r="D19" i="4" s="1"/>
  <c r="E78" i="7"/>
  <c r="E80" i="7"/>
  <c r="E38" i="7"/>
  <c r="D41" i="4"/>
  <c r="D82" i="4"/>
  <c r="D83" i="4"/>
  <c r="D81" i="4"/>
  <c r="E74" i="5"/>
  <c r="E25" i="5"/>
  <c r="E5" i="5"/>
  <c r="E71" i="5"/>
  <c r="E26" i="5"/>
  <c r="E24" i="5"/>
  <c r="E9" i="7"/>
  <c r="D29" i="6" l="1"/>
  <c r="E29" i="9"/>
  <c r="F54" i="4"/>
  <c r="F31" i="4"/>
  <c r="G31" i="4" s="1"/>
  <c r="E26" i="9"/>
  <c r="E24" i="9"/>
  <c r="E25" i="9"/>
  <c r="E76" i="5"/>
  <c r="E79" i="7"/>
  <c r="E19" i="5"/>
  <c r="E6" i="5"/>
  <c r="E8" i="5" s="1"/>
  <c r="E10" i="5" s="1"/>
  <c r="E15" i="5"/>
  <c r="E16" i="5"/>
  <c r="E9" i="5"/>
  <c r="E30" i="7"/>
  <c r="E32" i="7" s="1"/>
  <c r="E36" i="7" s="1"/>
  <c r="D23" i="6"/>
  <c r="D20" i="4"/>
  <c r="D27" i="4"/>
  <c r="T10" i="8"/>
  <c r="P11" i="8" s="1"/>
  <c r="Q10" i="8"/>
  <c r="R10" i="8" s="1"/>
  <c r="D58" i="4"/>
  <c r="E8" i="9"/>
  <c r="E17" i="9"/>
  <c r="E32" i="9"/>
  <c r="E39" i="7" l="1"/>
  <c r="E45" i="7"/>
  <c r="F44" i="7" s="1"/>
  <c r="E37" i="7"/>
  <c r="E10" i="9"/>
  <c r="E9" i="9"/>
  <c r="E30" i="9" s="1"/>
  <c r="D30" i="4"/>
  <c r="E28" i="9"/>
  <c r="E27" i="9"/>
  <c r="E13" i="9"/>
  <c r="D60" i="4"/>
  <c r="E80" i="5"/>
  <c r="E78" i="5"/>
  <c r="E79" i="5" s="1"/>
  <c r="E38" i="5"/>
  <c r="D25" i="6"/>
  <c r="D24" i="6"/>
  <c r="D26" i="6"/>
  <c r="E55" i="7"/>
  <c r="Q11" i="8"/>
  <c r="R11" i="8" s="1"/>
  <c r="T11" i="8" s="1"/>
  <c r="P12" i="8" s="1"/>
  <c r="D8" i="6"/>
  <c r="D17" i="6"/>
  <c r="D32" i="6"/>
  <c r="E27" i="5"/>
  <c r="E20" i="5"/>
  <c r="D21" i="4"/>
  <c r="E55" i="5" l="1"/>
  <c r="Q12" i="8"/>
  <c r="R12" i="8" s="1"/>
  <c r="T12" i="8" s="1"/>
  <c r="P13" i="8" s="1"/>
  <c r="D64" i="4"/>
  <c r="D61" i="4"/>
  <c r="E14" i="9"/>
  <c r="E30" i="5"/>
  <c r="F26" i="7"/>
  <c r="F5" i="7"/>
  <c r="F25" i="7"/>
  <c r="F6" i="9"/>
  <c r="F74" i="7"/>
  <c r="F24" i="7"/>
  <c r="F71" i="7"/>
  <c r="D13" i="6"/>
  <c r="D39" i="4"/>
  <c r="D9" i="6"/>
  <c r="E31" i="9"/>
  <c r="E32" i="5"/>
  <c r="E57" i="7"/>
  <c r="E21" i="5"/>
  <c r="D32" i="4"/>
  <c r="D28" i="6"/>
  <c r="D27" i="6"/>
  <c r="Q13" i="8" l="1"/>
  <c r="R13" i="8" s="1"/>
  <c r="T13" i="8" s="1"/>
  <c r="P14" i="8" s="1"/>
  <c r="D42" i="4"/>
  <c r="D48" i="4"/>
  <c r="E47" i="4" s="1"/>
  <c r="D40" i="4"/>
  <c r="F19" i="7"/>
  <c r="F15" i="7"/>
  <c r="F16" i="7"/>
  <c r="F6" i="7"/>
  <c r="F8" i="7" s="1"/>
  <c r="F10" i="7" s="1"/>
  <c r="F9" i="7"/>
  <c r="F76" i="7"/>
  <c r="F7" i="9"/>
  <c r="D35" i="4"/>
  <c r="E36" i="5"/>
  <c r="D30" i="6"/>
  <c r="D14" i="6"/>
  <c r="E61" i="7"/>
  <c r="E58" i="7"/>
  <c r="E16" i="9"/>
  <c r="E19" i="9" s="1"/>
  <c r="F15" i="9" s="1"/>
  <c r="E33" i="7"/>
  <c r="E57" i="5"/>
  <c r="Q14" i="8" l="1"/>
  <c r="E61" i="5"/>
  <c r="E58" i="5"/>
  <c r="D16" i="6"/>
  <c r="D19" i="6" s="1"/>
  <c r="E15" i="6" s="1"/>
  <c r="D33" i="5"/>
  <c r="D33" i="4"/>
  <c r="E5" i="4"/>
  <c r="F78" i="7"/>
  <c r="F79" i="7" s="1"/>
  <c r="F80" i="7"/>
  <c r="F38" i="7"/>
  <c r="E6" i="6"/>
  <c r="E74" i="4"/>
  <c r="E25" i="4"/>
  <c r="E77" i="4"/>
  <c r="E26" i="4"/>
  <c r="E24" i="4"/>
  <c r="F27" i="7"/>
  <c r="F11" i="7"/>
  <c r="F23" i="9"/>
  <c r="F20" i="7"/>
  <c r="E39" i="5"/>
  <c r="E45" i="5"/>
  <c r="F44" i="5" s="1"/>
  <c r="E37" i="5"/>
  <c r="D31" i="6"/>
  <c r="F55" i="7" l="1"/>
  <c r="E79" i="4"/>
  <c r="F5" i="5"/>
  <c r="F74" i="5"/>
  <c r="G74" i="5" s="1"/>
  <c r="F26" i="5"/>
  <c r="G26" i="5" s="1"/>
  <c r="F71" i="5"/>
  <c r="F25" i="5"/>
  <c r="G25" i="5" s="1"/>
  <c r="F24" i="5"/>
  <c r="E7" i="6"/>
  <c r="F30" i="7"/>
  <c r="F32" i="7" s="1"/>
  <c r="F29" i="9"/>
  <c r="F26" i="9"/>
  <c r="F24" i="9"/>
  <c r="F25" i="9"/>
  <c r="F21" i="7"/>
  <c r="E6" i="4"/>
  <c r="E8" i="4" s="1"/>
  <c r="E10" i="4" s="1"/>
  <c r="E16" i="4"/>
  <c r="E9" i="4"/>
  <c r="E19" i="4"/>
  <c r="E15" i="4"/>
  <c r="F8" i="9"/>
  <c r="F32" i="9"/>
  <c r="F17" i="9"/>
  <c r="R14" i="8"/>
  <c r="Q15" i="8"/>
  <c r="Q17" i="8" s="1"/>
  <c r="Q19" i="8" s="1"/>
  <c r="F16" i="5" l="1"/>
  <c r="F15" i="5"/>
  <c r="F19" i="5"/>
  <c r="F6" i="5"/>
  <c r="F48" i="5" s="1"/>
  <c r="F10" i="5"/>
  <c r="F10" i="9"/>
  <c r="F9" i="9"/>
  <c r="E82" i="4"/>
  <c r="E41" i="4"/>
  <c r="E83" i="4"/>
  <c r="E81" i="4"/>
  <c r="R15" i="8"/>
  <c r="T14" i="8"/>
  <c r="F28" i="9"/>
  <c r="F27" i="9"/>
  <c r="G24" i="5"/>
  <c r="E27" i="4"/>
  <c r="E20" i="4"/>
  <c r="E23" i="6"/>
  <c r="F13" i="9"/>
  <c r="F36" i="7"/>
  <c r="F76" i="5"/>
  <c r="G71" i="5"/>
  <c r="F57" i="7"/>
  <c r="F39" i="7" l="1"/>
  <c r="F45" i="7"/>
  <c r="G44" i="7" s="1"/>
  <c r="F37" i="7"/>
  <c r="F14" i="9"/>
  <c r="E58" i="4"/>
  <c r="F20" i="5"/>
  <c r="F27" i="5"/>
  <c r="G10" i="5"/>
  <c r="E25" i="6"/>
  <c r="E24" i="6"/>
  <c r="E26" i="6"/>
  <c r="F52" i="5"/>
  <c r="F56" i="5" s="1"/>
  <c r="G56" i="5" s="1"/>
  <c r="E30" i="4"/>
  <c r="F9" i="5"/>
  <c r="F49" i="5" s="1"/>
  <c r="F50" i="5" s="1"/>
  <c r="E8" i="6"/>
  <c r="E17" i="6"/>
  <c r="E32" i="6"/>
  <c r="E32" i="4"/>
  <c r="F21" i="5"/>
  <c r="G19" i="5"/>
  <c r="F61" i="7"/>
  <c r="F58" i="7"/>
  <c r="F78" i="5"/>
  <c r="G78" i="5" s="1"/>
  <c r="F38" i="5"/>
  <c r="G38" i="5" s="1"/>
  <c r="F80" i="5"/>
  <c r="G76" i="5"/>
  <c r="E29" i="6"/>
  <c r="E21" i="4"/>
  <c r="F30" i="9"/>
  <c r="E60" i="4" l="1"/>
  <c r="E39" i="4"/>
  <c r="E13" i="6"/>
  <c r="E9" i="6"/>
  <c r="G6" i="9"/>
  <c r="G25" i="7"/>
  <c r="G24" i="7"/>
  <c r="G26" i="7"/>
  <c r="G7" i="9" s="1"/>
  <c r="G5" i="7"/>
  <c r="G74" i="7"/>
  <c r="G71" i="7"/>
  <c r="G76" i="7" s="1"/>
  <c r="E27" i="6"/>
  <c r="E28" i="6"/>
  <c r="F31" i="9"/>
  <c r="F79" i="5"/>
  <c r="F16" i="9"/>
  <c r="F19" i="9" s="1"/>
  <c r="G15" i="9" s="1"/>
  <c r="F33" i="7"/>
  <c r="G27" i="5"/>
  <c r="G21" i="5"/>
  <c r="F30" i="5"/>
  <c r="G30" i="5" s="1"/>
  <c r="G20" i="5"/>
  <c r="G80" i="7" l="1"/>
  <c r="G78" i="7"/>
  <c r="G29" i="9" s="1"/>
  <c r="G38" i="7"/>
  <c r="E64" i="4"/>
  <c r="E61" i="4"/>
  <c r="E14" i="6"/>
  <c r="E42" i="4"/>
  <c r="E40" i="4"/>
  <c r="E48" i="4"/>
  <c r="G19" i="7"/>
  <c r="G16" i="7"/>
  <c r="G6" i="7"/>
  <c r="G8" i="7" s="1"/>
  <c r="G10" i="7" s="1"/>
  <c r="G9" i="7"/>
  <c r="G15" i="7"/>
  <c r="F55" i="5"/>
  <c r="G79" i="5"/>
  <c r="E30" i="6"/>
  <c r="F57" i="5" l="1"/>
  <c r="G55" i="5"/>
  <c r="G57" i="5" s="1"/>
  <c r="B63" i="5" s="1"/>
  <c r="F5" i="4"/>
  <c r="G23" i="9"/>
  <c r="G27" i="7"/>
  <c r="G11" i="7"/>
  <c r="G20" i="7"/>
  <c r="G30" i="7" s="1"/>
  <c r="G79" i="7"/>
  <c r="G55" i="7" s="1"/>
  <c r="G57" i="7" s="1"/>
  <c r="G21" i="7"/>
  <c r="F47" i="4"/>
  <c r="E35" i="4"/>
  <c r="E31" i="6"/>
  <c r="E16" i="6"/>
  <c r="E19" i="6" s="1"/>
  <c r="F15" i="6" s="1"/>
  <c r="E33" i="4"/>
  <c r="E33" i="5"/>
  <c r="G26" i="9" l="1"/>
  <c r="G24" i="9"/>
  <c r="G25" i="9"/>
  <c r="F74" i="4"/>
  <c r="F6" i="6"/>
  <c r="G6" i="6" s="1"/>
  <c r="F25" i="4"/>
  <c r="G25" i="4" s="1"/>
  <c r="F77" i="4"/>
  <c r="G77" i="4" s="1"/>
  <c r="F26" i="4"/>
  <c r="F24" i="4"/>
  <c r="G13" i="9"/>
  <c r="G14" i="9" s="1"/>
  <c r="G8" i="9"/>
  <c r="G17" i="9"/>
  <c r="G32" i="9"/>
  <c r="G32" i="7"/>
  <c r="G36" i="7" s="1"/>
  <c r="F16" i="4"/>
  <c r="F15" i="4"/>
  <c r="F6" i="4"/>
  <c r="F51" i="4" s="1"/>
  <c r="F10" i="4"/>
  <c r="G61" i="7"/>
  <c r="G58" i="7"/>
  <c r="F61" i="5"/>
  <c r="B62" i="5" s="1"/>
  <c r="F58" i="5"/>
  <c r="G39" i="7" l="1"/>
  <c r="G37" i="7"/>
  <c r="G45" i="7"/>
  <c r="H44" i="7" s="1"/>
  <c r="F9" i="4"/>
  <c r="G16" i="9"/>
  <c r="G19" i="9" s="1"/>
  <c r="H15" i="9" s="1"/>
  <c r="G33" i="7"/>
  <c r="F79" i="4"/>
  <c r="G74" i="4"/>
  <c r="G10" i="9"/>
  <c r="G9" i="9"/>
  <c r="G24" i="4"/>
  <c r="F17" i="6"/>
  <c r="G17" i="6" s="1"/>
  <c r="F7" i="6"/>
  <c r="G26" i="4"/>
  <c r="F23" i="6"/>
  <c r="F20" i="4"/>
  <c r="F27" i="4"/>
  <c r="G10" i="4"/>
  <c r="G28" i="9"/>
  <c r="G27" i="9"/>
  <c r="F8" i="6" l="1"/>
  <c r="G8" i="6" s="1"/>
  <c r="G27" i="4"/>
  <c r="F32" i="6"/>
  <c r="F26" i="6"/>
  <c r="F25" i="6"/>
  <c r="G25" i="6" s="1"/>
  <c r="F24" i="6"/>
  <c r="G24" i="6" s="1"/>
  <c r="G23" i="6"/>
  <c r="F41" i="4"/>
  <c r="G41" i="4" s="1"/>
  <c r="F83" i="4"/>
  <c r="F81" i="4"/>
  <c r="G79" i="4"/>
  <c r="F30" i="4"/>
  <c r="G30" i="4" s="1"/>
  <c r="G20" i="4"/>
  <c r="F52" i="4"/>
  <c r="F53" i="4" s="1"/>
  <c r="F55" i="4" s="1"/>
  <c r="F59" i="4" s="1"/>
  <c r="G59" i="4" s="1"/>
  <c r="F19" i="4"/>
  <c r="H74" i="7"/>
  <c r="H25" i="7"/>
  <c r="H71" i="7"/>
  <c r="H76" i="7" s="1"/>
  <c r="H6" i="9"/>
  <c r="H26" i="7"/>
  <c r="H7" i="9" s="1"/>
  <c r="H24" i="7"/>
  <c r="H5" i="7"/>
  <c r="G30" i="9"/>
  <c r="G31" i="9" s="1"/>
  <c r="F9" i="6"/>
  <c r="G7" i="6"/>
  <c r="G9" i="6" s="1"/>
  <c r="H78" i="7" l="1"/>
  <c r="H29" i="9" s="1"/>
  <c r="H38" i="7"/>
  <c r="H80" i="7"/>
  <c r="H79" i="7"/>
  <c r="H55" i="7" s="1"/>
  <c r="H57" i="7" s="1"/>
  <c r="B47" i="6"/>
  <c r="G32" i="6"/>
  <c r="F27" i="6"/>
  <c r="G27" i="6" s="1"/>
  <c r="F28" i="6"/>
  <c r="G26" i="6"/>
  <c r="G28" i="6" s="1"/>
  <c r="H6" i="7"/>
  <c r="H8" i="7" s="1"/>
  <c r="H10" i="7" s="1"/>
  <c r="H16" i="7"/>
  <c r="H19" i="7"/>
  <c r="H15" i="7"/>
  <c r="F29" i="6"/>
  <c r="G29" i="6" s="1"/>
  <c r="G81" i="4"/>
  <c r="F21" i="4"/>
  <c r="G19" i="4"/>
  <c r="F82" i="4"/>
  <c r="B36" i="6"/>
  <c r="C36" i="6" s="1"/>
  <c r="H27" i="7" l="1"/>
  <c r="H11" i="7"/>
  <c r="H20" i="7"/>
  <c r="H30" i="7" s="1"/>
  <c r="H23" i="9"/>
  <c r="H61" i="7"/>
  <c r="H58" i="7"/>
  <c r="F13" i="6"/>
  <c r="G21" i="4"/>
  <c r="H9" i="7"/>
  <c r="F58" i="4"/>
  <c r="G82" i="4"/>
  <c r="F14" i="6" l="1"/>
  <c r="G13" i="6"/>
  <c r="B44" i="6" s="1"/>
  <c r="F60" i="4"/>
  <c r="G58" i="4"/>
  <c r="G60" i="4" s="1"/>
  <c r="B66" i="4" s="1"/>
  <c r="B43" i="6" s="1"/>
  <c r="H21" i="7"/>
  <c r="H26" i="9"/>
  <c r="H24" i="9"/>
  <c r="H25" i="9"/>
  <c r="H8" i="9"/>
  <c r="H32" i="9"/>
  <c r="H17" i="9"/>
  <c r="H32" i="7"/>
  <c r="H28" i="9" l="1"/>
  <c r="H27" i="9"/>
  <c r="H36" i="7"/>
  <c r="H13" i="9"/>
  <c r="H14" i="9" s="1"/>
  <c r="F64" i="4"/>
  <c r="B65" i="4" s="1"/>
  <c r="B42" i="6" s="1"/>
  <c r="F61" i="4"/>
  <c r="H10" i="9"/>
  <c r="H9" i="9"/>
  <c r="H30" i="9" s="1"/>
  <c r="H31" i="9" s="1"/>
  <c r="F16" i="6"/>
  <c r="F33" i="5"/>
  <c r="F33" i="4"/>
  <c r="G14" i="6"/>
  <c r="G16" i="6"/>
  <c r="B45" i="6" l="1"/>
  <c r="G33" i="5"/>
  <c r="G33" i="4"/>
  <c r="H39" i="7"/>
  <c r="H45" i="7"/>
  <c r="I44" i="7" s="1"/>
  <c r="H37" i="7"/>
  <c r="H33" i="7"/>
  <c r="H16" i="9"/>
  <c r="H19" i="9" s="1"/>
  <c r="I15" i="9" s="1"/>
  <c r="F18" i="6"/>
  <c r="I6" i="9" l="1"/>
  <c r="I24" i="7"/>
  <c r="I25" i="7"/>
  <c r="I74" i="7"/>
  <c r="I5" i="7"/>
  <c r="I26" i="7"/>
  <c r="I7" i="9" s="1"/>
  <c r="I71" i="7"/>
  <c r="G18" i="6"/>
  <c r="F34" i="5"/>
  <c r="F32" i="5" s="1"/>
  <c r="F34" i="4"/>
  <c r="F32" i="4" s="1"/>
  <c r="F30" i="6"/>
  <c r="F19" i="6"/>
  <c r="G32" i="5" l="1"/>
  <c r="F36" i="5"/>
  <c r="I9" i="7"/>
  <c r="I15" i="7"/>
  <c r="I16" i="7"/>
  <c r="I19" i="7"/>
  <c r="I6" i="7"/>
  <c r="I8" i="7" s="1"/>
  <c r="I10" i="7" s="1"/>
  <c r="G30" i="6"/>
  <c r="F31" i="6"/>
  <c r="I76" i="7"/>
  <c r="G32" i="4"/>
  <c r="F39" i="4"/>
  <c r="G34" i="4"/>
  <c r="B46" i="6"/>
  <c r="G34" i="5"/>
  <c r="B37" i="6"/>
  <c r="C37" i="6" s="1"/>
  <c r="B39" i="6"/>
  <c r="C39" i="6" s="1"/>
  <c r="B38" i="6"/>
  <c r="C38" i="6" s="1"/>
  <c r="G19" i="6"/>
  <c r="F42" i="4" l="1"/>
  <c r="G42" i="4" s="1"/>
  <c r="G39" i="4"/>
  <c r="F40" i="4"/>
  <c r="F48" i="4"/>
  <c r="F35" i="4" s="1"/>
  <c r="I23" i="9"/>
  <c r="I11" i="7"/>
  <c r="I27" i="7"/>
  <c r="I20" i="7"/>
  <c r="I30" i="7" s="1"/>
  <c r="F39" i="5"/>
  <c r="G39" i="5" s="1"/>
  <c r="G36" i="5"/>
  <c r="F45" i="5"/>
  <c r="F37" i="5"/>
  <c r="I38" i="7"/>
  <c r="I80" i="7"/>
  <c r="I79" i="7"/>
  <c r="I55" i="7" s="1"/>
  <c r="I57" i="7" s="1"/>
  <c r="I78" i="7"/>
  <c r="I29" i="9" s="1"/>
  <c r="I25" i="9" l="1"/>
  <c r="I24" i="9"/>
  <c r="I26" i="9"/>
  <c r="I61" i="7"/>
  <c r="I58" i="7"/>
  <c r="I8" i="9"/>
  <c r="I32" i="9"/>
  <c r="I32" i="7"/>
  <c r="I17" i="9"/>
  <c r="I21" i="7"/>
  <c r="I10" i="9" l="1"/>
  <c r="I9" i="9"/>
  <c r="I27" i="9"/>
  <c r="I28" i="9"/>
  <c r="I13" i="9"/>
  <c r="I14" i="9" s="1"/>
  <c r="I36" i="7"/>
  <c r="I16" i="9" l="1"/>
  <c r="I19" i="9" s="1"/>
  <c r="J15" i="9" s="1"/>
  <c r="I33" i="7"/>
  <c r="I39" i="7"/>
  <c r="I45" i="7"/>
  <c r="J44" i="7" s="1"/>
  <c r="I37" i="7"/>
  <c r="I30" i="9"/>
  <c r="I31" i="9" s="1"/>
  <c r="J6" i="9" l="1"/>
  <c r="J74" i="7"/>
  <c r="J71" i="7"/>
  <c r="J76" i="7" s="1"/>
  <c r="J24" i="7"/>
  <c r="J5" i="7"/>
  <c r="J26" i="7"/>
  <c r="J7" i="9" s="1"/>
  <c r="J25" i="7"/>
  <c r="J16" i="7" l="1"/>
  <c r="J15" i="7"/>
  <c r="J19" i="7"/>
  <c r="J6" i="7"/>
  <c r="J8" i="7" s="1"/>
  <c r="J10" i="7" s="1"/>
  <c r="J80" i="7"/>
  <c r="J38" i="7"/>
  <c r="J78" i="7"/>
  <c r="J29" i="9" s="1"/>
  <c r="J23" i="9" l="1"/>
  <c r="J20" i="7"/>
  <c r="J30" i="7" s="1"/>
  <c r="J11" i="7"/>
  <c r="J27" i="7"/>
  <c r="J21" i="7"/>
  <c r="J9" i="7"/>
  <c r="J79" i="7"/>
  <c r="J55" i="7" s="1"/>
  <c r="J57" i="7" s="1"/>
  <c r="J13" i="9" l="1"/>
  <c r="J14" i="9" s="1"/>
  <c r="J8" i="9"/>
  <c r="J9" i="9" s="1"/>
  <c r="J17" i="9"/>
  <c r="J32" i="7"/>
  <c r="J36" i="7" s="1"/>
  <c r="J32" i="9"/>
  <c r="J61" i="7"/>
  <c r="J58" i="7"/>
  <c r="J25" i="9"/>
  <c r="J26" i="9"/>
  <c r="J24" i="9"/>
  <c r="J39" i="7" l="1"/>
  <c r="J37" i="7"/>
  <c r="J45" i="7"/>
  <c r="K44" i="7" s="1"/>
  <c r="J27" i="9"/>
  <c r="J28" i="9"/>
  <c r="J30" i="9"/>
  <c r="J31" i="9" s="1"/>
  <c r="J16" i="9"/>
  <c r="J19" i="9" s="1"/>
  <c r="K15" i="9" s="1"/>
  <c r="J33" i="7"/>
  <c r="K71" i="7" l="1"/>
  <c r="K25" i="7"/>
  <c r="K5" i="7"/>
  <c r="K26" i="7"/>
  <c r="K7" i="9" s="1"/>
  <c r="K24" i="7"/>
  <c r="K6" i="9"/>
  <c r="K74" i="7"/>
  <c r="M74" i="7" s="1"/>
  <c r="K15" i="7" l="1"/>
  <c r="K19" i="7"/>
  <c r="K6" i="7"/>
  <c r="K8" i="7" s="1"/>
  <c r="K10" i="7" s="1"/>
  <c r="K16" i="7"/>
  <c r="K76" i="7"/>
  <c r="M71" i="7"/>
  <c r="K23" i="9" l="1"/>
  <c r="K20" i="7"/>
  <c r="K30" i="7" s="1"/>
  <c r="K11" i="7"/>
  <c r="K27" i="7"/>
  <c r="K21" i="7"/>
  <c r="K9" i="7"/>
  <c r="K38" i="7"/>
  <c r="M38" i="7" s="1"/>
  <c r="K79" i="7"/>
  <c r="K80" i="7"/>
  <c r="K78" i="7"/>
  <c r="M76" i="7"/>
  <c r="K55" i="7" l="1"/>
  <c r="M79" i="7"/>
  <c r="K29" i="9"/>
  <c r="M29" i="9" s="1"/>
  <c r="M78" i="7"/>
  <c r="K13" i="9"/>
  <c r="K14" i="9" s="1"/>
  <c r="K8" i="9"/>
  <c r="K9" i="9" s="1"/>
  <c r="K32" i="7"/>
  <c r="K36" i="7" s="1"/>
  <c r="K17" i="9"/>
  <c r="K32" i="9"/>
  <c r="K25" i="9"/>
  <c r="K26" i="9"/>
  <c r="K24" i="9"/>
  <c r="K39" i="7" l="1"/>
  <c r="K45" i="7"/>
  <c r="L44" i="7" s="1"/>
  <c r="K37" i="7"/>
  <c r="K16" i="9"/>
  <c r="K19" i="9" s="1"/>
  <c r="L15" i="9" s="1"/>
  <c r="K33" i="7"/>
  <c r="K27" i="9"/>
  <c r="K28" i="9"/>
  <c r="K30" i="9" s="1"/>
  <c r="K31" i="9" s="1"/>
  <c r="K57" i="7"/>
  <c r="M55" i="7"/>
  <c r="L6" i="9" l="1"/>
  <c r="M6" i="9" s="1"/>
  <c r="L26" i="7"/>
  <c r="L24" i="7"/>
  <c r="L25" i="7"/>
  <c r="M25" i="7" s="1"/>
  <c r="L5" i="7"/>
  <c r="K61" i="7"/>
  <c r="K58" i="7"/>
  <c r="M24" i="7" l="1"/>
  <c r="L7" i="9"/>
  <c r="M26" i="7"/>
  <c r="L6" i="7"/>
  <c r="L48" i="7" s="1"/>
  <c r="L10" i="7"/>
  <c r="L16" i="7"/>
  <c r="L15" i="7"/>
  <c r="L19" i="7"/>
  <c r="L23" i="9" l="1"/>
  <c r="L20" i="7"/>
  <c r="L27" i="7"/>
  <c r="L11" i="7"/>
  <c r="M10" i="7"/>
  <c r="L52" i="7"/>
  <c r="L56" i="7" s="1"/>
  <c r="M7" i="9"/>
  <c r="M19" i="7"/>
  <c r="L9" i="7"/>
  <c r="L49" i="7" s="1"/>
  <c r="L50" i="7" s="1"/>
  <c r="M56" i="7" l="1"/>
  <c r="M57" i="7" s="1"/>
  <c r="B63" i="7" s="1"/>
  <c r="B43" i="9" s="1"/>
  <c r="L57" i="7"/>
  <c r="L30" i="7"/>
  <c r="M30" i="7" s="1"/>
  <c r="M20" i="7"/>
  <c r="L8" i="9"/>
  <c r="M27" i="7"/>
  <c r="L17" i="9"/>
  <c r="M17" i="9" s="1"/>
  <c r="L32" i="9"/>
  <c r="M32" i="9" s="1"/>
  <c r="L21" i="7"/>
  <c r="L25" i="9"/>
  <c r="M25" i="9" s="1"/>
  <c r="L26" i="9"/>
  <c r="L24" i="9"/>
  <c r="M24" i="9" s="1"/>
  <c r="M23" i="9"/>
  <c r="M8" i="9" l="1"/>
  <c r="L9" i="9"/>
  <c r="L27" i="9"/>
  <c r="M27" i="9" s="1"/>
  <c r="L28" i="9"/>
  <c r="M26" i="9"/>
  <c r="M28" i="9" s="1"/>
  <c r="L13" i="9"/>
  <c r="M21" i="7"/>
  <c r="L61" i="7"/>
  <c r="B62" i="7" s="1"/>
  <c r="B42" i="9" s="1"/>
  <c r="L58" i="7"/>
  <c r="L14" i="9" l="1"/>
  <c r="M13" i="9"/>
  <c r="B44" i="9" s="1"/>
  <c r="B36" i="9"/>
  <c r="C36" i="9" s="1"/>
  <c r="M9" i="9"/>
  <c r="L33" i="7" l="1"/>
  <c r="L16" i="9"/>
  <c r="M16" i="9"/>
  <c r="M14" i="9"/>
  <c r="B45" i="9" l="1"/>
  <c r="M33" i="7"/>
  <c r="L18" i="9"/>
  <c r="L19" i="9"/>
  <c r="B47" i="9" l="1"/>
  <c r="M19" i="9"/>
  <c r="L34" i="7"/>
  <c r="L32" i="7" s="1"/>
  <c r="M18" i="9"/>
  <c r="L30" i="9"/>
  <c r="M30" i="9" l="1"/>
  <c r="L31" i="9"/>
  <c r="B46" i="9"/>
  <c r="M34" i="7"/>
  <c r="B37" i="9"/>
  <c r="C37" i="9" s="1"/>
  <c r="B38" i="9"/>
  <c r="C38" i="9" s="1"/>
  <c r="B39" i="9"/>
  <c r="C39" i="9" s="1"/>
  <c r="M32" i="7"/>
  <c r="L36" i="7"/>
  <c r="L39" i="7" l="1"/>
  <c r="M39" i="7" s="1"/>
  <c r="M36" i="7"/>
  <c r="L45" i="7"/>
  <c r="L37" i="7"/>
</calcChain>
</file>

<file path=xl/sharedStrings.xml><?xml version="1.0" encoding="utf-8"?>
<sst xmlns="http://schemas.openxmlformats.org/spreadsheetml/2006/main" count="1220" uniqueCount="752">
  <si>
    <t>RESPUESTAS PROVISORIAS A CUESTIONARIO TCA — FCIC CRÉDITOS HIPOTECARIOS</t>
  </si>
  <si>
    <t>Fuente: Propuesta Cono Sur Investments (Marzo 2026) + definiciones Capital Token Group. Sujeto a revisión y confirmación.</t>
  </si>
  <si>
    <t>#</t>
  </si>
  <si>
    <t>Pregunta TCA</t>
  </si>
  <si>
    <t>Respuesta Provisoria</t>
  </si>
  <si>
    <t>Status / Notas</t>
  </si>
  <si>
    <t>SECCIÓN I — PAUTAS DE INVERSIÓN Y ESTRUCTURA DEL FCIC</t>
  </si>
  <si>
    <t>1</t>
  </si>
  <si>
    <t>Nombre del FCIC (debe constar desde el inicio para actas de creación de órganos)</t>
  </si>
  <si>
    <t>A definir. Propuesta: "TCMC Créditos Hipotecarios I" o "Tu Casa +Cerca I — FCIC de Créditos"</t>
  </si>
  <si>
    <t>PENDIENTE — Definir con CTG</t>
  </si>
  <si>
    <t>2</t>
  </si>
  <si>
    <t>Participantes: depositaria / asesor de inversiones / comité de inversiones (integración y pautas generales de funcionamiento)</t>
  </si>
  <si>
    <t>Sociedad Gerente: Cono Sur S.G.F.C.I.S.A.
Sociedad Depositaria: Banco Comafi S.A. (a confirmar)
Asesor de Inversión: Capital Token Group S.A. (en formación)
Organizador/Asesor Financiero/Hacedor de Mercado: Cono Sur Inversiones S.A.
Comité de Inversiones: integración y pautas a definir en reglamento de gestión</t>
  </si>
  <si>
    <t>CONFIRMADO por Cono Sur
Depo. a confirmar
CTG en formación</t>
  </si>
  <si>
    <t>3</t>
  </si>
  <si>
    <t>Monto del FCIC y cantidad de cuotapartes / posibilidad de aumento de monto y emisión de nuevas cuotapartes</t>
  </si>
  <si>
    <t>Primer tramo: mínimo USD 3.000.000. Máximo a definir según colocación. Meta de crecimiento a USD 30M (2026-2030). Cuotapartes: a definir VN unitario. Posibilidad de emitir nuevos tramos sujeto a asamblea y CNV.</t>
  </si>
  <si>
    <t>CORREGIDO 06/04 — Mínimo USD 3M, máximo según colocación (no fijo)</t>
  </si>
  <si>
    <t>4</t>
  </si>
  <si>
    <t>Plazo del FCIC</t>
  </si>
  <si>
    <t>Base: 5 años, ampliable a 11 años. Si se amplía, REVISAR con SL (asesor fiscal in-house) si se mantienen los beneficios impositivos (reducción/exención IG bajo Art. 206 Ley 27.440). Modelo financiero corre ambos escenarios.</t>
  </si>
  <si>
    <t>CORREGIDO 06/04 — 5Y base ampliable a 11Y. Validar fiscal con SL</t>
  </si>
  <si>
    <t>5</t>
  </si>
  <si>
    <t>Objetivo de inversión del FCIC</t>
  </si>
  <si>
    <t>Invertir en originación y/o adquisición de créditos hipotecarios a personas humanas destinados a vivienda en Argentina. Ticket promedio estimado USD 30.000. Plazos de crédito: 1 a 5 años. LTV máx 30%. El mix por duration se medirá contra mercado (no se predetermina la distribución por plazo).</t>
  </si>
  <si>
    <t>CORREGIDO 06/04 — Eliminado mix fijo por duration. Se mide contra mercado</t>
  </si>
  <si>
    <t>6</t>
  </si>
  <si>
    <t>Principales activos elegibles</t>
  </si>
  <si>
    <t>Activos específicos: créditos hipotecarios originados o adquiridos por el fondo, garantizados con hipoteca en primer grado sobre inmuebles residenciales en Argentina (min. 75% del patrimonio del fondo).
Activos transitorios: FCI money market, depósitos bancarios, títulos públicos, ONs, VDF, cauciones y otros instrumentos líquidos (hasta 25% del patrimonio).</t>
  </si>
  <si>
    <t>CONFIRMADO por Cono Sur</t>
  </si>
  <si>
    <t>7</t>
  </si>
  <si>
    <t>Tipos de inversión en los activos elegibles</t>
  </si>
  <si>
    <t>Originación directa de créditos hipotecarios a personas humanas a través del canal Coldwell Banker (red inmobiliaria exclusiva). Sistema francés de amortización. Tasa fija en USD.</t>
  </si>
  <si>
    <t>PARCIAL — Confirmar si también adquisición de cartera de terceros</t>
  </si>
  <si>
    <t>8</t>
  </si>
  <si>
    <t>Pautas de diversificación y condiciones de elegibilidad de los activos</t>
  </si>
  <si>
    <t>Diversificación: ningún crédito individual puede exceder el 5% del patrimonio del fondo. Elegibilidad: (i) hipoteca en 1er grado, (ii) destino vivienda única o primera vivienda, (iii) LTV max 30%, (iv) inmueble en Argentina, (v) deudor persona humana con capacidad de repago verificada, (vi) seguro de vida del deudor, (vii) tasación por valuador independiente registrado.</t>
  </si>
  <si>
    <t>PROVISORIO — Sujeto a definición final de scoring y criterios de originación</t>
  </si>
  <si>
    <t>9</t>
  </si>
  <si>
    <t>Formas de valuación de activos</t>
  </si>
  <si>
    <t>Créditos performing: costo amortizado (valor presente de flujos futuros descontados a tasa de originación). Créditos en mora &gt;90 días: valor recuperable neto (valor de garantía menos costos de ejecución). Activos transitorios: valor de mercado o cotización.</t>
  </si>
  <si>
    <t>PROVISORIO — Sujeto a validación con auditor y CNV</t>
  </si>
  <si>
    <t>10</t>
  </si>
  <si>
    <t>Tipo y Clases de cuotapartes</t>
  </si>
  <si>
    <t>Propuesta inicial: clase única de cuotapartes (cuotapartes de condominio). Alternativa a evaluar: Clase A (senior, renta fija) + Clase B (subordinada, equity). Cuotapartes escriturales, nominativas, no endosables.</t>
  </si>
  <si>
    <t>PENDIENTE — Definir si una o dos clases</t>
  </si>
  <si>
    <t>11</t>
  </si>
  <si>
    <t>Moneda del FCIC y bimonetariedad (suscripción y rescate en otras monedas para alguna clase)</t>
  </si>
  <si>
    <t>Moneda del fondo: dólares estadounidenses (USD). Suscripción: en USD. Evaluar posibilidad de suscripción en ARS al tipo de cambio MEP/CCL del día. Rescate: en USD.</t>
  </si>
  <si>
    <t>PARCIAL — Confirmar mecanismo de suscripción en ARS</t>
  </si>
  <si>
    <t>12</t>
  </si>
  <si>
    <t>Forma de integración (posibilidad de integración en especie)</t>
  </si>
  <si>
    <t>Integración en efectivo (USD). No se prevé integración en especie en la etapa inicial. Podría evaluarse para futuras ampliaciones la cesión de carteras de créditos hipotecarios como aporte en especie.</t>
  </si>
  <si>
    <t>PROVISORIO</t>
  </si>
  <si>
    <t>13</t>
  </si>
  <si>
    <t>Posibilidad o no de distribuir utilidades. Posibilidad o no de capitalizarlas.</t>
  </si>
  <si>
    <t>Sí, se prevé distribución de utilidades. Propuesta: dividendo anual del 5% sobre capital suscripto a partir del Año 2. Capitalización automática de utilidades no distribuidas. Mecanismo: la Soc. Gerente declara distribución y la depositaria ejecuta el pago.</t>
  </si>
  <si>
    <t>PARCIAL — Cono Sur indica "a ser definido"</t>
  </si>
  <si>
    <t>14</t>
  </si>
  <si>
    <t>Posibilidad de algún supuesto de rescate parcial anticipado</t>
  </si>
  <si>
    <t>Sí. Rescate parcial: hasta 20% del patrimonio neto del fondo por evento. Si las solicitudes superan ese monto, se aplica prorrateo entre los solicitantes. Frecuencia: trimestral o semestral (a definir).</t>
  </si>
  <si>
    <t>CONFIRMADO por Cono Sur (20%)</t>
  </si>
  <si>
    <t>15</t>
  </si>
  <si>
    <t>Forma de liquidación del FCIC</t>
  </si>
  <si>
    <t>Al vencimiento del plazo, por decisión de asamblea extraordinaria de cuotapartistas (mayoría calificada), o por eventos regulatorios previstos en Ley 24.083. Liquidación: realización ordenada de activos, pago de pasivos y distribución del remanente a prorrata.</t>
  </si>
  <si>
    <t>SECCIÓN II — INFORMACIÓN DEL ASESOR DE INVERSIÓN (para Prospecto)</t>
  </si>
  <si>
    <t>Denominación social</t>
  </si>
  <si>
    <t>Capital Token Group S.A. (en proceso de constitución)</t>
  </si>
  <si>
    <t>PENDIENTE — CTG en formación</t>
  </si>
  <si>
    <t>CUIT</t>
  </si>
  <si>
    <t>A obtener con inscripción societaria</t>
  </si>
  <si>
    <t>PENDIENTE</t>
  </si>
  <si>
    <t>Sede Social</t>
  </si>
  <si>
    <t>A definir (Buenos Aires, Argentina)</t>
  </si>
  <si>
    <t>Estatuto Social</t>
  </si>
  <si>
    <t>En redacción. Objeto social incluirá asesoramiento de inversión en FCI.</t>
  </si>
  <si>
    <t>Dirección de email</t>
  </si>
  <si>
    <t>A definir (ej. info@capitaltokengroup.com)</t>
  </si>
  <si>
    <t>Página web</t>
  </si>
  <si>
    <t>A definir. Landing actual del producto: developfb.github.io/TuCasaMasCerca/</t>
  </si>
  <si>
    <t>PARCIAL</t>
  </si>
  <si>
    <t>Datos registrales ante Registro Público de Comercio</t>
  </si>
  <si>
    <t>Pendiente de constitución e inscripción</t>
  </si>
  <si>
    <t>Nómina de miembros del Órgano de Administración y Fiscalización (fecha designación y vencimiento mandato)</t>
  </si>
  <si>
    <t>A completar una vez constituida la sociedad</t>
  </si>
  <si>
    <t>PENDIENTE — CTG</t>
  </si>
  <si>
    <t>Nómina de Accionistas y/o Socios</t>
  </si>
  <si>
    <t>1.5% por crédito originado (one-time), cobrado al FCIC. El fondo recibe el 5% del tomador y paga 1.5% al asesor por la originación.</t>
  </si>
  <si>
    <t>CORREGIDO 06/04 — 1.5% (no 1%). El asesor cobra al fondo, no al tomador.</t>
  </si>
  <si>
    <t>Reseña histórica de la empresa (info comercial/promocional)</t>
  </si>
  <si>
    <t>Capital Token Group nace como vehículo de inversión y asesoramiento enfocado en créditos hipotecarios de bajo monto (micro-mortgages) para el segmento de primera vivienda en Argentina, en alianza con la red inmobiliaria Coldwell Banker.</t>
  </si>
  <si>
    <t>PROVISORIO — Expandir</t>
  </si>
  <si>
    <t>EECC anuales últimos 3 ejercicios</t>
  </si>
  <si>
    <t>No disponibles (sociedad en formación, sin ejercicios previos)</t>
  </si>
  <si>
    <t>N/A — Sociedad nueva</t>
  </si>
  <si>
    <t>Información sobre política ambiental (si existe)</t>
  </si>
  <si>
    <t>En desarrollo. El fondo se orientará a financiar vivienda accesible, alineado con ODS 11 (Ciudades y Comunidades Sostenibles).</t>
  </si>
  <si>
    <t>A DEFINIR</t>
  </si>
  <si>
    <t>NO replicar el tope fijo de 5.4% de Lendar. En su lugar: definir rendimiento objetivo en el plazo propuesto, sin comprometer un ratio transaccional fijo. Fundamento: el FCIC es un fondo a riesgo, no a renta fija. Un tope rígido obliga al sponsor a cubrir desfasajes financieros momentáneos, lo cual es inconsistente con la naturaleza del vehículo. Lendar (Cl. 10.5) fija 5.4% como referencia.</t>
  </si>
  <si>
    <t>CORREGIDO 06/04 — Sin tope fijo. Rendimiento objetivo, no transaccional. Fondo a riesgo.</t>
  </si>
  <si>
    <t>SECCIÓN III — ESTRUCTURA DE HONORARIOS (Ref. Propuesta Cono Sur)</t>
  </si>
  <si>
    <t>Concepto</t>
  </si>
  <si>
    <t>Honorario / Comisión</t>
  </si>
  <si>
    <t>Responsable</t>
  </si>
  <si>
    <t>5% + IVA cobrado al tomador del crédito. El 100% ingresa al FCIC como ingreso del fondo. No hay extracción pre-fondo.</t>
  </si>
  <si>
    <t>CORREGIDO 06/04 — Todo el 5% va al fondo. No hay split pre-fondo.</t>
  </si>
  <si>
    <t>Sociedad Depositaria</t>
  </si>
  <si>
    <t>0.20% anual del PN (en propuesta Cono Sur; modelo usa 0.15%)</t>
  </si>
  <si>
    <t>Banco Comafi S.A.</t>
  </si>
  <si>
    <t>Asesor de Inversión (Mgmt Fee)</t>
  </si>
  <si>
    <t>Opción A (ACTIVA EN MODELO): SIN mgmt fee % PN → cobra 1% por crédito originado (one-time). Opción B (propuesta ConoSur): 1% PN + 10% carry &gt;6% hurdle. SUPUESTOS fila 30: B30 = 0% (sin fee anual sobre PN).</t>
  </si>
  <si>
    <t>CORREGIDO — Modelo usa Opción A (0% PN). TCA anterior decía 1.25% → INCORRECTO</t>
  </si>
  <si>
    <t>Carried Interest</t>
  </si>
  <si>
    <t>10% sobre exceso de hurdle 6% — Consistente con Propuesta ConoSur Mar-2026. SUPUESTOS fila 33: B33 = 10%, fila 34: B34 = 6%.</t>
  </si>
  <si>
    <t>CONFIRMADO 06/04 — 10% carry sobre exceso hurdle 6%</t>
  </si>
  <si>
    <t>Colocadores</t>
  </si>
  <si>
    <t>1.50% del monto suscripto (one-time) — Propuesta ConoSur Mar-2026. SUPUESTOS fila 36: B36 = 1.5%.</t>
  </si>
  <si>
    <t>Cono Sur Inversiones + otros ACyDIs</t>
  </si>
  <si>
    <t>Organizador</t>
  </si>
  <si>
    <t>0.25% del monto suscripto (one-time)</t>
  </si>
  <si>
    <t>Cono Sur Inversiones S.A.</t>
  </si>
  <si>
    <t>Hacedor de Mercado</t>
  </si>
  <si>
    <t>1.20% anual (all-in cost) sobre activos de cada cuenta de proveedor de liquidez — SUPUESTOS fila 61: B61 = 1.2%. Costo FUERA del fondo.</t>
  </si>
  <si>
    <t>Límite gastos totales</t>
  </si>
  <si>
    <t>5.40% anual del PN del fondo</t>
  </si>
  <si>
    <t>Per reglamento de gestión</t>
  </si>
  <si>
    <t>NOTA (actualizada 06/04/2026): Correcciones aplicadas según revisión de Pancho: (1) Monto: mín 3M, máx según colocación, (2) Plazo: 5Y base ampliable a 11Y + validar fiscal, (3) Mix sin distribución fija por duration, (4) Upfront 5% todo al fondo, (5) Fee asesor originación 1.5%, (6) Carry 10%/6% confirmado, (7) Apalancamiento como alternativa en reglamento, (8) Nuevas cláusulas: ejecución extrajudicial + compra/venta créditos, (9) Sin tope fijo de gastos (rendimiento objetivo, fondo a riesgo).</t>
  </si>
  <si>
    <t>SECCIÓN IV — APALANCAMIENTO Y ESTRUCTURA DE CAPITAL</t>
  </si>
  <si>
    <t>Posibilidad de endeudamiento del FCIC</t>
  </si>
  <si>
    <t>Alternativa a incluir en reglamento de gestión. Cláusula habilitante para que el FCIC pueda tomar endeudamiento garantizado con los créditos de su cartera, hasta 1x PN, previa autorización CNV. Referencia: Lendar Cl. 16.1.5. Parámetros de modelo: leverage efectivo 0.2x, inicio año 3, costo deuda senior 9% USD. Activación sujeta a track record y condiciones de mercado.</t>
  </si>
  <si>
    <t>CORREGIDO 06/04 — Es alternativa habilitada en reglamento, no obligatoria</t>
  </si>
  <si>
    <t>Estructura Senior / Subordinada</t>
  </si>
  <si>
    <t>Evaluar emisión de cuotapartes Clase A (senior, renta fija, prioridad de cobro) y Clase B (subordinada, equity, con carry). Alternativa: línea de crédito bancaria con colateral de cartera hipotecaria. El leverage permite incrementar TIR equity de ~8.2% a ~10% con 1x y deuda al 6.5%.</t>
  </si>
  <si>
    <t>PENDIENTE — Definir timing y estructura</t>
  </si>
  <si>
    <t>Timing del apalancamiento</t>
  </si>
  <si>
    <t>Se recomienda introducir leverage a partir de Serie 2 o 3 del fondo, una vez establecido track record de originación y cobranza (12-18 meses mínimo). Esto es consistente con la práctica de mercado y facilita pricing de la deuda senior.</t>
  </si>
  <si>
    <t>PROVISORIO — Sujeto a track record</t>
  </si>
  <si>
    <t>Covenants y protecciones</t>
  </si>
  <si>
    <t>Covenants típicos para deuda senior hipotecaria: (i) LTV estructura ≤60%, (ii) DSCR mínimo 1.3x, (iii) subordinación mínima 40%, (iv) mora &gt;90 días &lt;5% de cartera, (v) ratio cobertura de intereses. Ver pestaña LEVERAGE ANALYSIS para sensibilidad.</t>
  </si>
  <si>
    <t>PROVISORIO — Negociar con proveedor de deuda</t>
  </si>
  <si>
    <t>Impacto en reglamento de gestión</t>
  </si>
  <si>
    <t>La cláusula de endeudamiento debe figurar expresamente en el reglamento de gestión aprobado por CNV. Debe especificar: (a) límite máximo de endeudamiento, (b) tipos de deuda permitidos, (c) requisito de autorización previa CNV, (d) información a cuotapartistas. Lendar (Cl. 16.1.5) es modelo a seguir.</t>
  </si>
  <si>
    <t>ACCIÓN REQUERIDA — Incluir en borrador de reglamento</t>
  </si>
  <si>
    <t>Cláusula de ejecución extrajudicial</t>
  </si>
  <si>
    <t>Incluir en reglamento cláusula que habilite ejecución extrajudicial de hipotecas bajo Ley 24.441, Título V (Arts. 52-67). Cada contrato de mutuo hipotecario deberá contener cláusula expresa de sometimiento. Ventaja: plazos de 3-6 meses vs 6-24 meses judicial.</t>
  </si>
  <si>
    <t>ACCIÓN — Incluir en borrador de reglamento y modelo de contrato</t>
  </si>
  <si>
    <t>Cláusula de venta/securitización de créditos</t>
  </si>
  <si>
    <t>Habilitar en reglamento que el FCIC pueda: (a) vender créditos individuales de su cartera a terceros, y (b) securitizar paquetes de créditos (emitir VDF u otros instrumentos respaldados por la cartera). Permite gestión activa de cartera y generación de liquidez.</t>
  </si>
  <si>
    <t>ACCIÓN — Incluir en reglamento. Clave para way-out y liquidez.</t>
  </si>
  <si>
    <t>SECCIÓN V — RÉGIMEN DE COBRANZA Y EJECUCIÓN HIPOTECARIA</t>
  </si>
  <si>
    <t>Régimen de ejecución hipotecaria</t>
  </si>
  <si>
    <t>Ejecución extrajudicial bajo Ley 24.441, Título V, Arts. 52-67. Permite ejecutar hipotecas sin intervención judicial cuando el contrato incluye cláusula expresa. Plazo estimado: 3-6 meses (vs 6-24 meses vía judicial).</t>
  </si>
  <si>
    <t>RECOMENDADO — Ventaja operativa clave</t>
  </si>
  <si>
    <t>Legitimación activa para ejecutar</t>
  </si>
  <si>
    <t>La Sociedad Depositaria (Banco Comafi) es la legitimada activa como titular fiduciario de los créditos del FCIC. El Asesor de Inversión (CTG/TCMC) coordina operativamente vía mandato otorgado por la Depositaria.</t>
  </si>
  <si>
    <t>CONFIRMAR con Banco Comafi</t>
  </si>
  <si>
    <t>Costo máximo de ejecución</t>
  </si>
  <si>
    <t>Ley 24.441 establece tope de 3% del monto del crédito para costos de ejecución extrajudicial (honorarios, tasación, publicación).</t>
  </si>
  <si>
    <t>CONFIRMADO — Ley 24.441</t>
  </si>
  <si>
    <t>Mora y procedimiento pre-ejecución</t>
  </si>
  <si>
    <t>Previo a ejecución: (i) intimación fehaciente al deudor (30 días), (ii) intervención de escribano para acta de constatación de mora, (iii) tasación del inmueble, (iv) publicación de edictos por 3 días.</t>
  </si>
  <si>
    <t>PROVISORIO — Definir política de gestión de mora</t>
  </si>
  <si>
    <t>SECCIÓN VI — OBJETO SOCIAL CAPITAL TOKEN GROUP</t>
  </si>
  <si>
    <t>Borrador recomendado</t>
  </si>
  <si>
    <t>Se recomienda el borrador ajustado (v2) que incluye incisos d) y e) excluyendo expresamente actividades reguladas por Ley 21.526 (entidades financieras) y normativa BCRA. Esto evita que CTG sea considerada intermediaria financiera.</t>
  </si>
  <si>
    <t>RECOMENDADO — Usar borrador v2 (ajustado)</t>
  </si>
  <si>
    <t>Incisos clave del objeto social</t>
  </si>
  <si>
    <t>a) Asesoramiento en inversiones y FCI. b) Originación y administración de créditos hipotecarios como mandatario. c) Desarrollo tecnológico para plataformas fintech. d) Exclusión Ley 21.526. e) Exclusión captación de ahorro público.</t>
  </si>
  <si>
    <t>PROVISORIO — Validar con abogado societario</t>
  </si>
  <si>
    <t>Riesgo regulatorio</t>
  </si>
  <si>
    <t>Sin los incisos d) y e), CTG podría ser interpretada como entidad financiera no autorizada (Art. 7, Ley 21.526). La exclusión expresa protege ante BCRA y UIF.</t>
  </si>
  <si>
    <t>CRÍTICO — No omitir exclusiones</t>
  </si>
  <si>
    <t>TODO LIST — TCMC FCIC</t>
  </si>
  <si>
    <t>Última reunión: 31 marzo 2026 | Próximo follow-up: semana 7-11 abril 2026</t>
  </si>
  <si>
    <t>A. ACCIONES POST-REUNIÓN 31/03/2026</t>
  </si>
  <si>
    <t>Prioridad</t>
  </si>
  <si>
    <t>Tarea / Descripción</t>
  </si>
  <si>
    <t>Consultar con</t>
  </si>
  <si>
    <t>Deadline</t>
  </si>
  <si>
    <t>Estado / Notas</t>
  </si>
  <si>
    <t>ALTA</t>
  </si>
  <si>
    <t>Elaborar Term Sheet (TS) del FCIC — resumen de términos y condiciones</t>
  </si>
  <si>
    <t>Gonzalo Ortiz / Pancho</t>
  </si>
  <si>
    <t>TCA (asesores legales)</t>
  </si>
  <si>
    <t>10/04/2026</t>
  </si>
  <si>
    <t>PENDIENTE — Usar datos Tanoira (Sección C) como base</t>
  </si>
  <si>
    <t>Validar comisión up-front 5% que abona tomador a favor del FCIC</t>
  </si>
  <si>
    <t>Pancho</t>
  </si>
  <si>
    <t>TCA / SL (asesor fiscal)</t>
  </si>
  <si>
    <t>PENDIENTE — Definir si es IVA gravado</t>
  </si>
  <si>
    <t>Confirmar si extensión de plazo FCIC (~5 a ~11 años) mantiene reducción/exención de IG</t>
  </si>
  <si>
    <t>CONO SUR</t>
  </si>
  <si>
    <t>SL (asesor fiscal in-house)</t>
  </si>
  <si>
    <t>PENDIENTE — Clave para definición de plazo</t>
  </si>
  <si>
    <t>Definir mecanismo de liquidación (way out) del FCIC</t>
  </si>
  <si>
    <t>Reunión follow-up</t>
  </si>
  <si>
    <t>Definir mecanismo para ampliar monto o emitir nueva serie</t>
  </si>
  <si>
    <t>MEDIA</t>
  </si>
  <si>
    <t>Programa de liquidez para cuotapartes del FCIC</t>
  </si>
  <si>
    <t>A3 / BYMA (mercados)</t>
  </si>
  <si>
    <t>PENDIENTE — Evaluar market maker</t>
  </si>
  <si>
    <t>Mecanismo de recompra de cuotapartes por parte del FCIC</t>
  </si>
  <si>
    <t>Apalancamiento mediante financiamiento garantizado con créditos del FCIC</t>
  </si>
  <si>
    <t>TCA / potenciales inversores</t>
  </si>
  <si>
    <t>PENDIENTE — Evaluar viabilidad regulatoria</t>
  </si>
  <si>
    <t>Mecanismo de venta de créditos por parte del FCIC</t>
  </si>
  <si>
    <t>Compartir TS con TCA, FAs de ConoSur y potenciales colocadores/distribuidores</t>
  </si>
  <si>
    <t>—</t>
  </si>
  <si>
    <t>Post 10/04</t>
  </si>
  <si>
    <t>PENDIENTE — Depende de #1</t>
  </si>
  <si>
    <t>Agendar reunión de follow-up</t>
  </si>
  <si>
    <t>Todos</t>
  </si>
  <si>
    <t>Semana 7-11/04</t>
  </si>
  <si>
    <t>B. FACTURACIÓN TCA (TANOIRA CASSAGNE) — USD 6.000 (30% gestión)</t>
  </si>
  <si>
    <t>Proveer datos de facturación a TCA para emisión factura USD 6K (30% valor gestión)</t>
  </si>
  <si>
    <t>TCA</t>
  </si>
  <si>
    <t>URGENTE</t>
  </si>
  <si>
    <t>Me contacto desde la administración de TCA Tanoira Cassagne. Nos encontramos en condiciones de avanzar con la facturación de USD 6.000 + impuestos, en concepto de FCI Cerrado - Cuota 1 - 30% emitida de manera anticipada al inicio de los trabajos
Agradeceremos que nos brinden su conformidad y nos proporcionen los datos de facturación correspondientes para proceder con la emisión.</t>
  </si>
  <si>
    <t>Confirmar forma de pago y moneda de facturación</t>
  </si>
  <si>
    <t>ASAP</t>
  </si>
  <si>
    <t>C. INFORMACIÓN REQUERIDA POR TCA (TANOIRA CASSAGNE) — Para Reglamento y Prospecto</t>
  </si>
  <si>
    <t>C.1. DEFINICIONES ESTRUCTURALES DEL FCIC (15 puntos — para borrador de Reglamento de Gestión)</t>
  </si>
  <si>
    <t>Pregunta / Requerimiento TCA</t>
  </si>
  <si>
    <t>Respuesta / Definición</t>
  </si>
  <si>
    <t>Estado</t>
  </si>
  <si>
    <t>Notas para TS</t>
  </si>
  <si>
    <t>C1.1</t>
  </si>
  <si>
    <t>Nombre del FCIC</t>
  </si>
  <si>
    <t>Pancho / Gonzalo</t>
  </si>
  <si>
    <t>Debe constar desde el inicio para actas de creación</t>
  </si>
  <si>
    <t>C1.2</t>
  </si>
  <si>
    <t>Participantes: Depositaria / Asesor de Inversión / Comité de Inversiones (integración y pautas)</t>
  </si>
  <si>
    <t>Definir roles y funcionamiento</t>
  </si>
  <si>
    <t>C1.3</t>
  </si>
  <si>
    <t>Monto del FCIC y cantidad de cuotapartes / posibilidad de aumento y nueva emisión</t>
  </si>
  <si>
    <t>Relacionado con tarea #5</t>
  </si>
  <si>
    <t>C1.4</t>
  </si>
  <si>
    <t>Pancho / SL</t>
  </si>
  <si>
    <t>Relacionado con tarea #3 (5Y vs 11Y)</t>
  </si>
  <si>
    <t>C1.5</t>
  </si>
  <si>
    <t>Micro-hipotecas residenciales</t>
  </si>
  <si>
    <t>C1.6</t>
  </si>
  <si>
    <t>Créditos hipotecarios</t>
  </si>
  <si>
    <t>C1.7</t>
  </si>
  <si>
    <t>C1.8</t>
  </si>
  <si>
    <t>Pautas de diversificación y condiciones de elegibilidad de activos</t>
  </si>
  <si>
    <t>LTV, cuota/ingreso, scoring</t>
  </si>
  <si>
    <t>C1.9</t>
  </si>
  <si>
    <t>C1.10</t>
  </si>
  <si>
    <t>Pancho / TCA</t>
  </si>
  <si>
    <t>C1.11</t>
  </si>
  <si>
    <t>Moneda del FCIC y bimonetariedad (suscripción/rescate en otras monedas)</t>
  </si>
  <si>
    <t>USD base</t>
  </si>
  <si>
    <t>C1.12</t>
  </si>
  <si>
    <t>C1.13</t>
  </si>
  <si>
    <t>Distribución de utilidades / posibilidad de capitalización</t>
  </si>
  <si>
    <t>Ver waterfall del modelo</t>
  </si>
  <si>
    <t>C1.14</t>
  </si>
  <si>
    <t>Supuesto de rescate parcial anticipado</t>
  </si>
  <si>
    <t>Relacionado con tarea #7</t>
  </si>
  <si>
    <t>C1.15</t>
  </si>
  <si>
    <t>Relacionado con tarea #4</t>
  </si>
  <si>
    <t>C.2. DATOS DEL ASESOR DE INVERSIÓN — Para Prospecto (13 puntos)</t>
  </si>
  <si>
    <t>Dato Requerido por TCA</t>
  </si>
  <si>
    <t>Dato / Documento</t>
  </si>
  <si>
    <t>Notas</t>
  </si>
  <si>
    <t>C2.1</t>
  </si>
  <si>
    <t>Nombre legal de +Cerca</t>
  </si>
  <si>
    <t>C2.2</t>
  </si>
  <si>
    <t>C2.3</t>
  </si>
  <si>
    <t>Dirección legal</t>
  </si>
  <si>
    <t>C2.4</t>
  </si>
  <si>
    <t>Adjuntar copia certificada</t>
  </si>
  <si>
    <t>C2.5</t>
  </si>
  <si>
    <t>Email corporativo</t>
  </si>
  <si>
    <t>C2.6</t>
  </si>
  <si>
    <t>tucasamascerca.com.ar o similar</t>
  </si>
  <si>
    <t>C2.7</t>
  </si>
  <si>
    <t>C2.8</t>
  </si>
  <si>
    <t>Nómina de miembros del Órgano de Administración y Fiscalización (fecha designación y vto. mandato)</t>
  </si>
  <si>
    <t>Incluir directores y síndicos</t>
  </si>
  <si>
    <t>C2.9</t>
  </si>
  <si>
    <t>C2.10</t>
  </si>
  <si>
    <t>Antecedentes personales, técnicos y empresariales de administradores (educación, experiencia)</t>
  </si>
  <si>
    <t>CVs de cada administrador</t>
  </si>
  <si>
    <t>C2.11</t>
  </si>
  <si>
    <t>Reseña histórica de la empresa (información comercial/promocional)</t>
  </si>
  <si>
    <t>Para sección del Prospecto</t>
  </si>
  <si>
    <t>C2.12</t>
  </si>
  <si>
    <t>EECC anuales últimos 3 ejercicios (si existen)</t>
  </si>
  <si>
    <t>Si la empresa es nueva, indicarlo</t>
  </si>
  <si>
    <t>C2.13</t>
  </si>
  <si>
    <t>Opcional pero recomendable</t>
  </si>
  <si>
    <t>D. CLÁUSULAS CLAVE PARA REGLAMENTO DE GESTIÓN (Definidas 06/04/2026)</t>
  </si>
  <si>
    <t>Cláusula / Tema</t>
  </si>
  <si>
    <t>Incluir cláusula de ejecución extrajudicial (Ley 24.441 Título V) en reglamento y modelo de contrato de mutuo hipotecario</t>
  </si>
  <si>
    <t>Para TS 10/04</t>
  </si>
  <si>
    <t>PENDIENTE — Ventaja operativa: 3-6 meses vs 6-24 judicial</t>
  </si>
  <si>
    <t>Habilitar en reglamento adquisición de créditos hipotecarios de terceros (bancos, fintech, otros fondos)</t>
  </si>
  <si>
    <t>PENDIENTE — Flexibiliza crecimiento y diversificación</t>
  </si>
  <si>
    <t>Habilitar en reglamento venta de créditos individuales a terceros + securitización de paquetes de cartera (VDF u otros)</t>
  </si>
  <si>
    <t>PENDIENTE — Clave para way-out y gestión activa de cartera</t>
  </si>
  <si>
    <t>Replantear tope de gastos: NO fijar 5.4% fijo (como Lendar). Definir rendimiento objetivo en plazo propuesto. Fondo a riesgo, no renta fija.</t>
  </si>
  <si>
    <t>TCA / ConoSur</t>
  </si>
  <si>
    <t>PENDIENTE — Evitar que sponsor cubra desfasajes momentáneos</t>
  </si>
  <si>
    <t>Incluir cláusula habilitante de apalancamiento (hasta 1x PN, previa CNV). Es alternativa, no obligatoria.</t>
  </si>
  <si>
    <t>PENDIENTE — Ref: Lendar Cl. 16.1.5</t>
  </si>
  <si>
    <t>Confirmar fee asesor originación en 1.5% (cobrado al fondo, no al tomador). Upfront 5% íntegro al fondo.</t>
  </si>
  <si>
    <t>ConoSur / TCA</t>
  </si>
  <si>
    <t>DEFINIDO 06/04 — Actualizar modelo</t>
  </si>
  <si>
    <t>Validar con SL si extensión de 5Y a 11Y mantiene beneficios IG (Art. 206 Ley 27.440)</t>
  </si>
  <si>
    <t>SL (asesor fiscal)</t>
  </si>
  <si>
    <t>Antes de TS</t>
  </si>
  <si>
    <t>PENDIENTE — Crítico para definición de plazo</t>
  </si>
  <si>
    <t>NOTA: Los datos de la Sección C.2 son los que TCA necesita para facturar USD 6K (30% gestión). La Sección D agrupa las cláusulas clave que deben incluirse en el borrador de reglamento de gestión y en el Term Sheet (TS) del 10/04.</t>
  </si>
  <si>
    <t>MODELO TCMC — FCIC HIPOTECARIO (Cono Sur Investments)</t>
  </si>
  <si>
    <t>Basado en Propuesta ConoSur a Capital Token Group S.A., Marzo 2026. Capital: USD 5M Tramo I. Plazo base: 5yr / Alt: 11yr.</t>
  </si>
  <si>
    <t>TCMC (TBD)</t>
  </si>
  <si>
    <t>Detalle / Fuente</t>
  </si>
  <si>
    <t>LENDAR (Allaria)</t>
  </si>
  <si>
    <t>Detalle / CI (Cláusula Informativa)</t>
  </si>
  <si>
    <t>I. PARÁMETROS DEL FONDO</t>
  </si>
  <si>
    <t>Capital Inicial (USD)</t>
  </si>
  <si>
    <t>Tramo 1 — Propuesta ConoSur Mar-2026: ≈USD 5M (ampliable). Mín emisión: USD 2.5M, Máx: USD 100M</t>
  </si>
  <si>
    <t>No publicado. Usamos 3M como referencia.</t>
  </si>
  <si>
    <t>2.4 Mínimo de emisión: 2.500.000 Máximo 100.000.000</t>
  </si>
  <si>
    <t>Plazo del Fondo (años)</t>
  </si>
  <si>
    <t>Base: 5yr (ConoSur) / Alt: 11yr. ≈5 años con opción de extensión</t>
  </si>
  <si>
    <t>Plazos crédito hasta 11 años. Cl. 16.3.5</t>
  </si>
  <si>
    <t>2.3.3 El vencimiento de los diversos créditos hipotecarios originados y/o adquiridos por el Fondo podrá operar con posterioridad al vencimiento del Plazo del Fondo.</t>
  </si>
  <si>
    <t>Ticket Promedio Crédito (USD)</t>
  </si>
  <si>
    <t>≈USD 30,000 por crédito. Plazos 1-3 años. Aforos ≈30%</t>
  </si>
  <si>
    <t>N/D</t>
  </si>
  <si>
    <t>No publicado</t>
  </si>
  <si>
    <t>LTV Máximo</t>
  </si>
  <si>
    <t>30% — Propuesta ConoSur Mar-2026</t>
  </si>
  <si>
    <t>Presentación prensa Lendar</t>
  </si>
  <si>
    <t>3.2.5</t>
  </si>
  <si>
    <t>LTV máximo 35% según Cl. 3.2.5 Reglamento</t>
  </si>
  <si>
    <t>Moneda</t>
  </si>
  <si>
    <t>USD</t>
  </si>
  <si>
    <t>Dólares estadounidenses — Propuesta ConoSur Mar-2026</t>
  </si>
  <si>
    <t>Cl. 2.5: "La moneda del Fondo será el Dólar Estadounidense"</t>
  </si>
  <si>
    <t>II. MIX DE CRÉDITOS</t>
  </si>
  <si>
    <t>Plazo (años)</t>
  </si>
  <si>
    <t>Tasa TNA</t>
  </si>
  <si>
    <t>Distribución %</t>
  </si>
  <si>
    <t>Lendar Tasa TNA</t>
  </si>
  <si>
    <t>Fuente CI</t>
  </si>
  <si>
    <t>Cl. 16.3.5 — piso de rango</t>
  </si>
  <si>
    <t>Cl. 16.3.5 — techo de rango</t>
  </si>
  <si>
    <t>WAL (años)</t>
  </si>
  <si>
    <t>Tasa Media Ponderada</t>
  </si>
  <si>
    <t>Rotación Anual (1/WAL)</t>
  </si>
  <si>
    <t>Rotación Imperfecta</t>
  </si>
  <si>
    <t>Tasa Media Ajustada</t>
  </si>
  <si>
    <t>III. COSTOS DEL FONDO (% sobre PN)</t>
  </si>
  <si>
    <t>TCMC</t>
  </si>
  <si>
    <t>Detalle</t>
  </si>
  <si>
    <t>LENDAR</t>
  </si>
  <si>
    <t>CI Lendar</t>
  </si>
  <si>
    <t>Honorarios Soc. Gerente (anual)</t>
  </si>
  <si>
    <t>1.20% anual PN — Cono Sur S.G.F.C.I.S.A. (Propuesta ConoSur Mar-2026)</t>
  </si>
  <si>
    <t>Cl. 16.5.1: 1.25% anual del PN</t>
  </si>
  <si>
    <t>10.1</t>
  </si>
  <si>
    <t>Cl. 10.1: máx 1.20% anual del PN. Liquidación trimestral + IVA.</t>
  </si>
  <si>
    <t>Honorarios Soc. Depositaria (anual)</t>
  </si>
  <si>
    <t>0.20% anual PN neto — Banco Comafi S.A. (a confirmar). Mín USD 21,600+IVA/año (Propuesta ConoSur)</t>
  </si>
  <si>
    <t>Cl. 16.5.2: 0.20% anual del PN. NOTA: parece caro vs mercado</t>
  </si>
  <si>
    <t>10.3</t>
  </si>
  <si>
    <t>Mínimo de 21600 USD + IVA anual. Fee inicial de 10000 USD + IVA (one-time). Si 0.2%*PN &lt; 21600, aplica el mínimo.</t>
  </si>
  <si>
    <t>Honorarios Asesor Inversión (anual % PN)</t>
  </si>
  <si>
    <t>Opción A (activa): SIN mgmt fee % PN, cobra por crédito. Alt B: 1% PN + 10% carry &gt;6% hurdle (Propuesta ConoSur)</t>
  </si>
  <si>
    <t>NO cobra % anual PN. Cobra one-time por crédito (ver abajo)</t>
  </si>
  <si>
    <t>16.5</t>
  </si>
  <si>
    <t>Lendar Cl. 16.5: NO prevé mgmt fee % PN para asesor. Solo fee por crédito (1%/0.7%)</t>
  </si>
  <si>
    <t>Fee Asesor por crédito originado (one-time)</t>
  </si>
  <si>
    <t>1% por crédito originado — Propuesta ConoSur Mar-2026 (antes 1.5%)</t>
  </si>
  <si>
    <t>Cl. 16.5.5: 1% por crédito originado directamente</t>
  </si>
  <si>
    <t>16.5.5</t>
  </si>
  <si>
    <t>Cl. 16.5.5: ≤1% anual del valor de cada crédito originado + IVA</t>
  </si>
  <si>
    <t>Fee Asesor por crédito adquirido (one-time)</t>
  </si>
  <si>
    <t>1% por crédito adquirido — Propuesta ConoSur Mar-2026</t>
  </si>
  <si>
    <t>Cl. 16.5.5: 0.7% por crédito adquirido a terceros</t>
  </si>
  <si>
    <t>Cl. 16.5.5: ≤0.7% anual del valor de cada crédito adquirido + IVA</t>
  </si>
  <si>
    <t>10% sobre exceso hurdle — Opción B de Propuesta ConoSur Mar-2026. EDITABLE.</t>
  </si>
  <si>
    <t>Cl. 16.4: No previsto. "No se garantiza rendimiento"</t>
  </si>
  <si>
    <t>Hurdle Rate</t>
  </si>
  <si>
    <t>6% hurdle rate — Propuesta ConoSur Mar-2026 (antes 10%). EDITABLE.</t>
  </si>
  <si>
    <t>N/A — sin carry, sin hurdle</t>
  </si>
  <si>
    <t>Tope Máximo Gastos (Reglamento)</t>
  </si>
  <si>
    <t>5.4% anual PN — Propuesta ConoSur Mar-2026</t>
  </si>
  <si>
    <t>Cl. 16.5: Tope 5.4% anual PN</t>
  </si>
  <si>
    <t>10.5</t>
  </si>
  <si>
    <t>Cl. 10.5: tope gastos ordinarios + hon. Adm + Cust = 5.4% + IVA</t>
  </si>
  <si>
    <t>Comisión Colocadores (one-time)</t>
  </si>
  <si>
    <t>1.5% del monto suscripto — Propuesta ConoSur Mar-2026</t>
  </si>
  <si>
    <t>Cl. 16.5.4: 0.5% del monto suscripto</t>
  </si>
  <si>
    <t>Comisión Organizador (one-time)</t>
  </si>
  <si>
    <t>0.25% del monto suscripto — Cono Sur Inversiones S.A. (Propuesta ConoSur Mar-2026)</t>
  </si>
  <si>
    <t>Incluida en Soc. Gerente según reglamento</t>
  </si>
  <si>
    <t>Upfront Fee al Fondo</t>
  </si>
  <si>
    <t>5% del monto otorgado (4% al fondo + 1% extracción asesor) — Propuesta ConoSur Mar-2026</t>
  </si>
  <si>
    <t>Cl. 16.3.5: 5% + IVA cobrado al tomador. Ingresa al fondo.</t>
  </si>
  <si>
    <t>2.7</t>
  </si>
  <si>
    <t>Cl. 2.7: CFT = tasa + amort + 5% fee + IVA. Cobrado al tomador.</t>
  </si>
  <si>
    <t>IVA</t>
  </si>
  <si>
    <t>Mín. Anual Soc. Depositaria (USD sin IVA)</t>
  </si>
  <si>
    <t>Cl. 10.3: aplica si 0.2%*PN &lt; este mínimo</t>
  </si>
  <si>
    <t>Cl. 10.3</t>
  </si>
  <si>
    <t>IV. COSTOS FIJOS ANUALES (USD)</t>
  </si>
  <si>
    <t>Auditoría externa</t>
  </si>
  <si>
    <t>Anual</t>
  </si>
  <si>
    <t>Asesoría legal</t>
  </si>
  <si>
    <t>Set Up: Abogados + Fee Inicial Depositaria (solo Año 1)</t>
  </si>
  <si>
    <t>One-time. Fee Depositaria: USD 10,000+IVA (Cl. 10.3)</t>
  </si>
  <si>
    <t>Asesoría contable / impositiva</t>
  </si>
  <si>
    <t>Valuadores independientes</t>
  </si>
  <si>
    <t>NAv</t>
  </si>
  <si>
    <t>Gastos bancarios operativos</t>
  </si>
  <si>
    <t>Custodia documental</t>
  </si>
  <si>
    <t>V. PARÁMETROS DE APALANCAMIENTO</t>
  </si>
  <si>
    <t>Leverage máximo autorizado (x PN)</t>
  </si>
  <si>
    <t>Ratio deuda/equity</t>
  </si>
  <si>
    <t>Cl. 16.1.5: hasta 1x PN, previa autorización CNV</t>
  </si>
  <si>
    <t>16.1</t>
  </si>
  <si>
    <t>Cl. 16.1: endeudamiento no podrá superar PN del último EECC</t>
  </si>
  <si>
    <t>Leverage efectivo usado (x PN)</t>
  </si>
  <si>
    <t>Supuesto: 0.5x inicialmente, creciente</t>
  </si>
  <si>
    <t>Año inicio apalancamiento</t>
  </si>
  <si>
    <t>Desde año 3 (track record necesario)</t>
  </si>
  <si>
    <t>Costo deuda senior (USD, base)</t>
  </si>
  <si>
    <t>Tasa USD para línea senior con colateral hipotecario</t>
  </si>
  <si>
    <t>VI. RESCATES / RETIROS PARCIALES (2 CASOS)</t>
  </si>
  <si>
    <t>Caso 1: Fondo de Liquidez — Monto editable por año en FLUJO fila 72</t>
  </si>
  <si>
    <t>Propuesta ConoSur: ≈20% PN por evento, a partir mes 24. Proveedores de Liquidez ≈25% PN</t>
  </si>
  <si>
    <t>Cl. 16.8: después de 2 años mínimos</t>
  </si>
  <si>
    <t>6.11</t>
  </si>
  <si>
    <t>Cl. 6.11: rescate parcial desde año 3, máx 20% PN, periodicidad anual</t>
  </si>
  <si>
    <t>Caso 2: Año inicio retiro variable</t>
  </si>
  <si>
    <t>Rescate parcial: ≈20% PN por evento (Si &gt; prorrateo), desde mes 24 — Propuesta ConoSur</t>
  </si>
  <si>
    <t>Cl. 16.8: penalidad hasta 5% del monto rescatado</t>
  </si>
  <si>
    <t>Cl. 6.11: máximo 20% del patrimonio por evento de rescate</t>
  </si>
  <si>
    <t>Fee sobre retiros (% del monto retirado)</t>
  </si>
  <si>
    <t>EDITABLE — Propuesta ConoSur no define penalidad explícita. 0% default.</t>
  </si>
  <si>
    <t>Cl. 16.8: hasta 5% penalidad</t>
  </si>
  <si>
    <t>Lendar Cl. 6.11: no prevé penalidad explícita, pero TCMC podría definirla</t>
  </si>
  <si>
    <t>Penalidad rescate anticipado (adicional, si aplica)</t>
  </si>
  <si>
    <t>Sin penalidad adicional (a definir en reglamento). EDITABLE.</t>
  </si>
  <si>
    <t>Honorarios Hacedor de Mercado (fuera del fondo)</t>
  </si>
  <si>
    <t>1.2% anual (all in cost) sobre valor de mercado activos Proveedores de Liquidez — Propuesta ConoSur</t>
  </si>
  <si>
    <t>VII. IMPACTO FISCAL RESCATES</t>
  </si>
  <si>
    <t>Alícuota Ganancias PF Residente (renta financiera)</t>
  </si>
  <si>
    <t>Dto. 382/2019, Art.90 Ley 20.628</t>
  </si>
  <si>
    <t>Prospecto p.8</t>
  </si>
  <si>
    <t>Art.90 Ley 20.628, Dto.382/2019. 15% cedular USD si &gt;5 años de vida del fondo.</t>
  </si>
  <si>
    <t>Alícuota Ganancias PJ Residente</t>
  </si>
  <si>
    <t>Cedular moneda extranjera</t>
  </si>
  <si>
    <t>Base imponible rescate</t>
  </si>
  <si>
    <t>Solo la GANANCIA: (Valor Cuotaparte Rescate - Valor Cuotaparte Suscripción)</t>
  </si>
  <si>
    <t>Retención en la fuente</t>
  </si>
  <si>
    <t>Soc. Gerente retiene al momento del rescate (Art.90 bis Ley 20.628)</t>
  </si>
  <si>
    <t>VIII. CIERRE / WIND-DOWN</t>
  </si>
  <si>
    <t>Tasa Securitización (cierre)</t>
  </si>
  <si>
    <t>Supuesto</t>
  </si>
  <si>
    <t>Discount rate para securitizar cartera remanente al cierre. No regulatorio.</t>
  </si>
  <si>
    <t>Año cierre / wind-down</t>
  </si>
  <si>
    <t>Año 11 = 2036 (último año)</t>
  </si>
  <si>
    <t>IX. UPFRONT FEE EXTRACTION (Análisis Asesor)</t>
  </si>
  <si>
    <t>Upfront total al tomador</t>
  </si>
  <si>
    <t>5% + IVA cobrado al deudor hipotecario — Propuesta ConoSur Mar-2026</t>
  </si>
  <si>
    <t>Porción que ingresa al fondo</t>
  </si>
  <si>
    <t>4% ingresa al fondo como ingreso — Propuesta ConoSur</t>
  </si>
  <si>
    <t>Extracción pre-fondo (asesor)</t>
  </si>
  <si>
    <t>1% se cobra antes de que entre al fondo (asesor). Sujeto a aprobación — Propuesta ConoSur</t>
  </si>
  <si>
    <t>IVA sobre extracción</t>
  </si>
  <si>
    <t>IVA facturado por asesor</t>
  </si>
  <si>
    <t>Tasa Media</t>
  </si>
  <si>
    <t>Row 21</t>
  </si>
  <si>
    <t>Rot Anual</t>
  </si>
  <si>
    <t>Row 22</t>
  </si>
  <si>
    <t>Rot Imperfecta</t>
  </si>
  <si>
    <t>Row 23</t>
  </si>
  <si>
    <t>Tasa Ajust</t>
  </si>
  <si>
    <t>Row 24</t>
  </si>
  <si>
    <t>Gerente</t>
  </si>
  <si>
    <t>Row 28</t>
  </si>
  <si>
    <t>Depo</t>
  </si>
  <si>
    <t>Row 29</t>
  </si>
  <si>
    <t>Asesor %PN</t>
  </si>
  <si>
    <t>Row 30</t>
  </si>
  <si>
    <t>Asesor Orig</t>
  </si>
  <si>
    <t>Row 31</t>
  </si>
  <si>
    <t>Asesor Adq</t>
  </si>
  <si>
    <t>Row 32</t>
  </si>
  <si>
    <t>Carry</t>
  </si>
  <si>
    <t>Row 33</t>
  </si>
  <si>
    <t>Hurdle</t>
  </si>
  <si>
    <t>Row 34</t>
  </si>
  <si>
    <t>Tope</t>
  </si>
  <si>
    <t>Row 35</t>
  </si>
  <si>
    <t>Colocador</t>
  </si>
  <si>
    <t>Row 36</t>
  </si>
  <si>
    <t>Row 37</t>
  </si>
  <si>
    <t>Upfront</t>
  </si>
  <si>
    <t>Row 38</t>
  </si>
  <si>
    <t>Row 39</t>
  </si>
  <si>
    <t>Lev Max</t>
  </si>
  <si>
    <t>Row 51</t>
  </si>
  <si>
    <t>Lev Used</t>
  </si>
  <si>
    <t>Row 52</t>
  </si>
  <si>
    <t>Lev Start</t>
  </si>
  <si>
    <t>Row 53</t>
  </si>
  <si>
    <t>Costo Deuda</t>
  </si>
  <si>
    <t>Row 54</t>
  </si>
  <si>
    <t>Fondo Liq Max</t>
  </si>
  <si>
    <t>Row 57</t>
  </si>
  <si>
    <t>Retiro Var Start</t>
  </si>
  <si>
    <t>Row 58</t>
  </si>
  <si>
    <t>Fee Retiro</t>
  </si>
  <si>
    <t>Row 59</t>
  </si>
  <si>
    <t>Penalidad</t>
  </si>
  <si>
    <t>Row 60</t>
  </si>
  <si>
    <t>Tax PF</t>
  </si>
  <si>
    <t>Row 63</t>
  </si>
  <si>
    <t>Tax PJ</t>
  </si>
  <si>
    <t>Row 64</t>
  </si>
  <si>
    <t>Tasa Sec</t>
  </si>
  <si>
    <t>Row 69</t>
  </si>
  <si>
    <t>X. PARTICIPANTES DEL FONDO (Propuesta ConoSur Mar-2026)</t>
  </si>
  <si>
    <t>Nombre del Fondo</t>
  </si>
  <si>
    <t>TCMC Tramo I o "Tu Casa Más Cerca" Tramo I (a confirmar)</t>
  </si>
  <si>
    <t>Tipo de Fondo</t>
  </si>
  <si>
    <t>Fondo Común de Inversión Cerrado de Créditos (FCIC)</t>
  </si>
  <si>
    <t>Sociedad Gerente</t>
  </si>
  <si>
    <t>Cono Sur S.G.F.C.I.S.A.</t>
  </si>
  <si>
    <t>Banco Comafi S.A. (a confirmar)</t>
  </si>
  <si>
    <t>Asesor de Inversión</t>
  </si>
  <si>
    <t>Capital Token Group S.A. (en formación)</t>
  </si>
  <si>
    <t>Organizador, Asesor Financiero y Hacedor de Mercado</t>
  </si>
  <si>
    <t>Proveedores de Liquidez</t>
  </si>
  <si>
    <t>A ser designados (≈25% del patrimonio neto del fondo)</t>
  </si>
  <si>
    <t>Porcentaje mínimo en activos específicos</t>
  </si>
  <si>
    <t>≈75% del patrimonio del fondo</t>
  </si>
  <si>
    <t>Activos transitorios</t>
  </si>
  <si>
    <t>FCI money market, depósitos bancarios, títulos públicos, ONs, VDF, cauciones</t>
  </si>
  <si>
    <t>Objetivo de inversión</t>
  </si>
  <si>
    <t>Créditos hipotecarios a personas humanas, ≈USD 30K, plazos 1-3 años, aforos ≈30%</t>
  </si>
  <si>
    <t>Liquidación del FCIC</t>
  </si>
  <si>
    <t>Al vencimiento del plazo, por decisión de asamblea o eventos regulatorios</t>
  </si>
  <si>
    <t>Anticipo Organizador (no reembolsable)</t>
  </si>
  <si>
    <t>USD 6,250 — a cuenta Comisión Organizador. 15 días corridos.</t>
  </si>
  <si>
    <t>FLUJO DEL FONDO — MODELO TCMC 5 AÑOS (Cono Sur / Capital Token Group, USD 5M)</t>
  </si>
  <si>
    <t>AÑO</t>
  </si>
  <si>
    <t>TOTAL</t>
  </si>
  <si>
    <t>A. CAPITAL Y ORIGINACIÓN</t>
  </si>
  <si>
    <t>Cartera Total Desplegada Inicio</t>
  </si>
  <si>
    <t>Capital Liberado (Amortización)</t>
  </si>
  <si>
    <t>¿Año de Originación Activa?</t>
  </si>
  <si>
    <t>Nuevos Créditos (re-originación)</t>
  </si>
  <si>
    <t>Stock de Capital Fin Año</t>
  </si>
  <si>
    <t>Volumen Total Originado</t>
  </si>
  <si>
    <t>B. APALANCAMIENTO (editar fila 13: 1=ajustar deuda al 50% PN, 0=mantener nivel anterior)</t>
  </si>
  <si>
    <t>¿Ajustar deuda? (1=reset a 0.5x PN, 0=mantener) — editable por año</t>
  </si>
  <si>
    <t>Deuda Senior (monto)</t>
  </si>
  <si>
    <t>Capital Total Desplegado (Equity + Deuda)</t>
  </si>
  <si>
    <t>Leverage Ratio (Deuda / PN Inicio)</t>
  </si>
  <si>
    <t>C. INGRESOS</t>
  </si>
  <si>
    <t>Interés Ganado (sobre capital total desplegado)</t>
  </si>
  <si>
    <t>Upfront Fee (4% al Fondo)</t>
  </si>
  <si>
    <t>TOTAL INGRESOS FONDO</t>
  </si>
  <si>
    <t>D. COSTOS DEL FONDO</t>
  </si>
  <si>
    <t>Honorarios Soc. Gerente (1.2%)</t>
  </si>
  <si>
    <t>Honorarios Soc. Depositaria (0.2%, mín $21,600/yr + $10K inicial Y1)</t>
  </si>
  <si>
    <t>Honorarios Asesor Inversión (0% PN — eliminado)</t>
  </si>
  <si>
    <t>Fee Asesor (Originación + Adquisición)</t>
  </si>
  <si>
    <t>Costos Fijos Operativos</t>
  </si>
  <si>
    <t>Comisiones (Colocador+Org) sobre capital</t>
  </si>
  <si>
    <t>IVA sobre Upfront Fee (REVISAR: ¿lo paga el fondo o el tomador?)</t>
  </si>
  <si>
    <t>Intereses Deuda Senior</t>
  </si>
  <si>
    <t>TOTAL COSTOS</t>
  </si>
  <si>
    <t>Carry devengado del período</t>
  </si>
  <si>
    <t>Carry COBRADO (Success Fee: sólo al cierre Y6, tope 5% Cl.10.5)</t>
  </si>
  <si>
    <t>E. RESULTADO</t>
  </si>
  <si>
    <t>EBITDA Fondo (neto de carry)</t>
  </si>
  <si>
    <t>EBITDA / Equity (%)</t>
  </si>
  <si>
    <t>Retiros Parciales Inversores (detalle filas 69-80)</t>
  </si>
  <si>
    <t>Neto Reinvertido / Acumulado</t>
  </si>
  <si>
    <t>F. PATRIMONIO NETO</t>
  </si>
  <si>
    <t>Captaciones Nuevas (ingreso capital por año)</t>
  </si>
  <si>
    <t>Nota: Captaciones editable por año. Comisiones se cobran sobre capital nuevo.</t>
  </si>
  <si>
    <t>PN Inicio</t>
  </si>
  <si>
    <t>PN Fin (antes retiros)</t>
  </si>
  <si>
    <t>G. CIERRE DEL FONDO — WIND-DOWN AÑO 5 (2030)</t>
  </si>
  <si>
    <t>Revolving Año Cierre (devuelto como cash)</t>
  </si>
  <si>
    <t>Cartera Remanente (Stock Fin)</t>
  </si>
  <si>
    <t>Valor Securitización</t>
  </si>
  <si>
    <t>Repago Deuda Senior (si aplica)</t>
  </si>
  <si>
    <t>CASH NETO CIERRE (revolving + securit - deuda)</t>
  </si>
  <si>
    <t>H. CASH FLOW INVERSOR (EQUITY)</t>
  </si>
  <si>
    <t>Retiros Parciales Recibidos (neto de fee)</t>
  </si>
  <si>
    <t>Cash Cierre Fondo</t>
  </si>
  <si>
    <t>Cash Flow Inversor TOTAL</t>
  </si>
  <si>
    <t>Retorno Acumulado</t>
  </si>
  <si>
    <t>I. METRICAS DE RETORNO</t>
  </si>
  <si>
    <t>CF para TIR (t=0 a t=5)</t>
  </si>
  <si>
    <t>IMPOSITIVAMENTE CÓMO IMPACTA?</t>
  </si>
  <si>
    <t>TIR Inversor</t>
  </si>
  <si>
    <t>MOIC (Total Distributions / Total Capital Invested)</t>
  </si>
  <si>
    <t>Nota: TIR asume liquidación de cartera remanente dentro del último año del fondo.</t>
  </si>
  <si>
    <t>Success fee del carry se cobra en Y5 al cierre. Ver SENSIBILIDAD 5Y para análisis con apalancamiento.</t>
  </si>
  <si>
    <t>J. RETIROS POR LIQUIDEZ — DETALLE 2 CASOS</t>
  </si>
  <si>
    <t>CASO 1: Fondo de Liquidez</t>
  </si>
  <si>
    <t>Monto Fondo Liquidez por año (EDITABLE →)</t>
  </si>
  <si>
    <t>% Retiro Caso 2 (EDITABLE por año →)</t>
  </si>
  <si>
    <t>CASO 2: Retiro Variable (% × PN)</t>
  </si>
  <si>
    <t>TOTAL RETIRO BRUTO (Caso 1 + Caso 2)</t>
  </si>
  <si>
    <t>Fee sobre Retiro (%)</t>
  </si>
  <si>
    <t>Fee Retiro (USD) — ingreso TCMC</t>
  </si>
  <si>
    <t>Retiro Neto al Inversor (Bruto − Fee)</t>
  </si>
  <si>
    <t>Impacto en NAV del Fondo (= Bruto sale, Fee a TCMC)</t>
  </si>
  <si>
    <t>Nota: El retiro BRUTO sale del fondo (reduce NAV). El fee es ingreso TCMC fuera del fondo.</t>
  </si>
  <si>
    <t>RESULTADOS ASESOR — MODELO TCMC 5 AÑOS (Propuesta ConoSur Mar-2026)</t>
  </si>
  <si>
    <t>Escenario ácido: USD 5M, sin captaciones. Fee 1% originación, hurdle 6%, carry 10%.</t>
  </si>
  <si>
    <t>I. MANAGEMENT FEE (Honorarios Asesor)</t>
  </si>
  <si>
    <t>Management Fee (0% — eliminado, modelo Lendar)</t>
  </si>
  <si>
    <t>Fee por Crédito: 1% Orig + 1% Adq (ver SUPUESTOS B31/B32)</t>
  </si>
  <si>
    <t>TOTAL FEES ASESOR (dentro del fondo)</t>
  </si>
  <si>
    <t>II. CARRY WATERFALL (con tope 5.4% — Cl. 10.5)</t>
  </si>
  <si>
    <t>EBITDA pre-carry</t>
  </si>
  <si>
    <t>Carry Devengado del Período</t>
  </si>
  <si>
    <t>Carry Diferido Acum. (entrada)</t>
  </si>
  <si>
    <t>Total Carry Pendiente (devengado + diferido)</t>
  </si>
  <si>
    <t>Espacio Disponible (5.4%*PN − costos cubiertos por tope)</t>
  </si>
  <si>
    <t>Carry COBRADO (limitado por tope)</t>
  </si>
  <si>
    <t>Carry Diferido Acum. (salida → pasa al año sig.)</t>
  </si>
  <si>
    <t>Nota: excluidos del tope 5.4%: comisiones colocador (row29), IVA upfront (row30), intereses deuda (row31)</t>
  </si>
  <si>
    <t>III. UPFRONT FEE EXTRACTION (pre-fondo)</t>
  </si>
  <si>
    <t>Upfront Total (5% del otorgado neto)</t>
  </si>
  <si>
    <t>Porción al Fondo (4%)</t>
  </si>
  <si>
    <t>Extracción Asesor Pre-Fondo (1%)</t>
  </si>
  <si>
    <t>IVA sobre Extracción (21%)</t>
  </si>
  <si>
    <t>Neto Extracción (sin IVA)</t>
  </si>
  <si>
    <t>Fee por Retiros de Liquidez (5% default)</t>
  </si>
  <si>
    <t>TOTAL A COBRAR ASESOR TCMC (año por año)</t>
  </si>
  <si>
    <t>TOTAL ACUMULADO (sumador)</t>
  </si>
  <si>
    <t>SPONSOR (exceso &gt;5.4% PN → pago fuera del fondo)</t>
  </si>
  <si>
    <t>Se cobra el año siguiente si hay lugar</t>
  </si>
  <si>
    <t>IV. RESUMEN TOTAL ASESOR — ESCENARIOS</t>
  </si>
  <si>
    <t>Escenario</t>
  </si>
  <si>
    <t>Total 5Y (USD)</t>
  </si>
  <si>
    <t>Promedio Anual</t>
  </si>
  <si>
    <t>A. Solo Fee por Crédito (1%/0.7%)</t>
  </si>
  <si>
    <t>B. Fee Crédito + Carry</t>
  </si>
  <si>
    <t>C. Full (Fee Crédito + Carry + Extracción 1%)</t>
  </si>
  <si>
    <t>D. Full + Fee Retiros Liquidez</t>
  </si>
  <si>
    <t>V. MÉTRICAS CLAVE</t>
  </si>
  <si>
    <t>TIR Inversor (post all fees)</t>
  </si>
  <si>
    <t>MOIC</t>
  </si>
  <si>
    <t>Total EBITDA Acumulado (6Y)</t>
  </si>
  <si>
    <t>Total Carry Devengado (6Y)</t>
  </si>
  <si>
    <t>Total Carry Cobrado (6Y)</t>
  </si>
  <si>
    <t>Carry Diferido Final (no cobrado)</t>
  </si>
  <si>
    <t>Mgmt Fee como % del PN promedio</t>
  </si>
  <si>
    <t>NOTAS</t>
  </si>
  <si>
    <t>1. El carry se calcula año a año: 20% sobre exceso de EBITDA vs hurdle (8% * PN). Se cobra como Success Fee al cierre (Y6).</t>
  </si>
  <si>
    <t>2. La extracción pre-fondo (1% del upfront) está sujeta a aprobación regulatoria y del reglamento FCIC.</t>
  </si>
  <si>
    <t>3. Si se completa B32 en SUPUESTOS (fee adquirido), se suma automáticamente como costo del fondo.</t>
  </si>
  <si>
    <t>4. Las captaciones por año (fila 42 en FLUJO) afectan el PN, comisiones, portfolio y TIR.</t>
  </si>
  <si>
    <t>5. Fee por originación+adquisición: actualmente 1%+1% (total 2% por crédito). Verificar con TBD si el 1.5% se refiere al fee total.</t>
  </si>
  <si>
    <t>FLUJO DEL FONDO — MODELO TCMC 11 AÑOS (Cono Sur / Capital Token Group, con captaciones)</t>
  </si>
  <si>
    <t>¿Ajustar deuda? (1=reset a 0.5x PN, 0=mantener)</t>
  </si>
  <si>
    <t>Upfront Fee (% al Fondo)</t>
  </si>
  <si>
    <t>Carry COBRADO (tope 5.4% Cl.10.5)</t>
  </si>
  <si>
    <t>G. CIERRE DEL FONDO — WIND-DOWN AÑO 11 (2036)</t>
  </si>
  <si>
    <t>CF para TIR (t=0 a t=11)</t>
  </si>
  <si>
    <t>Ver tab SENSIBILIDAD para analisis completo.</t>
  </si>
  <si>
    <t>TU CASA +CERCA | CUOTAS POR TOMADOR — Amortización Francesa</t>
  </si>
  <si>
    <t>12 MESES — PLAZO</t>
  </si>
  <si>
    <t>Lendar</t>
  </si>
  <si>
    <t>Lendar:</t>
  </si>
  <si>
    <t>Período</t>
  </si>
  <si>
    <t>Saldo Inicial</t>
  </si>
  <si>
    <t>Interés</t>
  </si>
  <si>
    <t>Capital</t>
  </si>
  <si>
    <t>Cuota</t>
  </si>
  <si>
    <t>Saldo Final</t>
  </si>
  <si>
    <t>Tomador</t>
  </si>
  <si>
    <t>Pide</t>
  </si>
  <si>
    <t>Estos va a pagar el depto</t>
  </si>
  <si>
    <t>Toma</t>
  </si>
  <si>
    <t>Plazo</t>
  </si>
  <si>
    <t>Cuota Neta</t>
  </si>
  <si>
    <t>NETO</t>
  </si>
  <si>
    <t>Total</t>
  </si>
  <si>
    <t>TDirecta</t>
  </si>
  <si>
    <t>CFT Anualizado</t>
  </si>
  <si>
    <t>24 MESES — PLAZO</t>
  </si>
  <si>
    <t>TOTALES</t>
  </si>
  <si>
    <t>Total Int Nom/30k</t>
  </si>
  <si>
    <t>Upfront Fee + IVA</t>
  </si>
  <si>
    <t>Tasa Directa</t>
  </si>
  <si>
    <t>36 MESES — PLAZO</t>
  </si>
  <si>
    <t>48 MESES — PLAZO</t>
  </si>
  <si>
    <t>CFT</t>
  </si>
  <si>
    <t>60 MESES — PLAZO</t>
  </si>
  <si>
    <t>RESULTADOS ASESOR — MODELO TCMC 11 AÑOS (Propuesta ConoSur Mar-2026)</t>
  </si>
  <si>
    <t>Análisis de comisiones, carry (hurdle 6%), y extracción upfront. Propuesta ConoSur Marzo 2026.</t>
  </si>
  <si>
    <t>Fee por Crédito: % Originado + % Adquirido</t>
  </si>
  <si>
    <t>Total 11Y (USD)</t>
  </si>
  <si>
    <t>Total EBITDA Acumulado (11Y)</t>
  </si>
  <si>
    <t>Total Carry Devengado (11Y)</t>
  </si>
  <si>
    <t>Total Carry Cobrado (11Y)</t>
  </si>
  <si>
    <t>1. El carry se calcula año a año: 20% sobre el exceso de EBITDA respecto al hurdle (6% * PN Inicio).</t>
  </si>
  <si>
    <t>5. Escenario D incluye fee por originación/adquisición, actualmente en 0% (ver SUPUESTOS B31/B32).</t>
  </si>
  <si>
    <t>A los fines de evaluar la elegibilidad de los potenciales Deudores para el otorgamiento</t>
  </si>
  <si>
    <t>de créditos hipotecarios, se aplicarán, como mínimo, los siguientes criterios de</t>
  </si>
  <si>
    <t>análisis de solvencia:</t>
  </si>
  <si>
    <t> Verificación de antecedentes crediticios: Se analizará la situación crediticia del</t>
  </si>
  <si>
    <t>solicitante mediante informes provenientes de bases de datos públicas y</t>
  </si>
  <si>
    <t>privadas, tales como la Central de Deudores del Sistema Financiero del BCRA,</t>
  </si>
  <si>
    <t>informes comerciales (e.g., Veraz, Nosis), y registros de cheques rechazados;</t>
  </si>
  <si>
    <t> Evaluación de cumplimiento: Será requisito excluyente que al momento del</t>
  </si>
  <si>
    <t>otorgamiento del crédito el solicitante no registre obligaciones financieras</t>
  </si>
  <si>
    <t>impagas ni situaciones de morosidad vigentes; y</t>
  </si>
  <si>
    <t> Acreditación de ingresos: Se exigirá la presentación de documentación</t>
  </si>
  <si>
    <t>respaldatoria de los ingresos del solicitante, conforme su condición tributaria,</t>
  </si>
  <si>
    <t>tales como (i) recibo de sueldo; (ii) declaración jurada de impuesto a las</t>
  </si>
  <si>
    <t>ganancias presentada ante ARCA o comprobantes de facturación de los</t>
  </si>
  <si>
    <t>últimos seis (6) meses en caso de monotributistas.</t>
  </si>
  <si>
    <t>Se podrán establecer criterios adicionales consistentes con las políticas de inversión</t>
  </si>
  <si>
    <t>y las condiciones de mercado vigentes.</t>
  </si>
  <si>
    <t>3.2.2. CONDICIONES DE OTORGAMIENTO DE CRÉDITOS HIPOTECARIOS.</t>
  </si>
  <si>
    <t>SOLICITUD DE CRÉDITOS HIPOTECARIOS. El asesor de Inversión evaluará como</t>
  </si>
  <si>
    <t>criterios de elegibilidad para el otorgamiento y asignación de los créditos: DNI del</t>
  </si>
  <si>
    <t>Solicitante, Cónyuge y Garante (en caso de participar), perfil crediticio de cada parte,</t>
  </si>
  <si>
    <t>situación financiera, deudas, pagos/atrasos/vencimientos, cheques, etc., recibos de</t>
  </si>
  <si>
    <t>sueldo y haberes, facturas, recibos, declaraciones juradas ingresos, facturación, IVA,</t>
  </si>
  <si>
    <t>etc. y la ficha de la propiedad. Sin perjuicio de ello, los créditos hipotecarios que, en</t>
  </si>
  <si>
    <t>su caso, otorgue el Administrador a los Deudores (de acuerdo a como dicho término</t>
  </si>
  <si>
    <t>se define más adelante), con la asistencia del Asesor de Inversión, serán otorgados</t>
  </si>
  <si>
    <t>de acuerdo con los términos y condiciones reseñados con mayor detalle operativo en</t>
  </si>
  <si>
    <t>el Manual de Procedimientos del Fondo.</t>
  </si>
  <si>
    <t>Para el otorgamiento de créditos, se aplicará un criterio de relación cuota-ingreso,</t>
  </si>
  <si>
    <t>conforme al cual el monto de la cuota resultante del crédito solicitado por el Deudor</t>
  </si>
  <si>
    <t>no podrá superar el cuarenta por ciento (40%) del ingreso neto del Deudor.</t>
  </si>
  <si>
    <t>3.2.4. LIMITACIÓN AL OTORGAMIENTO DE CRÉDITOS HIPOTECARIOS. El</t>
  </si>
  <si>
    <t>Administrador administrará el Patrimonio del Fondo de manera tal que siempre</t>
  </si>
  <si>
    <t>mantenga la liquidez suficiente para abonar los gastos deducibles del Fondo, por lo</t>
  </si>
  <si>
    <t>que no podrá en ningún momento otorgar créditos hipotecarios cuyos montos</t>
  </si>
  <si>
    <t>superen el noventa y cinco por ciento (95%) del Patrimonio del Fondo.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</si>
</sst>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\-??_);_(@_)"/>
    <numFmt numFmtId="165" formatCode="0.0%"/>
    <numFmt numFmtId="166" formatCode="\$#,##0"/>
    <numFmt numFmtId="167" formatCode="\$#,##0;&quot;($&quot;#,##0\);\-"/>
    <numFmt numFmtId="168" formatCode="0.000\x"/>
    <numFmt numFmtId="169" formatCode="_(* #,##0_);_(* \(#,##0\);_(* \-??_);_(@_)"/>
    <numFmt numFmtId="170" formatCode="\$#,##0.00;&quot;($&quot;#,##0.00\);\-"/>
    <numFmt numFmtId="171" formatCode="\$#,##0.00"/>
    <numFmt numFmtId="172" formatCode="[$U$D ]#,##0"/>
    <numFmt numFmtId="173" formatCode="[$U$D ]#,##0.00"/>
  </numFmts>
  <fonts count="69" x14ac:knownFonts="1">
    <font>
      <sz val="11"/>
      <color theme="1"/>
      <name val="Calibri"/>
      <scheme val="minor"/>
    </font>
    <font>
      <b/>
      <sz val="12"/>
      <color rgb="FFFFFFFF"/>
      <name val="Cambria"/>
      <family val="1"/>
    </font>
    <font>
      <sz val="11"/>
      <name val="Calibri"/>
      <family val="2"/>
    </font>
    <font>
      <i/>
      <sz val="9"/>
      <color rgb="FF808080"/>
      <name val="Cambria"/>
      <family val="1"/>
    </font>
    <font>
      <b/>
      <sz val="10"/>
      <color theme="1"/>
      <name val="Cambria"/>
      <family val="1"/>
    </font>
    <font>
      <b/>
      <sz val="11"/>
      <color rgb="FF2F5496"/>
      <name val="Cambria"/>
      <family val="1"/>
    </font>
    <font>
      <sz val="10"/>
      <color rgb="FF1F4E79"/>
      <name val="Cambria"/>
      <family val="1"/>
    </font>
    <font>
      <i/>
      <sz val="10"/>
      <color rgb="FFC00000"/>
      <name val="Cambria"/>
      <family val="1"/>
    </font>
    <font>
      <sz val="10"/>
      <color rgb="FF008000"/>
      <name val="Cambria"/>
      <family val="1"/>
    </font>
    <font>
      <sz val="10"/>
      <color rgb="FF0000FF"/>
      <name val="Arial"/>
      <family val="2"/>
    </font>
    <font>
      <i/>
      <sz val="9"/>
      <color rgb="FFC00000"/>
      <name val="Arial"/>
      <family val="2"/>
    </font>
    <font>
      <i/>
      <sz val="10"/>
      <color rgb="FFBF8F00"/>
      <name val="Cambria"/>
      <family val="1"/>
    </font>
    <font>
      <sz val="12"/>
      <color rgb="FF222222"/>
      <name val="Verdana"/>
      <family val="2"/>
    </font>
    <font>
      <sz val="11"/>
      <color theme="1"/>
      <name val="Calibri"/>
      <family val="2"/>
    </font>
    <font>
      <i/>
      <sz val="10"/>
      <color rgb="FF808080"/>
      <name val="Cambria"/>
      <family val="1"/>
    </font>
    <font>
      <i/>
      <sz val="9"/>
      <color rgb="FF008000"/>
      <name val="Arial"/>
      <family val="2"/>
    </font>
    <font>
      <b/>
      <sz val="9"/>
      <color rgb="FFC00000"/>
      <name val="Arial"/>
      <family val="2"/>
    </font>
    <font>
      <b/>
      <sz val="11"/>
      <color rgb="FF1F4E79"/>
      <name val="Cambria"/>
      <family val="1"/>
    </font>
    <font>
      <sz val="10"/>
      <color theme="1"/>
      <name val="Cambria"/>
      <family val="1"/>
    </font>
    <font>
      <b/>
      <sz val="10"/>
      <color rgb="FFCC0000"/>
      <name val="Cambria"/>
      <family val="1"/>
    </font>
    <font>
      <b/>
      <sz val="14"/>
      <color rgb="FF1F4E79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FF8C00"/>
      <name val="Arial"/>
      <family val="2"/>
    </font>
    <font>
      <b/>
      <sz val="10"/>
      <color theme="1"/>
      <name val="Arial"/>
      <family val="2"/>
    </font>
    <font>
      <b/>
      <sz val="10"/>
      <color rgb="FFC00000"/>
      <name val="Arial"/>
      <family val="2"/>
    </font>
    <font>
      <b/>
      <sz val="14"/>
      <color theme="1"/>
      <name val="Arial"/>
      <family val="2"/>
    </font>
    <font>
      <b/>
      <sz val="11"/>
      <color rgb="FF000080"/>
      <name val="Arial"/>
      <family val="2"/>
    </font>
    <font>
      <sz val="9"/>
      <color rgb="FF8B0000"/>
      <name val="Arial"/>
      <family val="2"/>
    </font>
    <font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11"/>
      <color rgb="FFFF0000"/>
      <name val="Helvetica Neue"/>
      <family val="2"/>
    </font>
    <font>
      <sz val="10"/>
      <color rgb="FF000000"/>
      <name val="Arial"/>
      <family val="2"/>
    </font>
    <font>
      <sz val="11"/>
      <color rgb="FF0000FF"/>
      <name val="Cambria"/>
      <family val="1"/>
    </font>
    <font>
      <b/>
      <sz val="11"/>
      <color theme="1"/>
      <name val="Cambria"/>
      <family val="1"/>
    </font>
    <font>
      <b/>
      <i/>
      <sz val="9"/>
      <color rgb="FF999999"/>
      <name val="Arial"/>
      <family val="2"/>
    </font>
    <font>
      <sz val="8"/>
      <color rgb="FFAAAAAA"/>
      <name val="Arial"/>
      <family val="2"/>
    </font>
    <font>
      <b/>
      <sz val="12"/>
      <color theme="1"/>
      <name val="Cambria"/>
      <family val="1"/>
    </font>
    <font>
      <b/>
      <sz val="11"/>
      <color rgb="FFFFFFFF"/>
      <name val="Cambria"/>
      <family val="1"/>
    </font>
    <font>
      <sz val="10"/>
      <color rgb="FF008000"/>
      <name val="Arial"/>
      <family val="2"/>
    </font>
    <font>
      <b/>
      <sz val="10"/>
      <color rgb="FFCC0000"/>
      <name val="Arial"/>
      <family val="2"/>
    </font>
    <font>
      <i/>
      <sz val="11"/>
      <color rgb="FF808080"/>
      <name val="Cambria"/>
      <family val="1"/>
    </font>
    <font>
      <b/>
      <sz val="11"/>
      <color rgb="FF006100"/>
      <name val="Cambria"/>
      <family val="1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Arial"/>
      <family val="2"/>
    </font>
    <font>
      <i/>
      <sz val="8"/>
      <color rgb="FF808080"/>
      <name val="Calibri"/>
      <family val="2"/>
    </font>
    <font>
      <b/>
      <sz val="11"/>
      <color rgb="FF0000FF"/>
      <name val="Cambria"/>
      <family val="1"/>
    </font>
    <font>
      <sz val="11"/>
      <color rgb="FF008000"/>
      <name val="Cambria"/>
      <family val="1"/>
    </font>
    <font>
      <b/>
      <sz val="11"/>
      <color rgb="FF000000"/>
      <name val="Cambria"/>
      <family val="1"/>
    </font>
    <font>
      <b/>
      <sz val="11"/>
      <color rgb="FFFF0000"/>
      <name val="Cambria"/>
      <family val="1"/>
    </font>
    <font>
      <sz val="11"/>
      <color rgb="FFFF0000"/>
      <name val="Cambria"/>
      <family val="1"/>
    </font>
    <font>
      <b/>
      <sz val="13"/>
      <color theme="1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rgb="FF333333"/>
      <name val="Arial"/>
      <family val="2"/>
    </font>
    <font>
      <sz val="9"/>
      <color theme="1"/>
      <name val="Arial"/>
      <family val="2"/>
    </font>
    <font>
      <b/>
      <sz val="9"/>
      <color rgb="FF0000FF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sz val="12"/>
      <color theme="0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Verdana"/>
      <family val="2"/>
    </font>
    <font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FFFDE7"/>
        <bgColor rgb="FFFFFDE7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EBEE"/>
        <bgColor rgb="FFFFEBEE"/>
      </patternFill>
    </fill>
    <fill>
      <patternFill patternType="solid">
        <fgColor rgb="FFE8F0FE"/>
        <bgColor rgb="FFE8F0FE"/>
      </patternFill>
    </fill>
    <fill>
      <patternFill patternType="solid">
        <fgColor rgb="FFFFF3E0"/>
        <bgColor rgb="FFFFF3E0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1A3A5C"/>
        <bgColor rgb="FF1A3A5C"/>
      </patternFill>
    </fill>
    <fill>
      <patternFill patternType="solid">
        <fgColor rgb="FFDAEEF3"/>
        <bgColor rgb="FFDAEEF3"/>
      </patternFill>
    </fill>
    <fill>
      <patternFill patternType="solid">
        <fgColor rgb="FFFABF8F"/>
        <bgColor rgb="FFFABF8F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rgb="FFFCE4D6"/>
        <bgColor rgb="FFFCE4D6"/>
      </patternFill>
    </fill>
    <fill>
      <patternFill patternType="solid">
        <fgColor rgb="FF0D2137"/>
        <bgColor rgb="FF0D2137"/>
      </patternFill>
    </fill>
    <fill>
      <patternFill patternType="solid">
        <fgColor rgb="FF1B4F8A"/>
        <bgColor rgb="FF1B4F8A"/>
      </patternFill>
    </fill>
    <fill>
      <patternFill patternType="solid">
        <fgColor rgb="FF4472C4"/>
        <bgColor rgb="FF4472C4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1A6B6B"/>
        <bgColor rgb="FF1A6B6B"/>
      </patternFill>
    </fill>
    <fill>
      <patternFill patternType="solid">
        <fgColor rgb="FFFEF9E7"/>
        <bgColor rgb="FFFEF9E7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9" fontId="68" fillId="0" borderId="0" applyFont="0" applyFill="0" applyBorder="0" applyAlignment="0" applyProtection="0"/>
  </cellStyleXfs>
  <cellXfs count="217">
    <xf numFmtId="0" fontId="0" fillId="0" borderId="0" xfId="0"/>
    <xf numFmtId="0" fontId="4" fillId="3" borderId="4" xfId="0" applyFont="1" applyFill="1" applyBorder="1"/>
    <xf numFmtId="0" fontId="4" fillId="0" borderId="5" xfId="0" applyFont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9" fillId="4" borderId="6" xfId="0" applyFont="1" applyFill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12" fillId="0" borderId="7" xfId="0" applyFont="1" applyBorder="1" applyAlignment="1">
      <alignment horizontal="left" vertical="top" wrapText="1"/>
    </xf>
    <xf numFmtId="0" fontId="13" fillId="0" borderId="7" xfId="0" applyFont="1" applyBorder="1"/>
    <xf numFmtId="0" fontId="14" fillId="0" borderId="5" xfId="0" applyFont="1" applyBorder="1" applyAlignment="1">
      <alignment vertical="top" wrapText="1"/>
    </xf>
    <xf numFmtId="0" fontId="9" fillId="4" borderId="8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3" fillId="0" borderId="5" xfId="0" applyFont="1" applyBorder="1" applyAlignment="1">
      <alignment vertical="top"/>
    </xf>
    <xf numFmtId="0" fontId="12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17" fillId="0" borderId="0" xfId="0" applyFont="1"/>
    <xf numFmtId="0" fontId="18" fillId="0" borderId="9" xfId="0" applyFont="1" applyBorder="1" applyAlignment="1">
      <alignment vertical="top" wrapText="1"/>
    </xf>
    <xf numFmtId="0" fontId="9" fillId="4" borderId="9" xfId="0" applyFont="1" applyFill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0" fontId="19" fillId="0" borderId="9" xfId="0" applyFont="1" applyBorder="1" applyAlignment="1">
      <alignment vertical="top" wrapText="1"/>
    </xf>
    <xf numFmtId="0" fontId="9" fillId="4" borderId="4" xfId="0" applyFont="1" applyFill="1" applyBorder="1" applyAlignment="1">
      <alignment vertical="top" wrapText="1"/>
    </xf>
    <xf numFmtId="0" fontId="21" fillId="0" borderId="0" xfId="0" applyFont="1"/>
    <xf numFmtId="0" fontId="23" fillId="6" borderId="9" xfId="0" applyFont="1" applyFill="1" applyBorder="1" applyAlignment="1">
      <alignment horizontal="center" vertical="center" wrapText="1"/>
    </xf>
    <xf numFmtId="0" fontId="24" fillId="7" borderId="9" xfId="0" applyFont="1" applyFill="1" applyBorder="1" applyAlignment="1">
      <alignment vertical="top" wrapText="1"/>
    </xf>
    <xf numFmtId="0" fontId="25" fillId="7" borderId="9" xfId="0" applyFont="1" applyFill="1" applyBorder="1" applyAlignment="1">
      <alignment vertical="top" wrapText="1"/>
    </xf>
    <xf numFmtId="0" fontId="24" fillId="0" borderId="9" xfId="0" applyFont="1" applyBorder="1" applyAlignment="1">
      <alignment vertical="top" wrapText="1"/>
    </xf>
    <xf numFmtId="0" fontId="26" fillId="0" borderId="9" xfId="0" applyFont="1" applyBorder="1" applyAlignment="1">
      <alignment vertical="top" wrapText="1"/>
    </xf>
    <xf numFmtId="0" fontId="27" fillId="0" borderId="9" xfId="0" applyFont="1" applyBorder="1" applyAlignment="1">
      <alignment horizontal="center" vertical="top"/>
    </xf>
    <xf numFmtId="0" fontId="25" fillId="0" borderId="9" xfId="0" applyFont="1" applyBorder="1" applyAlignment="1">
      <alignment horizontal="center" vertical="top"/>
    </xf>
    <xf numFmtId="0" fontId="21" fillId="0" borderId="9" xfId="0" applyFont="1" applyBorder="1" applyAlignment="1">
      <alignment vertical="top" wrapText="1"/>
    </xf>
    <xf numFmtId="0" fontId="24" fillId="7" borderId="9" xfId="0" applyFont="1" applyFill="1" applyBorder="1" applyAlignment="1">
      <alignment horizontal="center" vertical="top" wrapText="1"/>
    </xf>
    <xf numFmtId="0" fontId="25" fillId="0" borderId="9" xfId="0" applyFont="1" applyBorder="1" applyAlignment="1">
      <alignment horizontal="center" vertical="top" wrapText="1"/>
    </xf>
    <xf numFmtId="0" fontId="24" fillId="0" borderId="9" xfId="0" applyFont="1" applyBorder="1" applyAlignment="1">
      <alignment horizontal="center" vertical="top" wrapText="1"/>
    </xf>
    <xf numFmtId="0" fontId="26" fillId="0" borderId="9" xfId="0" applyFont="1" applyBorder="1" applyAlignment="1">
      <alignment horizontal="center" vertical="top" wrapText="1"/>
    </xf>
    <xf numFmtId="0" fontId="28" fillId="9" borderId="4" xfId="0" applyFont="1" applyFill="1" applyBorder="1" applyAlignment="1">
      <alignment vertical="top" wrapText="1"/>
    </xf>
    <xf numFmtId="0" fontId="29" fillId="0" borderId="0" xfId="0" applyFont="1"/>
    <xf numFmtId="0" fontId="27" fillId="10" borderId="4" xfId="0" applyFont="1" applyFill="1" applyBorder="1"/>
    <xf numFmtId="0" fontId="27" fillId="0" borderId="0" xfId="0" applyFont="1"/>
    <xf numFmtId="0" fontId="27" fillId="11" borderId="4" xfId="0" applyFont="1" applyFill="1" applyBorder="1"/>
    <xf numFmtId="0" fontId="30" fillId="0" borderId="0" xfId="0" applyFont="1"/>
    <xf numFmtId="0" fontId="24" fillId="0" borderId="0" xfId="0" applyFont="1"/>
    <xf numFmtId="164" fontId="24" fillId="0" borderId="0" xfId="0" applyNumberFormat="1" applyFont="1"/>
    <xf numFmtId="0" fontId="31" fillId="0" borderId="0" xfId="0" applyFont="1"/>
    <xf numFmtId="0" fontId="32" fillId="0" borderId="0" xfId="0" applyFont="1"/>
    <xf numFmtId="0" fontId="9" fillId="0" borderId="0" xfId="0" applyFont="1"/>
    <xf numFmtId="0" fontId="33" fillId="0" borderId="0" xfId="0" applyFont="1"/>
    <xf numFmtId="9" fontId="9" fillId="0" borderId="0" xfId="0" applyNumberFormat="1" applyFont="1"/>
    <xf numFmtId="0" fontId="27" fillId="12" borderId="4" xfId="0" applyFont="1" applyFill="1" applyBorder="1"/>
    <xf numFmtId="165" fontId="9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left"/>
    </xf>
    <xf numFmtId="165" fontId="9" fillId="0" borderId="0" xfId="0" applyNumberFormat="1" applyFont="1"/>
    <xf numFmtId="3" fontId="34" fillId="0" borderId="0" xfId="0" applyNumberFormat="1" applyFont="1" applyAlignment="1">
      <alignment horizontal="right"/>
    </xf>
    <xf numFmtId="3" fontId="32" fillId="0" borderId="0" xfId="0" applyNumberFormat="1" applyFont="1"/>
    <xf numFmtId="0" fontId="35" fillId="0" borderId="0" xfId="0" applyFont="1"/>
    <xf numFmtId="4" fontId="32" fillId="0" borderId="0" xfId="0" applyNumberFormat="1" applyFont="1"/>
    <xf numFmtId="10" fontId="35" fillId="0" borderId="0" xfId="0" applyNumberFormat="1" applyFont="1"/>
    <xf numFmtId="10" fontId="9" fillId="0" borderId="0" xfId="0" applyNumberFormat="1" applyFont="1"/>
    <xf numFmtId="10" fontId="36" fillId="13" borderId="4" xfId="0" applyNumberFormat="1" applyFont="1" applyFill="1" applyBorder="1"/>
    <xf numFmtId="10" fontId="36" fillId="0" borderId="0" xfId="0" applyNumberFormat="1" applyFont="1"/>
    <xf numFmtId="0" fontId="24" fillId="13" borderId="4" xfId="0" applyFont="1" applyFill="1" applyBorder="1"/>
    <xf numFmtId="9" fontId="36" fillId="13" borderId="4" xfId="0" applyNumberFormat="1" applyFont="1" applyFill="1" applyBorder="1"/>
    <xf numFmtId="0" fontId="13" fillId="13" borderId="4" xfId="0" applyFont="1" applyFill="1" applyBorder="1"/>
    <xf numFmtId="9" fontId="9" fillId="13" borderId="4" xfId="0" applyNumberFormat="1" applyFont="1" applyFill="1" applyBorder="1"/>
    <xf numFmtId="0" fontId="31" fillId="13" borderId="4" xfId="0" applyFont="1" applyFill="1" applyBorder="1"/>
    <xf numFmtId="0" fontId="9" fillId="13" borderId="4" xfId="0" applyFont="1" applyFill="1" applyBorder="1"/>
    <xf numFmtId="166" fontId="9" fillId="0" borderId="0" xfId="0" applyNumberFormat="1" applyFont="1"/>
    <xf numFmtId="10" fontId="32" fillId="0" borderId="0" xfId="0" applyNumberFormat="1" applyFont="1"/>
    <xf numFmtId="165" fontId="9" fillId="13" borderId="4" xfId="0" applyNumberFormat="1" applyFont="1" applyFill="1" applyBorder="1"/>
    <xf numFmtId="0" fontId="37" fillId="0" borderId="0" xfId="0" applyFont="1"/>
    <xf numFmtId="166" fontId="36" fillId="13" borderId="4" xfId="0" applyNumberFormat="1" applyFont="1" applyFill="1" applyBorder="1"/>
    <xf numFmtId="165" fontId="36" fillId="13" borderId="4" xfId="0" applyNumberFormat="1" applyFont="1" applyFill="1" applyBorder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13" fillId="0" borderId="0" xfId="0" applyFont="1" applyAlignment="1">
      <alignment horizontal="center" vertical="center"/>
    </xf>
    <xf numFmtId="0" fontId="41" fillId="14" borderId="4" xfId="0" applyFont="1" applyFill="1" applyBorder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167" fontId="42" fillId="0" borderId="0" xfId="0" applyNumberFormat="1" applyFont="1" applyAlignment="1">
      <alignment horizontal="center" vertical="center"/>
    </xf>
    <xf numFmtId="167" fontId="35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4" fillId="0" borderId="0" xfId="0" applyFont="1"/>
    <xf numFmtId="0" fontId="35" fillId="15" borderId="4" xfId="0" applyFont="1" applyFill="1" applyBorder="1" applyAlignment="1">
      <alignment horizontal="center" vertical="center"/>
    </xf>
    <xf numFmtId="167" fontId="27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167" fontId="13" fillId="13" borderId="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3" fontId="44" fillId="0" borderId="0" xfId="0" applyNumberFormat="1" applyFont="1" applyAlignment="1">
      <alignment horizontal="center" vertical="center"/>
    </xf>
    <xf numFmtId="0" fontId="37" fillId="11" borderId="4" xfId="0" applyFont="1" applyFill="1" applyBorder="1"/>
    <xf numFmtId="3" fontId="45" fillId="11" borderId="4" xfId="0" applyNumberFormat="1" applyFont="1" applyFill="1" applyBorder="1" applyAlignment="1">
      <alignment horizontal="center" vertical="center"/>
    </xf>
    <xf numFmtId="10" fontId="13" fillId="12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3" fontId="9" fillId="13" borderId="4" xfId="0" applyNumberFormat="1" applyFont="1" applyFill="1" applyBorder="1" applyAlignment="1">
      <alignment horizontal="center" vertical="center"/>
    </xf>
    <xf numFmtId="167" fontId="13" fillId="16" borderId="4" xfId="0" applyNumberFormat="1" applyFont="1" applyFill="1" applyBorder="1" applyAlignment="1">
      <alignment horizontal="center" vertical="center"/>
    </xf>
    <xf numFmtId="167" fontId="46" fillId="16" borderId="4" xfId="0" applyNumberFormat="1" applyFont="1" applyFill="1" applyBorder="1" applyAlignment="1">
      <alignment horizontal="center" vertical="center"/>
    </xf>
    <xf numFmtId="0" fontId="13" fillId="16" borderId="4" xfId="0" applyFont="1" applyFill="1" applyBorder="1"/>
    <xf numFmtId="0" fontId="47" fillId="0" borderId="0" xfId="0" applyFont="1"/>
    <xf numFmtId="0" fontId="48" fillId="0" borderId="0" xfId="0" applyFont="1"/>
    <xf numFmtId="165" fontId="13" fillId="13" borderId="4" xfId="0" applyNumberFormat="1" applyFont="1" applyFill="1" applyBorder="1" applyAlignment="1">
      <alignment horizontal="center" vertical="center"/>
    </xf>
    <xf numFmtId="168" fontId="13" fillId="0" borderId="0" xfId="0" applyNumberFormat="1" applyFont="1" applyAlignment="1">
      <alignment horizontal="center" vertical="center"/>
    </xf>
    <xf numFmtId="169" fontId="24" fillId="0" borderId="0" xfId="0" applyNumberFormat="1" applyFont="1" applyAlignment="1">
      <alignment horizontal="center" vertical="center"/>
    </xf>
    <xf numFmtId="0" fontId="49" fillId="0" borderId="0" xfId="0" applyFont="1"/>
    <xf numFmtId="0" fontId="50" fillId="0" borderId="0" xfId="0" applyFont="1"/>
    <xf numFmtId="167" fontId="36" fillId="13" borderId="4" xfId="0" applyNumberFormat="1" applyFont="1" applyFill="1" applyBorder="1" applyAlignment="1">
      <alignment horizontal="center" vertical="center"/>
    </xf>
    <xf numFmtId="165" fontId="36" fillId="13" borderId="4" xfId="0" applyNumberFormat="1" applyFont="1" applyFill="1" applyBorder="1" applyAlignment="1">
      <alignment horizontal="center" vertical="center"/>
    </xf>
    <xf numFmtId="167" fontId="37" fillId="0" borderId="0" xfId="0" applyNumberFormat="1" applyFont="1" applyAlignment="1">
      <alignment horizontal="center" vertical="center"/>
    </xf>
    <xf numFmtId="165" fontId="51" fillId="0" borderId="0" xfId="0" applyNumberFormat="1" applyFont="1" applyAlignment="1">
      <alignment horizontal="center" vertical="center"/>
    </xf>
    <xf numFmtId="3" fontId="42" fillId="0" borderId="0" xfId="0" applyNumberFormat="1" applyFont="1"/>
    <xf numFmtId="3" fontId="13" fillId="0" borderId="0" xfId="0" applyNumberFormat="1" applyFont="1"/>
    <xf numFmtId="1" fontId="27" fillId="0" borderId="0" xfId="0" applyNumberFormat="1" applyFont="1"/>
    <xf numFmtId="3" fontId="37" fillId="0" borderId="0" xfId="0" applyNumberFormat="1" applyFont="1"/>
    <xf numFmtId="0" fontId="3" fillId="0" borderId="0" xfId="0" applyFont="1"/>
    <xf numFmtId="0" fontId="46" fillId="13" borderId="4" xfId="0" applyFont="1" applyFill="1" applyBorder="1"/>
    <xf numFmtId="167" fontId="51" fillId="13" borderId="4" xfId="0" applyNumberFormat="1" applyFont="1" applyFill="1" applyBorder="1"/>
    <xf numFmtId="167" fontId="13" fillId="13" borderId="4" xfId="0" applyNumberFormat="1" applyFont="1" applyFill="1" applyBorder="1"/>
    <xf numFmtId="0" fontId="52" fillId="0" borderId="0" xfId="0" applyFont="1"/>
    <xf numFmtId="167" fontId="37" fillId="17" borderId="4" xfId="0" applyNumberFormat="1" applyFont="1" applyFill="1" applyBorder="1"/>
    <xf numFmtId="167" fontId="37" fillId="18" borderId="4" xfId="0" applyNumberFormat="1" applyFont="1" applyFill="1" applyBorder="1"/>
    <xf numFmtId="0" fontId="53" fillId="0" borderId="0" xfId="0" applyFont="1"/>
    <xf numFmtId="167" fontId="54" fillId="0" borderId="0" xfId="0" applyNumberFormat="1" applyFont="1"/>
    <xf numFmtId="167" fontId="53" fillId="0" borderId="0" xfId="0" applyNumberFormat="1" applyFont="1"/>
    <xf numFmtId="167" fontId="13" fillId="0" borderId="0" xfId="0" applyNumberFormat="1" applyFont="1"/>
    <xf numFmtId="164" fontId="13" fillId="0" borderId="0" xfId="0" applyNumberFormat="1" applyFont="1"/>
    <xf numFmtId="165" fontId="42" fillId="0" borderId="0" xfId="0" applyNumberFormat="1" applyFont="1"/>
    <xf numFmtId="168" fontId="42" fillId="0" borderId="0" xfId="0" applyNumberFormat="1" applyFont="1"/>
    <xf numFmtId="165" fontId="13" fillId="19" borderId="4" xfId="0" applyNumberFormat="1" applyFont="1" applyFill="1" applyBorder="1"/>
    <xf numFmtId="165" fontId="13" fillId="0" borderId="0" xfId="0" applyNumberFormat="1" applyFont="1"/>
    <xf numFmtId="0" fontId="55" fillId="0" borderId="0" xfId="0" applyFont="1"/>
    <xf numFmtId="1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0" fontId="35" fillId="0" borderId="0" xfId="0" applyNumberFormat="1" applyFont="1" applyAlignment="1">
      <alignment horizontal="center" vertical="center"/>
    </xf>
    <xf numFmtId="0" fontId="13" fillId="15" borderId="4" xfId="0" applyFont="1" applyFill="1" applyBorder="1"/>
    <xf numFmtId="167" fontId="13" fillId="15" borderId="4" xfId="0" applyNumberFormat="1" applyFont="1" applyFill="1" applyBorder="1" applyAlignment="1">
      <alignment horizontal="center" vertical="center"/>
    </xf>
    <xf numFmtId="0" fontId="30" fillId="0" borderId="12" xfId="0" applyFont="1" applyBorder="1"/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/>
    <xf numFmtId="167" fontId="13" fillId="0" borderId="16" xfId="0" applyNumberFormat="1" applyFont="1" applyBorder="1" applyAlignment="1">
      <alignment horizontal="center" vertical="center"/>
    </xf>
    <xf numFmtId="0" fontId="48" fillId="0" borderId="15" xfId="0" applyFont="1" applyBorder="1"/>
    <xf numFmtId="10" fontId="13" fillId="13" borderId="4" xfId="0" applyNumberFormat="1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/>
    <xf numFmtId="168" fontId="13" fillId="0" borderId="18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22" fillId="21" borderId="20" xfId="0" applyNumberFormat="1" applyFont="1" applyFill="1" applyBorder="1" applyAlignment="1">
      <alignment horizontal="center" vertical="center"/>
    </xf>
    <xf numFmtId="0" fontId="57" fillId="21" borderId="21" xfId="0" applyFont="1" applyFill="1" applyBorder="1" applyAlignment="1">
      <alignment horizontal="left" vertical="center"/>
    </xf>
    <xf numFmtId="4" fontId="58" fillId="0" borderId="13" xfId="0" applyNumberFormat="1" applyFont="1" applyBorder="1"/>
    <xf numFmtId="0" fontId="58" fillId="0" borderId="13" xfId="0" applyFont="1" applyBorder="1"/>
    <xf numFmtId="0" fontId="58" fillId="0" borderId="14" xfId="0" applyFont="1" applyBorder="1"/>
    <xf numFmtId="0" fontId="59" fillId="20" borderId="20" xfId="0" applyFont="1" applyFill="1" applyBorder="1" applyAlignment="1">
      <alignment horizontal="center"/>
    </xf>
    <xf numFmtId="0" fontId="58" fillId="0" borderId="0" xfId="0" applyFont="1"/>
    <xf numFmtId="0" fontId="59" fillId="21" borderId="20" xfId="0" applyFont="1" applyFill="1" applyBorder="1" applyAlignment="1">
      <alignment horizontal="center" vertical="center"/>
    </xf>
    <xf numFmtId="0" fontId="57" fillId="22" borderId="9" xfId="0" applyFont="1" applyFill="1" applyBorder="1" applyAlignment="1">
      <alignment horizontal="center"/>
    </xf>
    <xf numFmtId="0" fontId="58" fillId="0" borderId="15" xfId="0" applyFont="1" applyBorder="1"/>
    <xf numFmtId="0" fontId="60" fillId="23" borderId="20" xfId="0" applyFont="1" applyFill="1" applyBorder="1" applyAlignment="1">
      <alignment horizontal="left" vertical="center"/>
    </xf>
    <xf numFmtId="4" fontId="58" fillId="0" borderId="0" xfId="0" applyNumberFormat="1" applyFont="1"/>
    <xf numFmtId="0" fontId="58" fillId="0" borderId="16" xfId="0" applyFont="1" applyBorder="1"/>
    <xf numFmtId="10" fontId="58" fillId="0" borderId="0" xfId="0" applyNumberFormat="1" applyFont="1"/>
    <xf numFmtId="4" fontId="61" fillId="24" borderId="20" xfId="0" applyNumberFormat="1" applyFont="1" applyFill="1" applyBorder="1" applyAlignment="1">
      <alignment horizontal="right" vertical="center"/>
    </xf>
    <xf numFmtId="170" fontId="61" fillId="24" borderId="20" xfId="0" applyNumberFormat="1" applyFont="1" applyFill="1" applyBorder="1" applyAlignment="1">
      <alignment horizontal="right" vertical="center"/>
    </xf>
    <xf numFmtId="171" fontId="24" fillId="0" borderId="9" xfId="0" applyNumberFormat="1" applyFont="1" applyBorder="1" applyAlignment="1">
      <alignment horizontal="center"/>
    </xf>
    <xf numFmtId="172" fontId="35" fillId="0" borderId="0" xfId="0" applyNumberFormat="1" applyFont="1"/>
    <xf numFmtId="4" fontId="35" fillId="0" borderId="0" xfId="0" applyNumberFormat="1" applyFont="1"/>
    <xf numFmtId="4" fontId="48" fillId="0" borderId="0" xfId="0" applyNumberFormat="1" applyFont="1" applyAlignment="1">
      <alignment horizontal="right"/>
    </xf>
    <xf numFmtId="0" fontId="59" fillId="25" borderId="20" xfId="0" applyFont="1" applyFill="1" applyBorder="1" applyAlignment="1">
      <alignment horizontal="left" vertical="center"/>
    </xf>
    <xf numFmtId="4" fontId="58" fillId="0" borderId="0" xfId="0" applyNumberFormat="1" applyFont="1" applyAlignment="1">
      <alignment horizontal="right"/>
    </xf>
    <xf numFmtId="10" fontId="58" fillId="0" borderId="0" xfId="0" applyNumberFormat="1" applyFont="1" applyAlignment="1">
      <alignment horizontal="right"/>
    </xf>
    <xf numFmtId="1" fontId="58" fillId="0" borderId="0" xfId="0" applyNumberFormat="1" applyFont="1" applyAlignment="1">
      <alignment horizontal="right"/>
    </xf>
    <xf numFmtId="9" fontId="62" fillId="26" borderId="20" xfId="0" applyNumberFormat="1" applyFont="1" applyFill="1" applyBorder="1" applyAlignment="1">
      <alignment horizontal="right" vertical="center"/>
    </xf>
    <xf numFmtId="173" fontId="34" fillId="0" borderId="0" xfId="0" applyNumberFormat="1" applyFont="1" applyAlignment="1">
      <alignment horizontal="right"/>
    </xf>
    <xf numFmtId="173" fontId="48" fillId="0" borderId="0" xfId="0" applyNumberFormat="1" applyFont="1" applyAlignment="1">
      <alignment horizontal="right"/>
    </xf>
    <xf numFmtId="173" fontId="58" fillId="0" borderId="0" xfId="0" applyNumberFormat="1" applyFont="1"/>
    <xf numFmtId="0" fontId="63" fillId="0" borderId="0" xfId="0" applyFont="1"/>
    <xf numFmtId="172" fontId="63" fillId="0" borderId="0" xfId="0" applyNumberFormat="1" applyFont="1"/>
    <xf numFmtId="167" fontId="35" fillId="0" borderId="0" xfId="0" applyNumberFormat="1" applyFont="1"/>
    <xf numFmtId="0" fontId="58" fillId="0" borderId="17" xfId="0" applyFont="1" applyBorder="1"/>
    <xf numFmtId="0" fontId="58" fillId="0" borderId="18" xfId="0" applyFont="1" applyBorder="1"/>
    <xf numFmtId="0" fontId="58" fillId="0" borderId="19" xfId="0" applyFont="1" applyBorder="1"/>
    <xf numFmtId="0" fontId="59" fillId="25" borderId="20" xfId="0" applyFont="1" applyFill="1" applyBorder="1" applyAlignment="1">
      <alignment horizontal="right" vertical="center"/>
    </xf>
    <xf numFmtId="0" fontId="24" fillId="0" borderId="0" xfId="0" applyFont="1" applyAlignment="1">
      <alignment horizontal="center"/>
    </xf>
    <xf numFmtId="10" fontId="24" fillId="0" borderId="20" xfId="0" applyNumberFormat="1" applyFont="1" applyBorder="1" applyAlignment="1">
      <alignment horizontal="right" vertical="center"/>
    </xf>
    <xf numFmtId="3" fontId="58" fillId="0" borderId="0" xfId="0" applyNumberFormat="1" applyFont="1"/>
    <xf numFmtId="0" fontId="64" fillId="0" borderId="0" xfId="0" applyFont="1"/>
    <xf numFmtId="10" fontId="13" fillId="0" borderId="0" xfId="0" applyNumberFormat="1" applyFont="1"/>
    <xf numFmtId="164" fontId="65" fillId="16" borderId="4" xfId="0" applyNumberFormat="1" applyFont="1" applyFill="1" applyBorder="1"/>
    <xf numFmtId="0" fontId="66" fillId="0" borderId="0" xfId="0" applyFont="1"/>
    <xf numFmtId="0" fontId="67" fillId="0" borderId="0" xfId="0" applyFont="1"/>
    <xf numFmtId="0" fontId="33" fillId="13" borderId="4" xfId="0" applyFont="1" applyFill="1" applyBorder="1"/>
    <xf numFmtId="0" fontId="9" fillId="4" borderId="1" xfId="0" applyFont="1" applyFill="1" applyBorder="1" applyAlignment="1">
      <alignment vertical="top" wrapText="1"/>
    </xf>
    <xf numFmtId="0" fontId="2" fillId="0" borderId="2" xfId="0" applyFont="1" applyBorder="1"/>
    <xf numFmtId="0" fontId="2" fillId="0" borderId="3" xfId="0" applyFont="1" applyBorder="1"/>
    <xf numFmtId="0" fontId="18" fillId="0" borderId="10" xfId="0" applyFont="1" applyBorder="1" applyAlignment="1">
      <alignment vertical="top" wrapText="1"/>
    </xf>
    <xf numFmtId="0" fontId="2" fillId="0" borderId="7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0" fillId="0" borderId="0" xfId="0"/>
    <xf numFmtId="0" fontId="5" fillId="0" borderId="0" xfId="0" applyFont="1"/>
    <xf numFmtId="0" fontId="16" fillId="0" borderId="0" xfId="0" applyFont="1" applyAlignment="1">
      <alignment vertical="top" wrapText="1"/>
    </xf>
    <xf numFmtId="0" fontId="17" fillId="0" borderId="0" xfId="0" applyFont="1"/>
    <xf numFmtId="0" fontId="20" fillId="0" borderId="0" xfId="0" applyFont="1" applyAlignment="1">
      <alignment horizontal="left" vertical="center"/>
    </xf>
    <xf numFmtId="0" fontId="21" fillId="0" borderId="0" xfId="0" applyFont="1"/>
    <xf numFmtId="0" fontId="22" fillId="5" borderId="1" xfId="0" applyFont="1" applyFill="1" applyBorder="1" applyAlignment="1">
      <alignment horizontal="left" vertical="center"/>
    </xf>
    <xf numFmtId="0" fontId="23" fillId="8" borderId="1" xfId="0" applyFont="1" applyFill="1" applyBorder="1"/>
    <xf numFmtId="0" fontId="56" fillId="20" borderId="1" xfId="0" applyFont="1" applyFill="1" applyBorder="1" applyAlignment="1">
      <alignment horizontal="center" vertical="center"/>
    </xf>
    <xf numFmtId="9" fontId="30" fillId="0" borderId="0" xfId="1" applyFont="1"/>
  </cellXfs>
  <cellStyles count="2">
    <cellStyle name="Normal" xfId="0" builtinId="0"/>
    <cellStyle name="Porcentaje" xfId="1" builtinId="5"/>
  </cellStyles>
  <dxfs count="12">
    <dxf>
      <fill>
        <patternFill patternType="solid">
          <fgColor rgb="FFFCE4D6"/>
          <bgColor rgb="FFFCE4D6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314325</xdr:colOff>
      <xdr:row>20</xdr:row>
      <xdr:rowOff>0</xdr:rowOff>
    </xdr:from>
    <xdr:ext cx="8201025" cy="6648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showGridLines="0" workbookViewId="0">
      <selection sqref="A1:D1"/>
    </sheetView>
  </sheetViews>
  <sheetFormatPr baseColWidth="10" defaultColWidth="14.5" defaultRowHeight="15" customHeight="1" x14ac:dyDescent="0.2"/>
  <cols>
    <col min="1" max="1" width="5" customWidth="1"/>
    <col min="2" max="2" width="45" customWidth="1"/>
    <col min="3" max="3" width="80.33203125" customWidth="1"/>
    <col min="4" max="4" width="25" customWidth="1"/>
    <col min="5" max="26" width="10.6640625" customWidth="1"/>
  </cols>
  <sheetData>
    <row r="1" spans="1:4" ht="15.75" customHeight="1" x14ac:dyDescent="0.2">
      <c r="A1" s="205" t="s">
        <v>0</v>
      </c>
      <c r="B1" s="200"/>
      <c r="C1" s="200"/>
      <c r="D1" s="201"/>
    </row>
    <row r="2" spans="1:4" ht="15" customHeight="1" x14ac:dyDescent="0.2">
      <c r="A2" s="206" t="s">
        <v>1</v>
      </c>
      <c r="B2" s="207"/>
      <c r="C2" s="207"/>
      <c r="D2" s="207"/>
    </row>
    <row r="3" spans="1:4" ht="15" customHeight="1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4" ht="15" customHeight="1" x14ac:dyDescent="0.2">
      <c r="A4" s="208" t="s">
        <v>6</v>
      </c>
      <c r="B4" s="207"/>
      <c r="C4" s="207"/>
      <c r="D4" s="207"/>
    </row>
    <row r="5" spans="1:4" ht="27.75" customHeight="1" x14ac:dyDescent="0.2">
      <c r="A5" s="2" t="s">
        <v>7</v>
      </c>
      <c r="B5" s="3" t="s">
        <v>8</v>
      </c>
      <c r="C5" s="4" t="s">
        <v>9</v>
      </c>
      <c r="D5" s="5" t="s">
        <v>10</v>
      </c>
    </row>
    <row r="6" spans="1:4" ht="69.75" customHeight="1" x14ac:dyDescent="0.2">
      <c r="A6" s="2" t="s">
        <v>11</v>
      </c>
      <c r="B6" s="3" t="s">
        <v>12</v>
      </c>
      <c r="C6" s="4" t="s">
        <v>13</v>
      </c>
      <c r="D6" s="6" t="s">
        <v>14</v>
      </c>
    </row>
    <row r="7" spans="1:4" ht="42" customHeight="1" x14ac:dyDescent="0.2">
      <c r="A7" s="2" t="s">
        <v>15</v>
      </c>
      <c r="B7" s="3" t="s">
        <v>16</v>
      </c>
      <c r="C7" s="7" t="s">
        <v>17</v>
      </c>
      <c r="D7" s="8" t="s">
        <v>18</v>
      </c>
    </row>
    <row r="8" spans="1:4" ht="42" customHeight="1" x14ac:dyDescent="0.2">
      <c r="A8" s="2" t="s">
        <v>19</v>
      </c>
      <c r="B8" s="3" t="s">
        <v>20</v>
      </c>
      <c r="C8" s="7" t="s">
        <v>21</v>
      </c>
      <c r="D8" s="8" t="s">
        <v>22</v>
      </c>
    </row>
    <row r="9" spans="1:4" ht="42" customHeight="1" x14ac:dyDescent="0.2">
      <c r="A9" s="2" t="s">
        <v>23</v>
      </c>
      <c r="B9" s="3" t="s">
        <v>24</v>
      </c>
      <c r="C9" s="7" t="s">
        <v>25</v>
      </c>
      <c r="D9" s="8" t="s">
        <v>26</v>
      </c>
    </row>
    <row r="10" spans="1:4" ht="55.5" customHeight="1" x14ac:dyDescent="0.2">
      <c r="A10" s="2" t="s">
        <v>27</v>
      </c>
      <c r="B10" s="3" t="s">
        <v>28</v>
      </c>
      <c r="C10" s="4" t="s">
        <v>29</v>
      </c>
      <c r="D10" s="6" t="s">
        <v>30</v>
      </c>
    </row>
    <row r="11" spans="1:4" ht="27.75" customHeight="1" x14ac:dyDescent="0.2">
      <c r="A11" s="2" t="s">
        <v>31</v>
      </c>
      <c r="B11" s="3" t="s">
        <v>32</v>
      </c>
      <c r="C11" s="4" t="s">
        <v>33</v>
      </c>
      <c r="D11" s="9" t="s">
        <v>34</v>
      </c>
    </row>
    <row r="12" spans="1:4" ht="55.5" customHeight="1" x14ac:dyDescent="0.2">
      <c r="A12" s="2" t="s">
        <v>35</v>
      </c>
      <c r="B12" s="3" t="s">
        <v>36</v>
      </c>
      <c r="C12" s="4" t="s">
        <v>37</v>
      </c>
      <c r="D12" s="9" t="s">
        <v>38</v>
      </c>
    </row>
    <row r="13" spans="1:4" ht="42" customHeight="1" x14ac:dyDescent="0.2">
      <c r="A13" s="2" t="s">
        <v>39</v>
      </c>
      <c r="B13" s="3" t="s">
        <v>40</v>
      </c>
      <c r="C13" s="4" t="s">
        <v>41</v>
      </c>
      <c r="D13" s="9" t="s">
        <v>42</v>
      </c>
    </row>
    <row r="14" spans="1:4" ht="27.75" customHeight="1" x14ac:dyDescent="0.2">
      <c r="A14" s="2" t="s">
        <v>43</v>
      </c>
      <c r="B14" s="3" t="s">
        <v>44</v>
      </c>
      <c r="C14" s="4" t="s">
        <v>45</v>
      </c>
      <c r="D14" s="5" t="s">
        <v>46</v>
      </c>
    </row>
    <row r="15" spans="1:4" ht="27.75" customHeight="1" x14ac:dyDescent="0.2">
      <c r="A15" s="2" t="s">
        <v>47</v>
      </c>
      <c r="B15" s="3" t="s">
        <v>48</v>
      </c>
      <c r="C15" s="4" t="s">
        <v>49</v>
      </c>
      <c r="D15" s="9" t="s">
        <v>50</v>
      </c>
    </row>
    <row r="16" spans="1:4" ht="27.75" customHeight="1" x14ac:dyDescent="0.2">
      <c r="A16" s="2" t="s">
        <v>51</v>
      </c>
      <c r="B16" s="3" t="s">
        <v>52</v>
      </c>
      <c r="C16" s="4" t="s">
        <v>53</v>
      </c>
      <c r="D16" s="9" t="s">
        <v>54</v>
      </c>
    </row>
    <row r="17" spans="1:4" ht="42" customHeight="1" x14ac:dyDescent="0.2">
      <c r="A17" s="2" t="s">
        <v>55</v>
      </c>
      <c r="B17" s="3" t="s">
        <v>56</v>
      </c>
      <c r="C17" s="4" t="s">
        <v>57</v>
      </c>
      <c r="D17" s="9" t="s">
        <v>58</v>
      </c>
    </row>
    <row r="18" spans="1:4" ht="27.75" customHeight="1" x14ac:dyDescent="0.2">
      <c r="A18" s="2" t="s">
        <v>59</v>
      </c>
      <c r="B18" s="3" t="s">
        <v>60</v>
      </c>
      <c r="C18" s="4" t="s">
        <v>61</v>
      </c>
      <c r="D18" s="6" t="s">
        <v>62</v>
      </c>
    </row>
    <row r="19" spans="1:4" ht="42" customHeight="1" x14ac:dyDescent="0.2">
      <c r="A19" s="2" t="s">
        <v>63</v>
      </c>
      <c r="B19" s="3" t="s">
        <v>64</v>
      </c>
      <c r="C19" s="4" t="s">
        <v>65</v>
      </c>
      <c r="D19" s="6" t="s">
        <v>30</v>
      </c>
    </row>
    <row r="20" spans="1:4" ht="15.75" customHeight="1" x14ac:dyDescent="0.2">
      <c r="B20" s="10"/>
      <c r="C20" s="11"/>
    </row>
    <row r="21" spans="1:4" ht="15" customHeight="1" x14ac:dyDescent="0.2">
      <c r="A21" s="208" t="s">
        <v>66</v>
      </c>
      <c r="B21" s="207"/>
      <c r="C21" s="207"/>
      <c r="D21" s="207"/>
    </row>
    <row r="22" spans="1:4" ht="27.75" customHeight="1" x14ac:dyDescent="0.2">
      <c r="A22" s="2" t="s">
        <v>7</v>
      </c>
      <c r="B22" s="3" t="s">
        <v>67</v>
      </c>
      <c r="C22" s="4" t="s">
        <v>68</v>
      </c>
      <c r="D22" s="5" t="s">
        <v>69</v>
      </c>
    </row>
    <row r="23" spans="1:4" ht="15" customHeight="1" x14ac:dyDescent="0.2">
      <c r="A23" s="2" t="s">
        <v>11</v>
      </c>
      <c r="B23" s="3" t="s">
        <v>70</v>
      </c>
      <c r="C23" s="4" t="s">
        <v>71</v>
      </c>
      <c r="D23" s="5" t="s">
        <v>72</v>
      </c>
    </row>
    <row r="24" spans="1:4" ht="15" customHeight="1" x14ac:dyDescent="0.2">
      <c r="A24" s="2" t="s">
        <v>15</v>
      </c>
      <c r="B24" s="3" t="s">
        <v>73</v>
      </c>
      <c r="C24" s="4" t="s">
        <v>74</v>
      </c>
      <c r="D24" s="5" t="s">
        <v>72</v>
      </c>
    </row>
    <row r="25" spans="1:4" ht="15" customHeight="1" x14ac:dyDescent="0.2">
      <c r="A25" s="2" t="s">
        <v>19</v>
      </c>
      <c r="B25" s="3" t="s">
        <v>75</v>
      </c>
      <c r="C25" s="4" t="s">
        <v>76</v>
      </c>
      <c r="D25" s="5" t="s">
        <v>72</v>
      </c>
    </row>
    <row r="26" spans="1:4" ht="15" customHeight="1" x14ac:dyDescent="0.2">
      <c r="A26" s="2" t="s">
        <v>23</v>
      </c>
      <c r="B26" s="3" t="s">
        <v>77</v>
      </c>
      <c r="C26" s="4" t="s">
        <v>78</v>
      </c>
      <c r="D26" s="5" t="s">
        <v>72</v>
      </c>
    </row>
    <row r="27" spans="1:4" ht="15" customHeight="1" x14ac:dyDescent="0.2">
      <c r="A27" s="2" t="s">
        <v>27</v>
      </c>
      <c r="B27" s="3" t="s">
        <v>79</v>
      </c>
      <c r="C27" s="4" t="s">
        <v>80</v>
      </c>
      <c r="D27" s="9" t="s">
        <v>81</v>
      </c>
    </row>
    <row r="28" spans="1:4" ht="15" customHeight="1" x14ac:dyDescent="0.2">
      <c r="A28" s="2" t="s">
        <v>31</v>
      </c>
      <c r="B28" s="3" t="s">
        <v>82</v>
      </c>
      <c r="C28" s="4" t="s">
        <v>83</v>
      </c>
      <c r="D28" s="5" t="s">
        <v>72</v>
      </c>
    </row>
    <row r="29" spans="1:4" ht="42" customHeight="1" x14ac:dyDescent="0.2">
      <c r="A29" s="2" t="s">
        <v>35</v>
      </c>
      <c r="B29" s="3" t="s">
        <v>84</v>
      </c>
      <c r="C29" s="4" t="s">
        <v>85</v>
      </c>
      <c r="D29" s="5" t="s">
        <v>86</v>
      </c>
    </row>
    <row r="30" spans="1:4" ht="15" customHeight="1" x14ac:dyDescent="0.2">
      <c r="A30" s="2" t="s">
        <v>39</v>
      </c>
      <c r="B30" s="3" t="s">
        <v>87</v>
      </c>
      <c r="C30" s="4" t="s">
        <v>85</v>
      </c>
      <c r="D30" s="5" t="s">
        <v>86</v>
      </c>
    </row>
    <row r="31" spans="1:4" ht="27.75" customHeight="1" x14ac:dyDescent="0.2">
      <c r="A31" s="2" t="s">
        <v>43</v>
      </c>
      <c r="B31" s="3">
        <v>1.4999999999999999E-2</v>
      </c>
      <c r="C31" s="7" t="s">
        <v>88</v>
      </c>
      <c r="D31" s="8" t="s">
        <v>89</v>
      </c>
    </row>
    <row r="32" spans="1:4" ht="42" customHeight="1" x14ac:dyDescent="0.2">
      <c r="A32" s="2" t="s">
        <v>47</v>
      </c>
      <c r="B32" s="3" t="s">
        <v>90</v>
      </c>
      <c r="C32" s="4" t="s">
        <v>91</v>
      </c>
      <c r="D32" s="9" t="s">
        <v>92</v>
      </c>
    </row>
    <row r="33" spans="1:4" ht="15" customHeight="1" x14ac:dyDescent="0.2">
      <c r="A33" s="2" t="s">
        <v>51</v>
      </c>
      <c r="B33" s="3" t="s">
        <v>93</v>
      </c>
      <c r="C33" s="4" t="s">
        <v>94</v>
      </c>
      <c r="D33" s="12" t="s">
        <v>95</v>
      </c>
    </row>
    <row r="34" spans="1:4" ht="27.75" customHeight="1" x14ac:dyDescent="0.2">
      <c r="A34" s="2" t="s">
        <v>55</v>
      </c>
      <c r="B34" s="3" t="s">
        <v>96</v>
      </c>
      <c r="C34" s="4" t="s">
        <v>97</v>
      </c>
      <c r="D34" s="9" t="s">
        <v>54</v>
      </c>
    </row>
    <row r="35" spans="1:4" ht="15.75" customHeight="1" x14ac:dyDescent="0.2">
      <c r="B35" s="10" t="s">
        <v>98</v>
      </c>
      <c r="C35" s="13" t="s">
        <v>99</v>
      </c>
      <c r="D35" s="14" t="s">
        <v>100</v>
      </c>
    </row>
    <row r="36" spans="1:4" ht="15" customHeight="1" x14ac:dyDescent="0.2">
      <c r="A36" s="208" t="s">
        <v>101</v>
      </c>
      <c r="B36" s="207"/>
      <c r="C36" s="207"/>
      <c r="D36" s="207"/>
    </row>
    <row r="37" spans="1:4" ht="15" customHeight="1" x14ac:dyDescent="0.2">
      <c r="A37" s="1" t="s">
        <v>2</v>
      </c>
      <c r="B37" s="1" t="s">
        <v>102</v>
      </c>
      <c r="C37" s="1" t="s">
        <v>103</v>
      </c>
      <c r="D37" s="1" t="s">
        <v>104</v>
      </c>
    </row>
    <row r="38" spans="1:4" ht="16.5" customHeight="1" x14ac:dyDescent="0.2">
      <c r="A38" s="15" t="s">
        <v>7</v>
      </c>
      <c r="B38" s="16">
        <v>0.05</v>
      </c>
      <c r="C38" s="7" t="s">
        <v>105</v>
      </c>
      <c r="D38" s="8" t="s">
        <v>106</v>
      </c>
    </row>
    <row r="39" spans="1:4" ht="15.75" customHeight="1" x14ac:dyDescent="0.2">
      <c r="A39" s="15" t="s">
        <v>11</v>
      </c>
      <c r="B39" s="17" t="s">
        <v>107</v>
      </c>
      <c r="C39" s="4" t="s">
        <v>108</v>
      </c>
      <c r="D39" s="17" t="s">
        <v>109</v>
      </c>
    </row>
    <row r="40" spans="1:4" ht="15.75" customHeight="1" x14ac:dyDescent="0.2">
      <c r="A40" s="15" t="s">
        <v>15</v>
      </c>
      <c r="B40" s="17" t="s">
        <v>110</v>
      </c>
      <c r="C40" s="7" t="s">
        <v>111</v>
      </c>
      <c r="D40" s="8" t="s">
        <v>112</v>
      </c>
    </row>
    <row r="41" spans="1:4" ht="15.75" customHeight="1" x14ac:dyDescent="0.2">
      <c r="A41" s="15" t="s">
        <v>19</v>
      </c>
      <c r="B41" s="17" t="s">
        <v>113</v>
      </c>
      <c r="C41" s="7" t="s">
        <v>114</v>
      </c>
      <c r="D41" s="18" t="s">
        <v>115</v>
      </c>
    </row>
    <row r="42" spans="1:4" ht="31.5" customHeight="1" x14ac:dyDescent="0.2">
      <c r="A42" s="15" t="s">
        <v>23</v>
      </c>
      <c r="B42" s="17" t="s">
        <v>116</v>
      </c>
      <c r="C42" s="7" t="s">
        <v>117</v>
      </c>
      <c r="D42" s="17" t="s">
        <v>118</v>
      </c>
    </row>
    <row r="43" spans="1:4" ht="15.75" customHeight="1" x14ac:dyDescent="0.2">
      <c r="A43" s="15" t="s">
        <v>27</v>
      </c>
      <c r="B43" s="17" t="s">
        <v>119</v>
      </c>
      <c r="C43" s="4" t="s">
        <v>120</v>
      </c>
      <c r="D43" s="17" t="s">
        <v>121</v>
      </c>
    </row>
    <row r="44" spans="1:4" ht="15.75" customHeight="1" x14ac:dyDescent="0.2">
      <c r="A44" s="15" t="s">
        <v>31</v>
      </c>
      <c r="B44" s="17" t="s">
        <v>122</v>
      </c>
      <c r="C44" s="7" t="s">
        <v>123</v>
      </c>
      <c r="D44" s="17" t="s">
        <v>121</v>
      </c>
    </row>
    <row r="45" spans="1:4" ht="15.75" customHeight="1" x14ac:dyDescent="0.2">
      <c r="A45" s="15" t="s">
        <v>35</v>
      </c>
      <c r="B45" s="17" t="s">
        <v>124</v>
      </c>
      <c r="C45" s="4" t="s">
        <v>125</v>
      </c>
      <c r="D45" s="17" t="s">
        <v>126</v>
      </c>
    </row>
    <row r="46" spans="1:4" ht="15.75" customHeight="1" x14ac:dyDescent="0.2">
      <c r="B46" s="19"/>
    </row>
    <row r="47" spans="1:4" ht="32.25" customHeight="1" x14ac:dyDescent="0.2">
      <c r="A47" s="209" t="s">
        <v>127</v>
      </c>
      <c r="B47" s="207"/>
      <c r="C47" s="207"/>
      <c r="D47" s="207"/>
    </row>
    <row r="48" spans="1:4" ht="15.75" customHeight="1" x14ac:dyDescent="0.2">
      <c r="B48" s="19"/>
    </row>
    <row r="49" spans="1:4" ht="15" customHeight="1" x14ac:dyDescent="0.2">
      <c r="A49" s="210" t="s">
        <v>128</v>
      </c>
      <c r="B49" s="207"/>
      <c r="C49" s="207"/>
      <c r="D49" s="207"/>
    </row>
    <row r="50" spans="1:4" ht="55.5" customHeight="1" x14ac:dyDescent="0.2">
      <c r="A50" s="21" t="s">
        <v>7</v>
      </c>
      <c r="B50" s="21" t="s">
        <v>129</v>
      </c>
      <c r="C50" s="22" t="s">
        <v>130</v>
      </c>
      <c r="D50" s="23" t="s">
        <v>131</v>
      </c>
    </row>
    <row r="51" spans="1:4" ht="42" customHeight="1" x14ac:dyDescent="0.2">
      <c r="A51" s="21" t="s">
        <v>11</v>
      </c>
      <c r="B51" s="21" t="s">
        <v>132</v>
      </c>
      <c r="C51" s="21" t="s">
        <v>133</v>
      </c>
      <c r="D51" s="21" t="s">
        <v>134</v>
      </c>
    </row>
    <row r="52" spans="1:4" ht="42" customHeight="1" x14ac:dyDescent="0.2">
      <c r="A52" s="21" t="s">
        <v>15</v>
      </c>
      <c r="B52" s="21" t="s">
        <v>135</v>
      </c>
      <c r="C52" s="21" t="s">
        <v>136</v>
      </c>
      <c r="D52" s="21" t="s">
        <v>137</v>
      </c>
    </row>
    <row r="53" spans="1:4" ht="42" customHeight="1" x14ac:dyDescent="0.2">
      <c r="A53" s="21" t="s">
        <v>19</v>
      </c>
      <c r="B53" s="21" t="s">
        <v>138</v>
      </c>
      <c r="C53" s="21" t="s">
        <v>139</v>
      </c>
      <c r="D53" s="21" t="s">
        <v>140</v>
      </c>
    </row>
    <row r="54" spans="1:4" ht="42" customHeight="1" x14ac:dyDescent="0.2">
      <c r="A54" s="21" t="s">
        <v>23</v>
      </c>
      <c r="B54" s="21" t="s">
        <v>141</v>
      </c>
      <c r="C54" s="21" t="s">
        <v>142</v>
      </c>
      <c r="D54" s="24" t="s">
        <v>143</v>
      </c>
    </row>
    <row r="55" spans="1:4" ht="15.75" customHeight="1" x14ac:dyDescent="0.2">
      <c r="A55" s="25" t="s">
        <v>27</v>
      </c>
      <c r="B55" s="25" t="s">
        <v>144</v>
      </c>
      <c r="C55" s="25" t="s">
        <v>145</v>
      </c>
      <c r="D55" s="25" t="s">
        <v>146</v>
      </c>
    </row>
    <row r="56" spans="1:4" ht="15" customHeight="1" x14ac:dyDescent="0.2">
      <c r="A56" s="199" t="s">
        <v>31</v>
      </c>
      <c r="B56" s="200"/>
      <c r="C56" s="200"/>
      <c r="D56" s="201"/>
    </row>
    <row r="57" spans="1:4" ht="27.75" customHeight="1" x14ac:dyDescent="0.2">
      <c r="A57" s="25" t="s">
        <v>35</v>
      </c>
      <c r="B57" s="25" t="s">
        <v>147</v>
      </c>
      <c r="C57" s="25" t="s">
        <v>148</v>
      </c>
      <c r="D57" s="25" t="s">
        <v>149</v>
      </c>
    </row>
    <row r="58" spans="1:4" ht="42" customHeight="1" x14ac:dyDescent="0.2">
      <c r="B58" s="19"/>
    </row>
    <row r="59" spans="1:4" ht="42" customHeight="1" x14ac:dyDescent="0.2">
      <c r="B59" s="19"/>
    </row>
    <row r="60" spans="1:4" ht="27.75" customHeight="1" x14ac:dyDescent="0.2">
      <c r="A60" s="20" t="s">
        <v>150</v>
      </c>
      <c r="B60" s="19"/>
    </row>
    <row r="61" spans="1:4" ht="27.75" customHeight="1" x14ac:dyDescent="0.2">
      <c r="A61" s="21" t="s">
        <v>7</v>
      </c>
      <c r="B61" s="21" t="s">
        <v>151</v>
      </c>
      <c r="C61" s="21" t="s">
        <v>152</v>
      </c>
      <c r="D61" s="21" t="s">
        <v>153</v>
      </c>
    </row>
    <row r="62" spans="1:4" ht="15.75" customHeight="1" x14ac:dyDescent="0.2">
      <c r="A62" s="21" t="s">
        <v>11</v>
      </c>
      <c r="B62" s="21" t="s">
        <v>154</v>
      </c>
      <c r="C62" s="21" t="s">
        <v>155</v>
      </c>
      <c r="D62" s="21" t="s">
        <v>156</v>
      </c>
    </row>
    <row r="63" spans="1:4" ht="15" customHeight="1" x14ac:dyDescent="0.2">
      <c r="A63" s="202" t="s">
        <v>15</v>
      </c>
      <c r="B63" s="203"/>
      <c r="C63" s="203"/>
      <c r="D63" s="204"/>
    </row>
    <row r="64" spans="1:4" ht="42" customHeight="1" x14ac:dyDescent="0.2">
      <c r="A64" s="21" t="s">
        <v>19</v>
      </c>
      <c r="B64" s="21" t="s">
        <v>157</v>
      </c>
      <c r="C64" s="21" t="s">
        <v>158</v>
      </c>
      <c r="D64" s="21" t="s">
        <v>159</v>
      </c>
    </row>
    <row r="65" spans="1:4" ht="42" customHeight="1" x14ac:dyDescent="0.2">
      <c r="A65" s="21" t="s">
        <v>23</v>
      </c>
      <c r="B65" s="21" t="s">
        <v>160</v>
      </c>
      <c r="C65" s="21" t="s">
        <v>161</v>
      </c>
      <c r="D65" s="21" t="s">
        <v>162</v>
      </c>
    </row>
    <row r="66" spans="1:4" ht="27.75" customHeight="1" x14ac:dyDescent="0.2">
      <c r="B66" s="19"/>
    </row>
    <row r="67" spans="1:4" ht="15.75" customHeight="1" x14ac:dyDescent="0.2">
      <c r="A67" s="20" t="s">
        <v>163</v>
      </c>
      <c r="B67" s="19"/>
    </row>
    <row r="68" spans="1:4" ht="15.75" customHeight="1" x14ac:dyDescent="0.2">
      <c r="A68" s="21" t="s">
        <v>7</v>
      </c>
      <c r="B68" s="21" t="s">
        <v>164</v>
      </c>
      <c r="C68" s="21" t="s">
        <v>165</v>
      </c>
      <c r="D68" s="21" t="s">
        <v>166</v>
      </c>
    </row>
    <row r="69" spans="1:4" ht="15.75" customHeight="1" x14ac:dyDescent="0.2">
      <c r="A69" s="21" t="s">
        <v>11</v>
      </c>
      <c r="B69" s="21" t="s">
        <v>167</v>
      </c>
      <c r="C69" s="21" t="s">
        <v>168</v>
      </c>
      <c r="D69" s="21" t="s">
        <v>169</v>
      </c>
    </row>
    <row r="70" spans="1:4" ht="15.75" customHeight="1" x14ac:dyDescent="0.2">
      <c r="A70" s="21" t="s">
        <v>15</v>
      </c>
      <c r="B70" s="21" t="s">
        <v>170</v>
      </c>
      <c r="C70" s="21" t="s">
        <v>171</v>
      </c>
      <c r="D70" s="24" t="s">
        <v>172</v>
      </c>
    </row>
    <row r="71" spans="1:4" ht="15.75" customHeight="1" x14ac:dyDescent="0.2">
      <c r="B71" s="19"/>
    </row>
    <row r="72" spans="1:4" ht="15.75" customHeight="1" x14ac:dyDescent="0.2">
      <c r="B72" s="19"/>
    </row>
    <row r="73" spans="1:4" ht="15.75" customHeight="1" x14ac:dyDescent="0.2">
      <c r="B73" s="19"/>
    </row>
    <row r="74" spans="1:4" ht="15.75" customHeight="1" x14ac:dyDescent="0.2">
      <c r="B74" s="19"/>
    </row>
    <row r="75" spans="1:4" ht="15.75" customHeight="1" x14ac:dyDescent="0.2">
      <c r="B75" s="19"/>
    </row>
    <row r="76" spans="1:4" ht="15.75" customHeight="1" x14ac:dyDescent="0.2">
      <c r="B76" s="19"/>
    </row>
    <row r="77" spans="1:4" ht="15.75" customHeight="1" x14ac:dyDescent="0.2">
      <c r="B77" s="19"/>
    </row>
    <row r="78" spans="1:4" ht="15.75" customHeight="1" x14ac:dyDescent="0.2">
      <c r="B78" s="19"/>
    </row>
    <row r="79" spans="1:4" ht="15.75" customHeight="1" x14ac:dyDescent="0.2">
      <c r="B79" s="19"/>
    </row>
    <row r="80" spans="1:4" ht="15.75" customHeight="1" x14ac:dyDescent="0.2">
      <c r="B80" s="19"/>
    </row>
    <row r="81" spans="2:2" ht="15.75" customHeight="1" x14ac:dyDescent="0.2">
      <c r="B81" s="19"/>
    </row>
    <row r="82" spans="2:2" ht="15.75" customHeight="1" x14ac:dyDescent="0.2">
      <c r="B82" s="19"/>
    </row>
    <row r="83" spans="2:2" ht="15.75" customHeight="1" x14ac:dyDescent="0.2">
      <c r="B83" s="19"/>
    </row>
    <row r="84" spans="2:2" ht="15.75" customHeight="1" x14ac:dyDescent="0.2">
      <c r="B84" s="19"/>
    </row>
    <row r="85" spans="2:2" ht="15.75" customHeight="1" x14ac:dyDescent="0.2">
      <c r="B85" s="19"/>
    </row>
    <row r="86" spans="2:2" ht="15.75" customHeight="1" x14ac:dyDescent="0.2">
      <c r="B86" s="19"/>
    </row>
    <row r="87" spans="2:2" ht="15.75" customHeight="1" x14ac:dyDescent="0.2">
      <c r="B87" s="19"/>
    </row>
    <row r="88" spans="2:2" ht="15.75" customHeight="1" x14ac:dyDescent="0.2">
      <c r="B88" s="19"/>
    </row>
    <row r="89" spans="2:2" ht="15.75" customHeight="1" x14ac:dyDescent="0.2">
      <c r="B89" s="19"/>
    </row>
    <row r="90" spans="2:2" ht="15.75" customHeight="1" x14ac:dyDescent="0.2">
      <c r="B90" s="19"/>
    </row>
    <row r="91" spans="2:2" ht="15.75" customHeight="1" x14ac:dyDescent="0.2">
      <c r="B91" s="19"/>
    </row>
    <row r="92" spans="2:2" ht="15.75" customHeight="1" x14ac:dyDescent="0.2">
      <c r="B92" s="19"/>
    </row>
    <row r="93" spans="2:2" ht="15.75" customHeight="1" x14ac:dyDescent="0.2">
      <c r="B93" s="19"/>
    </row>
    <row r="94" spans="2:2" ht="15.75" customHeight="1" x14ac:dyDescent="0.2">
      <c r="B94" s="19"/>
    </row>
    <row r="95" spans="2:2" ht="15.75" customHeight="1" x14ac:dyDescent="0.2">
      <c r="B95" s="19"/>
    </row>
    <row r="96" spans="2:2" ht="15.75" customHeight="1" x14ac:dyDescent="0.2">
      <c r="B96" s="19"/>
    </row>
    <row r="97" spans="2:2" ht="15.75" customHeight="1" x14ac:dyDescent="0.2">
      <c r="B97" s="19"/>
    </row>
    <row r="98" spans="2:2" ht="15.75" customHeight="1" x14ac:dyDescent="0.2">
      <c r="B98" s="19"/>
    </row>
    <row r="99" spans="2:2" ht="15.75" customHeight="1" x14ac:dyDescent="0.2">
      <c r="B99" s="19"/>
    </row>
    <row r="100" spans="2:2" ht="15.75" customHeight="1" x14ac:dyDescent="0.2">
      <c r="B100" s="19"/>
    </row>
    <row r="101" spans="2:2" ht="15.75" customHeight="1" x14ac:dyDescent="0.2">
      <c r="B101" s="19"/>
    </row>
    <row r="102" spans="2:2" ht="15.75" customHeight="1" x14ac:dyDescent="0.2">
      <c r="B102" s="19"/>
    </row>
    <row r="103" spans="2:2" ht="15.75" customHeight="1" x14ac:dyDescent="0.2">
      <c r="B103" s="19"/>
    </row>
    <row r="104" spans="2:2" ht="15.75" customHeight="1" x14ac:dyDescent="0.2">
      <c r="B104" s="19"/>
    </row>
    <row r="105" spans="2:2" ht="15.75" customHeight="1" x14ac:dyDescent="0.2">
      <c r="B105" s="19"/>
    </row>
    <row r="106" spans="2:2" ht="15.75" customHeight="1" x14ac:dyDescent="0.2">
      <c r="B106" s="19"/>
    </row>
    <row r="107" spans="2:2" ht="15.75" customHeight="1" x14ac:dyDescent="0.2">
      <c r="B107" s="19"/>
    </row>
    <row r="108" spans="2:2" ht="15.75" customHeight="1" x14ac:dyDescent="0.2">
      <c r="B108" s="19"/>
    </row>
    <row r="109" spans="2:2" ht="15.75" customHeight="1" x14ac:dyDescent="0.2">
      <c r="B109" s="19"/>
    </row>
    <row r="110" spans="2:2" ht="15.75" customHeight="1" x14ac:dyDescent="0.2">
      <c r="B110" s="19"/>
    </row>
    <row r="111" spans="2:2" ht="15.75" customHeight="1" x14ac:dyDescent="0.2">
      <c r="B111" s="19"/>
    </row>
    <row r="112" spans="2:2" ht="15.75" customHeight="1" x14ac:dyDescent="0.2">
      <c r="B112" s="19"/>
    </row>
    <row r="113" spans="2:2" ht="15.75" customHeight="1" x14ac:dyDescent="0.2">
      <c r="B113" s="19"/>
    </row>
    <row r="114" spans="2:2" ht="15.75" customHeight="1" x14ac:dyDescent="0.2">
      <c r="B114" s="19"/>
    </row>
    <row r="115" spans="2:2" ht="15.75" customHeight="1" x14ac:dyDescent="0.2">
      <c r="B115" s="19"/>
    </row>
    <row r="116" spans="2:2" ht="15.75" customHeight="1" x14ac:dyDescent="0.2">
      <c r="B116" s="19"/>
    </row>
    <row r="117" spans="2:2" ht="15.75" customHeight="1" x14ac:dyDescent="0.2">
      <c r="B117" s="19"/>
    </row>
    <row r="118" spans="2:2" ht="15.75" customHeight="1" x14ac:dyDescent="0.2">
      <c r="B118" s="19"/>
    </row>
    <row r="119" spans="2:2" ht="15.75" customHeight="1" x14ac:dyDescent="0.2">
      <c r="B119" s="19"/>
    </row>
    <row r="120" spans="2:2" ht="15.75" customHeight="1" x14ac:dyDescent="0.2">
      <c r="B120" s="19"/>
    </row>
    <row r="121" spans="2:2" ht="15.75" customHeight="1" x14ac:dyDescent="0.2">
      <c r="B121" s="19"/>
    </row>
    <row r="122" spans="2:2" ht="15.75" customHeight="1" x14ac:dyDescent="0.2">
      <c r="B122" s="19"/>
    </row>
    <row r="123" spans="2:2" ht="15.75" customHeight="1" x14ac:dyDescent="0.2">
      <c r="B123" s="19"/>
    </row>
    <row r="124" spans="2:2" ht="15.75" customHeight="1" x14ac:dyDescent="0.2">
      <c r="B124" s="19"/>
    </row>
    <row r="125" spans="2:2" ht="15.75" customHeight="1" x14ac:dyDescent="0.2">
      <c r="B125" s="19"/>
    </row>
    <row r="126" spans="2:2" ht="15.75" customHeight="1" x14ac:dyDescent="0.2">
      <c r="B126" s="19"/>
    </row>
    <row r="127" spans="2:2" ht="15.75" customHeight="1" x14ac:dyDescent="0.2">
      <c r="B127" s="19"/>
    </row>
    <row r="128" spans="2:2" ht="15.75" customHeight="1" x14ac:dyDescent="0.2">
      <c r="B128" s="19"/>
    </row>
    <row r="129" spans="2:2" ht="15.75" customHeight="1" x14ac:dyDescent="0.2">
      <c r="B129" s="19"/>
    </row>
    <row r="130" spans="2:2" ht="15.75" customHeight="1" x14ac:dyDescent="0.2">
      <c r="B130" s="19"/>
    </row>
    <row r="131" spans="2:2" ht="15.75" customHeight="1" x14ac:dyDescent="0.2">
      <c r="B131" s="19"/>
    </row>
    <row r="132" spans="2:2" ht="15.75" customHeight="1" x14ac:dyDescent="0.2">
      <c r="B132" s="19"/>
    </row>
    <row r="133" spans="2:2" ht="15.75" customHeight="1" x14ac:dyDescent="0.2">
      <c r="B133" s="19"/>
    </row>
    <row r="134" spans="2:2" ht="15.75" customHeight="1" x14ac:dyDescent="0.2">
      <c r="B134" s="19"/>
    </row>
    <row r="135" spans="2:2" ht="15.75" customHeight="1" x14ac:dyDescent="0.2">
      <c r="B135" s="19"/>
    </row>
    <row r="136" spans="2:2" ht="15.75" customHeight="1" x14ac:dyDescent="0.2">
      <c r="B136" s="19"/>
    </row>
    <row r="137" spans="2:2" ht="15.75" customHeight="1" x14ac:dyDescent="0.2">
      <c r="B137" s="19"/>
    </row>
    <row r="138" spans="2:2" ht="15.75" customHeight="1" x14ac:dyDescent="0.2">
      <c r="B138" s="19"/>
    </row>
    <row r="139" spans="2:2" ht="15.75" customHeight="1" x14ac:dyDescent="0.2">
      <c r="B139" s="19"/>
    </row>
    <row r="140" spans="2:2" ht="15.75" customHeight="1" x14ac:dyDescent="0.2">
      <c r="B140" s="19"/>
    </row>
    <row r="141" spans="2:2" ht="15.75" customHeight="1" x14ac:dyDescent="0.2">
      <c r="B141" s="19"/>
    </row>
    <row r="142" spans="2:2" ht="15.75" customHeight="1" x14ac:dyDescent="0.2">
      <c r="B142" s="19"/>
    </row>
    <row r="143" spans="2:2" ht="15.75" customHeight="1" x14ac:dyDescent="0.2">
      <c r="B143" s="19"/>
    </row>
    <row r="144" spans="2:2" ht="15.75" customHeight="1" x14ac:dyDescent="0.2">
      <c r="B144" s="19"/>
    </row>
    <row r="145" spans="2:2" ht="15.75" customHeight="1" x14ac:dyDescent="0.2">
      <c r="B145" s="19"/>
    </row>
    <row r="146" spans="2:2" ht="15.75" customHeight="1" x14ac:dyDescent="0.2">
      <c r="B146" s="19"/>
    </row>
    <row r="147" spans="2:2" ht="15.75" customHeight="1" x14ac:dyDescent="0.2">
      <c r="B147" s="19"/>
    </row>
    <row r="148" spans="2:2" ht="15.75" customHeight="1" x14ac:dyDescent="0.2">
      <c r="B148" s="19"/>
    </row>
    <row r="149" spans="2:2" ht="15.75" customHeight="1" x14ac:dyDescent="0.2">
      <c r="B149" s="19"/>
    </row>
    <row r="150" spans="2:2" ht="15.75" customHeight="1" x14ac:dyDescent="0.2">
      <c r="B150" s="19"/>
    </row>
    <row r="151" spans="2:2" ht="15.75" customHeight="1" x14ac:dyDescent="0.2">
      <c r="B151" s="19"/>
    </row>
    <row r="152" spans="2:2" ht="15.75" customHeight="1" x14ac:dyDescent="0.2">
      <c r="B152" s="19"/>
    </row>
    <row r="153" spans="2:2" ht="15.75" customHeight="1" x14ac:dyDescent="0.2">
      <c r="B153" s="19"/>
    </row>
    <row r="154" spans="2:2" ht="15.75" customHeight="1" x14ac:dyDescent="0.2">
      <c r="B154" s="19"/>
    </row>
    <row r="155" spans="2:2" ht="15.75" customHeight="1" x14ac:dyDescent="0.2">
      <c r="B155" s="19"/>
    </row>
    <row r="156" spans="2:2" ht="15.75" customHeight="1" x14ac:dyDescent="0.2">
      <c r="B156" s="19"/>
    </row>
    <row r="157" spans="2:2" ht="15.75" customHeight="1" x14ac:dyDescent="0.2">
      <c r="B157" s="19"/>
    </row>
    <row r="158" spans="2:2" ht="15.75" customHeight="1" x14ac:dyDescent="0.2">
      <c r="B158" s="19"/>
    </row>
    <row r="159" spans="2:2" ht="15.75" customHeight="1" x14ac:dyDescent="0.2">
      <c r="B159" s="19"/>
    </row>
    <row r="160" spans="2:2" ht="15.75" customHeight="1" x14ac:dyDescent="0.2">
      <c r="B160" s="19"/>
    </row>
    <row r="161" spans="2:2" ht="15.75" customHeight="1" x14ac:dyDescent="0.2">
      <c r="B161" s="19"/>
    </row>
    <row r="162" spans="2:2" ht="15.75" customHeight="1" x14ac:dyDescent="0.2">
      <c r="B162" s="19"/>
    </row>
    <row r="163" spans="2:2" ht="15.75" customHeight="1" x14ac:dyDescent="0.2">
      <c r="B163" s="19"/>
    </row>
    <row r="164" spans="2:2" ht="15.75" customHeight="1" x14ac:dyDescent="0.2">
      <c r="B164" s="19"/>
    </row>
    <row r="165" spans="2:2" ht="15.75" customHeight="1" x14ac:dyDescent="0.2">
      <c r="B165" s="19"/>
    </row>
    <row r="166" spans="2:2" ht="15.75" customHeight="1" x14ac:dyDescent="0.2">
      <c r="B166" s="19"/>
    </row>
    <row r="167" spans="2:2" ht="15.75" customHeight="1" x14ac:dyDescent="0.2">
      <c r="B167" s="19"/>
    </row>
    <row r="168" spans="2:2" ht="15.75" customHeight="1" x14ac:dyDescent="0.2">
      <c r="B168" s="19"/>
    </row>
    <row r="169" spans="2:2" ht="15.75" customHeight="1" x14ac:dyDescent="0.2">
      <c r="B169" s="19"/>
    </row>
    <row r="170" spans="2:2" ht="15.75" customHeight="1" x14ac:dyDescent="0.2">
      <c r="B170" s="19"/>
    </row>
    <row r="171" spans="2:2" ht="15.75" customHeight="1" x14ac:dyDescent="0.2">
      <c r="B171" s="19"/>
    </row>
    <row r="172" spans="2:2" ht="15.75" customHeight="1" x14ac:dyDescent="0.2">
      <c r="B172" s="19"/>
    </row>
    <row r="173" spans="2:2" ht="15.75" customHeight="1" x14ac:dyDescent="0.2">
      <c r="B173" s="19"/>
    </row>
    <row r="174" spans="2:2" ht="15.75" customHeight="1" x14ac:dyDescent="0.2">
      <c r="B174" s="19"/>
    </row>
    <row r="175" spans="2:2" ht="15.75" customHeight="1" x14ac:dyDescent="0.2">
      <c r="B175" s="19"/>
    </row>
    <row r="176" spans="2:2" ht="15.75" customHeight="1" x14ac:dyDescent="0.2">
      <c r="B176" s="19"/>
    </row>
    <row r="177" spans="2:2" ht="15.75" customHeight="1" x14ac:dyDescent="0.2">
      <c r="B177" s="19"/>
    </row>
    <row r="178" spans="2:2" ht="15.75" customHeight="1" x14ac:dyDescent="0.2">
      <c r="B178" s="19"/>
    </row>
    <row r="179" spans="2:2" ht="15.75" customHeight="1" x14ac:dyDescent="0.2">
      <c r="B179" s="19"/>
    </row>
    <row r="180" spans="2:2" ht="15.75" customHeight="1" x14ac:dyDescent="0.2">
      <c r="B180" s="19"/>
    </row>
    <row r="181" spans="2:2" ht="15.75" customHeight="1" x14ac:dyDescent="0.2">
      <c r="B181" s="19"/>
    </row>
    <row r="182" spans="2:2" ht="15.75" customHeight="1" x14ac:dyDescent="0.2">
      <c r="B182" s="19"/>
    </row>
    <row r="183" spans="2:2" ht="15.75" customHeight="1" x14ac:dyDescent="0.2">
      <c r="B183" s="19"/>
    </row>
    <row r="184" spans="2:2" ht="15.75" customHeight="1" x14ac:dyDescent="0.2">
      <c r="B184" s="19"/>
    </row>
    <row r="185" spans="2:2" ht="15.75" customHeight="1" x14ac:dyDescent="0.2">
      <c r="B185" s="19"/>
    </row>
    <row r="186" spans="2:2" ht="15.75" customHeight="1" x14ac:dyDescent="0.2">
      <c r="B186" s="19"/>
    </row>
    <row r="187" spans="2:2" ht="15.75" customHeight="1" x14ac:dyDescent="0.2">
      <c r="B187" s="19"/>
    </row>
    <row r="188" spans="2:2" ht="15.75" customHeight="1" x14ac:dyDescent="0.2">
      <c r="B188" s="19"/>
    </row>
    <row r="189" spans="2:2" ht="15.75" customHeight="1" x14ac:dyDescent="0.2">
      <c r="B189" s="19"/>
    </row>
    <row r="190" spans="2:2" ht="15.75" customHeight="1" x14ac:dyDescent="0.2">
      <c r="B190" s="19"/>
    </row>
    <row r="191" spans="2:2" ht="15.75" customHeight="1" x14ac:dyDescent="0.2">
      <c r="B191" s="19"/>
    </row>
    <row r="192" spans="2:2" ht="15.75" customHeight="1" x14ac:dyDescent="0.2">
      <c r="B192" s="19"/>
    </row>
    <row r="193" spans="2:2" ht="15.75" customHeight="1" x14ac:dyDescent="0.2">
      <c r="B193" s="19"/>
    </row>
    <row r="194" spans="2:2" ht="15.75" customHeight="1" x14ac:dyDescent="0.2">
      <c r="B194" s="19"/>
    </row>
    <row r="195" spans="2:2" ht="15.75" customHeight="1" x14ac:dyDescent="0.2">
      <c r="B195" s="19"/>
    </row>
    <row r="196" spans="2:2" ht="15.75" customHeight="1" x14ac:dyDescent="0.2">
      <c r="B196" s="19"/>
    </row>
    <row r="197" spans="2:2" ht="15.75" customHeight="1" x14ac:dyDescent="0.2">
      <c r="B197" s="19"/>
    </row>
    <row r="198" spans="2:2" ht="15.75" customHeight="1" x14ac:dyDescent="0.2">
      <c r="B198" s="19"/>
    </row>
    <row r="199" spans="2:2" ht="15.75" customHeight="1" x14ac:dyDescent="0.2">
      <c r="B199" s="19"/>
    </row>
    <row r="200" spans="2:2" ht="15.75" customHeight="1" x14ac:dyDescent="0.2">
      <c r="B200" s="19"/>
    </row>
    <row r="201" spans="2:2" ht="15.75" customHeight="1" x14ac:dyDescent="0.2">
      <c r="B201" s="19"/>
    </row>
    <row r="202" spans="2:2" ht="15.75" customHeight="1" x14ac:dyDescent="0.2">
      <c r="B202" s="19"/>
    </row>
    <row r="203" spans="2:2" ht="15.75" customHeight="1" x14ac:dyDescent="0.2">
      <c r="B203" s="19"/>
    </row>
    <row r="204" spans="2:2" ht="15.75" customHeight="1" x14ac:dyDescent="0.2">
      <c r="B204" s="19"/>
    </row>
    <row r="205" spans="2:2" ht="15.75" customHeight="1" x14ac:dyDescent="0.2">
      <c r="B205" s="19"/>
    </row>
    <row r="206" spans="2:2" ht="15.75" customHeight="1" x14ac:dyDescent="0.2">
      <c r="B206" s="19"/>
    </row>
    <row r="207" spans="2:2" ht="15.75" customHeight="1" x14ac:dyDescent="0.2">
      <c r="B207" s="19"/>
    </row>
    <row r="208" spans="2:2" ht="15.75" customHeight="1" x14ac:dyDescent="0.2">
      <c r="B208" s="19"/>
    </row>
    <row r="209" spans="2:2" ht="15.75" customHeight="1" x14ac:dyDescent="0.2">
      <c r="B209" s="19"/>
    </row>
    <row r="210" spans="2:2" ht="15.75" customHeight="1" x14ac:dyDescent="0.2">
      <c r="B210" s="19"/>
    </row>
    <row r="211" spans="2:2" ht="15.75" customHeight="1" x14ac:dyDescent="0.2">
      <c r="B211" s="19"/>
    </row>
    <row r="212" spans="2:2" ht="15.75" customHeight="1" x14ac:dyDescent="0.2">
      <c r="B212" s="19"/>
    </row>
    <row r="213" spans="2:2" ht="15.75" customHeight="1" x14ac:dyDescent="0.2">
      <c r="B213" s="19"/>
    </row>
    <row r="214" spans="2:2" ht="15.75" customHeight="1" x14ac:dyDescent="0.2">
      <c r="B214" s="19"/>
    </row>
    <row r="215" spans="2:2" ht="15.75" customHeight="1" x14ac:dyDescent="0.2">
      <c r="B215" s="19"/>
    </row>
    <row r="216" spans="2:2" ht="15.75" customHeight="1" x14ac:dyDescent="0.2">
      <c r="B216" s="19"/>
    </row>
    <row r="217" spans="2:2" ht="15.75" customHeight="1" x14ac:dyDescent="0.2">
      <c r="B217" s="19"/>
    </row>
    <row r="218" spans="2:2" ht="15.75" customHeight="1" x14ac:dyDescent="0.2">
      <c r="B218" s="19"/>
    </row>
    <row r="219" spans="2:2" ht="15.75" customHeight="1" x14ac:dyDescent="0.2">
      <c r="B219" s="19"/>
    </row>
    <row r="220" spans="2:2" ht="15.75" customHeight="1" x14ac:dyDescent="0.2">
      <c r="B220" s="19"/>
    </row>
    <row r="221" spans="2:2" ht="15.75" customHeight="1" x14ac:dyDescent="0.2">
      <c r="B221" s="19"/>
    </row>
    <row r="222" spans="2:2" ht="15.75" customHeight="1" x14ac:dyDescent="0.2">
      <c r="B222" s="19"/>
    </row>
    <row r="223" spans="2:2" ht="15.75" customHeight="1" x14ac:dyDescent="0.2">
      <c r="B223" s="19"/>
    </row>
    <row r="224" spans="2:2" ht="15.75" customHeight="1" x14ac:dyDescent="0.2">
      <c r="B224" s="19"/>
    </row>
    <row r="225" spans="2:2" ht="15.75" customHeight="1" x14ac:dyDescent="0.2">
      <c r="B225" s="19"/>
    </row>
    <row r="226" spans="2:2" ht="15.75" customHeight="1" x14ac:dyDescent="0.2">
      <c r="B226" s="19"/>
    </row>
    <row r="227" spans="2:2" ht="15.75" customHeight="1" x14ac:dyDescent="0.2">
      <c r="B227" s="19"/>
    </row>
    <row r="228" spans="2:2" ht="15.75" customHeight="1" x14ac:dyDescent="0.2">
      <c r="B228" s="19"/>
    </row>
    <row r="229" spans="2:2" ht="15.75" customHeight="1" x14ac:dyDescent="0.2">
      <c r="B229" s="19"/>
    </row>
    <row r="230" spans="2:2" ht="15.75" customHeight="1" x14ac:dyDescent="0.2">
      <c r="B230" s="19"/>
    </row>
    <row r="231" spans="2:2" ht="15.75" customHeight="1" x14ac:dyDescent="0.2">
      <c r="B231" s="19"/>
    </row>
    <row r="232" spans="2:2" ht="15.75" customHeight="1" x14ac:dyDescent="0.2">
      <c r="B232" s="19"/>
    </row>
    <row r="233" spans="2:2" ht="15.75" customHeight="1" x14ac:dyDescent="0.2">
      <c r="B233" s="19"/>
    </row>
    <row r="234" spans="2:2" ht="15.75" customHeight="1" x14ac:dyDescent="0.2">
      <c r="B234" s="19"/>
    </row>
    <row r="235" spans="2:2" ht="15.75" customHeight="1" x14ac:dyDescent="0.2">
      <c r="B235" s="19"/>
    </row>
    <row r="236" spans="2:2" ht="15.75" customHeight="1" x14ac:dyDescent="0.2">
      <c r="B236" s="19"/>
    </row>
    <row r="237" spans="2:2" ht="15.75" customHeight="1" x14ac:dyDescent="0.2">
      <c r="B237" s="19"/>
    </row>
    <row r="238" spans="2:2" ht="15.75" customHeight="1" x14ac:dyDescent="0.2">
      <c r="B238" s="19"/>
    </row>
    <row r="239" spans="2:2" ht="15.75" customHeight="1" x14ac:dyDescent="0.2">
      <c r="B239" s="19"/>
    </row>
    <row r="240" spans="2:2" ht="15.75" customHeight="1" x14ac:dyDescent="0.2">
      <c r="B240" s="19"/>
    </row>
    <row r="241" spans="2:2" ht="15.75" customHeight="1" x14ac:dyDescent="0.2">
      <c r="B241" s="19"/>
    </row>
    <row r="242" spans="2:2" ht="15.75" customHeight="1" x14ac:dyDescent="0.2">
      <c r="B242" s="19"/>
    </row>
    <row r="243" spans="2:2" ht="15.75" customHeight="1" x14ac:dyDescent="0.2">
      <c r="B243" s="19"/>
    </row>
    <row r="244" spans="2:2" ht="15.75" customHeight="1" x14ac:dyDescent="0.2">
      <c r="B244" s="19"/>
    </row>
    <row r="245" spans="2:2" ht="15.75" customHeight="1" x14ac:dyDescent="0.2">
      <c r="B245" s="19"/>
    </row>
    <row r="246" spans="2:2" ht="15.75" customHeight="1" x14ac:dyDescent="0.2">
      <c r="B246" s="19"/>
    </row>
    <row r="247" spans="2:2" ht="15.75" customHeight="1" x14ac:dyDescent="0.2">
      <c r="B247" s="19"/>
    </row>
    <row r="248" spans="2:2" ht="15.75" customHeight="1" x14ac:dyDescent="0.2">
      <c r="B248" s="19"/>
    </row>
    <row r="249" spans="2:2" ht="15.75" customHeight="1" x14ac:dyDescent="0.2">
      <c r="B249" s="19"/>
    </row>
    <row r="250" spans="2:2" ht="15.75" customHeight="1" x14ac:dyDescent="0.2">
      <c r="B250" s="19"/>
    </row>
    <row r="251" spans="2:2" ht="15.75" customHeight="1" x14ac:dyDescent="0.2">
      <c r="B251" s="19"/>
    </row>
    <row r="252" spans="2:2" ht="15.75" customHeight="1" x14ac:dyDescent="0.2">
      <c r="B252" s="19"/>
    </row>
    <row r="253" spans="2:2" ht="15.75" customHeight="1" x14ac:dyDescent="0.2">
      <c r="B253" s="19"/>
    </row>
    <row r="254" spans="2:2" ht="15.75" customHeight="1" x14ac:dyDescent="0.2">
      <c r="B254" s="19"/>
    </row>
    <row r="255" spans="2:2" ht="15.75" customHeight="1" x14ac:dyDescent="0.2">
      <c r="B255" s="19"/>
    </row>
    <row r="256" spans="2:2" ht="15.75" customHeight="1" x14ac:dyDescent="0.2">
      <c r="B256" s="19"/>
    </row>
    <row r="257" spans="2:2" ht="15.75" customHeight="1" x14ac:dyDescent="0.2">
      <c r="B257" s="19"/>
    </row>
    <row r="258" spans="2:2" ht="15.75" customHeight="1" x14ac:dyDescent="0.2">
      <c r="B258" s="19"/>
    </row>
    <row r="259" spans="2:2" ht="15.75" customHeight="1" x14ac:dyDescent="0.2">
      <c r="B259" s="19"/>
    </row>
    <row r="260" spans="2:2" ht="15.75" customHeight="1" x14ac:dyDescent="0.2">
      <c r="B260" s="19"/>
    </row>
    <row r="261" spans="2:2" ht="15.75" customHeight="1" x14ac:dyDescent="0.2">
      <c r="B261" s="19"/>
    </row>
    <row r="262" spans="2:2" ht="15.75" customHeight="1" x14ac:dyDescent="0.2">
      <c r="B262" s="19"/>
    </row>
    <row r="263" spans="2:2" ht="15.75" customHeight="1" x14ac:dyDescent="0.2">
      <c r="B263" s="19"/>
    </row>
    <row r="264" spans="2:2" ht="15.75" customHeight="1" x14ac:dyDescent="0.2">
      <c r="B264" s="19"/>
    </row>
    <row r="265" spans="2:2" ht="15.75" customHeight="1" x14ac:dyDescent="0.2">
      <c r="B265" s="19"/>
    </row>
    <row r="266" spans="2:2" ht="15.75" customHeight="1" x14ac:dyDescent="0.2">
      <c r="B266" s="19"/>
    </row>
    <row r="267" spans="2:2" ht="15.75" customHeight="1" x14ac:dyDescent="0.2">
      <c r="B267" s="19"/>
    </row>
    <row r="268" spans="2:2" ht="15.75" customHeight="1" x14ac:dyDescent="0.2">
      <c r="B268" s="19"/>
    </row>
    <row r="269" spans="2:2" ht="15.75" customHeight="1" x14ac:dyDescent="0.2">
      <c r="B269" s="19"/>
    </row>
    <row r="270" spans="2:2" ht="15.75" customHeight="1" x14ac:dyDescent="0.2">
      <c r="B270" s="19"/>
    </row>
    <row r="271" spans="2:2" ht="15.75" customHeight="1" x14ac:dyDescent="0.2">
      <c r="B271" s="19"/>
    </row>
    <row r="272" spans="2:2" ht="15.75" customHeight="1" x14ac:dyDescent="0.2">
      <c r="B272" s="19"/>
    </row>
    <row r="273" spans="2:2" ht="15.75" customHeight="1" x14ac:dyDescent="0.2">
      <c r="B273" s="19"/>
    </row>
    <row r="274" spans="2:2" ht="15.75" customHeight="1" x14ac:dyDescent="0.2">
      <c r="B274" s="19"/>
    </row>
    <row r="275" spans="2:2" ht="15.75" customHeight="1" x14ac:dyDescent="0.2">
      <c r="B275" s="19"/>
    </row>
    <row r="276" spans="2:2" ht="15.75" customHeight="1" x14ac:dyDescent="0.2">
      <c r="B276" s="19"/>
    </row>
    <row r="277" spans="2:2" ht="15.75" customHeight="1" x14ac:dyDescent="0.2">
      <c r="B277" s="19"/>
    </row>
    <row r="278" spans="2:2" ht="15.75" customHeight="1" x14ac:dyDescent="0.2">
      <c r="B278" s="19"/>
    </row>
    <row r="279" spans="2:2" ht="15.75" customHeight="1" x14ac:dyDescent="0.2">
      <c r="B279" s="19"/>
    </row>
    <row r="280" spans="2:2" ht="15.75" customHeight="1" x14ac:dyDescent="0.2">
      <c r="B280" s="19"/>
    </row>
    <row r="281" spans="2:2" ht="15.75" customHeight="1" x14ac:dyDescent="0.2">
      <c r="B281" s="19"/>
    </row>
    <row r="282" spans="2:2" ht="15.75" customHeight="1" x14ac:dyDescent="0.2">
      <c r="B282" s="19"/>
    </row>
    <row r="283" spans="2:2" ht="15.75" customHeight="1" x14ac:dyDescent="0.2">
      <c r="B283" s="19"/>
    </row>
    <row r="284" spans="2:2" ht="15.75" customHeight="1" x14ac:dyDescent="0.2">
      <c r="B284" s="19"/>
    </row>
    <row r="285" spans="2:2" ht="15.75" customHeight="1" x14ac:dyDescent="0.2">
      <c r="B285" s="19"/>
    </row>
    <row r="286" spans="2:2" ht="15.75" customHeight="1" x14ac:dyDescent="0.2">
      <c r="B286" s="19"/>
    </row>
    <row r="287" spans="2:2" ht="15.75" customHeight="1" x14ac:dyDescent="0.2">
      <c r="B287" s="19"/>
    </row>
    <row r="288" spans="2:2" ht="15.75" customHeight="1" x14ac:dyDescent="0.2">
      <c r="B288" s="19"/>
    </row>
    <row r="289" spans="2:2" ht="15.75" customHeight="1" x14ac:dyDescent="0.2">
      <c r="B289" s="19"/>
    </row>
    <row r="290" spans="2:2" ht="15.75" customHeight="1" x14ac:dyDescent="0.2">
      <c r="B290" s="19"/>
    </row>
    <row r="291" spans="2:2" ht="15.75" customHeight="1" x14ac:dyDescent="0.2">
      <c r="B291" s="19"/>
    </row>
    <row r="292" spans="2:2" ht="15.75" customHeight="1" x14ac:dyDescent="0.2">
      <c r="B292" s="19"/>
    </row>
    <row r="293" spans="2:2" ht="15.75" customHeight="1" x14ac:dyDescent="0.2">
      <c r="B293" s="19"/>
    </row>
    <row r="294" spans="2:2" ht="15.75" customHeight="1" x14ac:dyDescent="0.2">
      <c r="B294" s="19"/>
    </row>
    <row r="295" spans="2:2" ht="15.75" customHeight="1" x14ac:dyDescent="0.2">
      <c r="B295" s="19"/>
    </row>
    <row r="296" spans="2:2" ht="15.75" customHeight="1" x14ac:dyDescent="0.2">
      <c r="B296" s="19"/>
    </row>
    <row r="297" spans="2:2" ht="15.75" customHeight="1" x14ac:dyDescent="0.2">
      <c r="B297" s="19"/>
    </row>
    <row r="298" spans="2:2" ht="15.75" customHeight="1" x14ac:dyDescent="0.2">
      <c r="B298" s="19"/>
    </row>
    <row r="299" spans="2:2" ht="15.75" customHeight="1" x14ac:dyDescent="0.2">
      <c r="B299" s="19"/>
    </row>
    <row r="300" spans="2:2" ht="15.75" customHeight="1" x14ac:dyDescent="0.2">
      <c r="B300" s="19"/>
    </row>
    <row r="301" spans="2:2" ht="15.75" customHeight="1" x14ac:dyDescent="0.2">
      <c r="B301" s="19"/>
    </row>
    <row r="302" spans="2:2" ht="15.75" customHeight="1" x14ac:dyDescent="0.2">
      <c r="B302" s="19"/>
    </row>
    <row r="303" spans="2:2" ht="15.75" customHeight="1" x14ac:dyDescent="0.2">
      <c r="B303" s="19"/>
    </row>
    <row r="304" spans="2:2" ht="15.75" customHeight="1" x14ac:dyDescent="0.2">
      <c r="B304" s="19"/>
    </row>
    <row r="305" spans="2:2" ht="15.75" customHeight="1" x14ac:dyDescent="0.2">
      <c r="B305" s="19"/>
    </row>
    <row r="306" spans="2:2" ht="15.75" customHeight="1" x14ac:dyDescent="0.2">
      <c r="B306" s="19"/>
    </row>
    <row r="307" spans="2:2" ht="15.75" customHeight="1" x14ac:dyDescent="0.2">
      <c r="B307" s="19"/>
    </row>
    <row r="308" spans="2:2" ht="15.75" customHeight="1" x14ac:dyDescent="0.2">
      <c r="B308" s="19"/>
    </row>
    <row r="309" spans="2:2" ht="15.75" customHeight="1" x14ac:dyDescent="0.2">
      <c r="B309" s="19"/>
    </row>
    <row r="310" spans="2:2" ht="15.75" customHeight="1" x14ac:dyDescent="0.2">
      <c r="B310" s="19"/>
    </row>
    <row r="311" spans="2:2" ht="15.75" customHeight="1" x14ac:dyDescent="0.2">
      <c r="B311" s="19"/>
    </row>
    <row r="312" spans="2:2" ht="15.75" customHeight="1" x14ac:dyDescent="0.2">
      <c r="B312" s="19"/>
    </row>
    <row r="313" spans="2:2" ht="15.75" customHeight="1" x14ac:dyDescent="0.2">
      <c r="B313" s="19"/>
    </row>
    <row r="314" spans="2:2" ht="15.75" customHeight="1" x14ac:dyDescent="0.2">
      <c r="B314" s="19"/>
    </row>
    <row r="315" spans="2:2" ht="15.75" customHeight="1" x14ac:dyDescent="0.2">
      <c r="B315" s="19"/>
    </row>
    <row r="316" spans="2:2" ht="15.75" customHeight="1" x14ac:dyDescent="0.2">
      <c r="B316" s="19"/>
    </row>
    <row r="317" spans="2:2" ht="15.75" customHeight="1" x14ac:dyDescent="0.2">
      <c r="B317" s="19"/>
    </row>
    <row r="318" spans="2:2" ht="15.75" customHeight="1" x14ac:dyDescent="0.2">
      <c r="B318" s="19"/>
    </row>
    <row r="319" spans="2:2" ht="15.75" customHeight="1" x14ac:dyDescent="0.2">
      <c r="B319" s="19"/>
    </row>
    <row r="320" spans="2:2" ht="15.75" customHeight="1" x14ac:dyDescent="0.2">
      <c r="B320" s="19"/>
    </row>
    <row r="321" spans="2:2" ht="15.75" customHeight="1" x14ac:dyDescent="0.2">
      <c r="B321" s="19"/>
    </row>
    <row r="322" spans="2:2" ht="15.75" customHeight="1" x14ac:dyDescent="0.2">
      <c r="B322" s="19"/>
    </row>
    <row r="323" spans="2:2" ht="15.75" customHeight="1" x14ac:dyDescent="0.2">
      <c r="B323" s="19"/>
    </row>
    <row r="324" spans="2:2" ht="15.75" customHeight="1" x14ac:dyDescent="0.2">
      <c r="B324" s="19"/>
    </row>
    <row r="325" spans="2:2" ht="15.75" customHeight="1" x14ac:dyDescent="0.2">
      <c r="B325" s="19"/>
    </row>
    <row r="326" spans="2:2" ht="15.75" customHeight="1" x14ac:dyDescent="0.2">
      <c r="B326" s="19"/>
    </row>
    <row r="327" spans="2:2" ht="15.75" customHeight="1" x14ac:dyDescent="0.2">
      <c r="B327" s="19"/>
    </row>
    <row r="328" spans="2:2" ht="15.75" customHeight="1" x14ac:dyDescent="0.2">
      <c r="B328" s="19"/>
    </row>
    <row r="329" spans="2:2" ht="15.75" customHeight="1" x14ac:dyDescent="0.2">
      <c r="B329" s="19"/>
    </row>
    <row r="330" spans="2:2" ht="15.75" customHeight="1" x14ac:dyDescent="0.2">
      <c r="B330" s="19"/>
    </row>
    <row r="331" spans="2:2" ht="15.75" customHeight="1" x14ac:dyDescent="0.2">
      <c r="B331" s="19"/>
    </row>
    <row r="332" spans="2:2" ht="15.75" customHeight="1" x14ac:dyDescent="0.2">
      <c r="B332" s="19"/>
    </row>
    <row r="333" spans="2:2" ht="15.75" customHeight="1" x14ac:dyDescent="0.2">
      <c r="B333" s="19"/>
    </row>
    <row r="334" spans="2:2" ht="15.75" customHeight="1" x14ac:dyDescent="0.2">
      <c r="B334" s="19"/>
    </row>
    <row r="335" spans="2:2" ht="15.75" customHeight="1" x14ac:dyDescent="0.2">
      <c r="B335" s="19"/>
    </row>
    <row r="336" spans="2:2" ht="15.75" customHeight="1" x14ac:dyDescent="0.2">
      <c r="B336" s="19"/>
    </row>
    <row r="337" spans="2:2" ht="15.75" customHeight="1" x14ac:dyDescent="0.2">
      <c r="B337" s="19"/>
    </row>
    <row r="338" spans="2:2" ht="15.75" customHeight="1" x14ac:dyDescent="0.2">
      <c r="B338" s="19"/>
    </row>
    <row r="339" spans="2:2" ht="15.75" customHeight="1" x14ac:dyDescent="0.2">
      <c r="B339" s="19"/>
    </row>
    <row r="340" spans="2:2" ht="15.75" customHeight="1" x14ac:dyDescent="0.2">
      <c r="B340" s="19"/>
    </row>
    <row r="341" spans="2:2" ht="15.75" customHeight="1" x14ac:dyDescent="0.2">
      <c r="B341" s="19"/>
    </row>
    <row r="342" spans="2:2" ht="15.75" customHeight="1" x14ac:dyDescent="0.2">
      <c r="B342" s="19"/>
    </row>
    <row r="343" spans="2:2" ht="15.75" customHeight="1" x14ac:dyDescent="0.2">
      <c r="B343" s="19"/>
    </row>
    <row r="344" spans="2:2" ht="15.75" customHeight="1" x14ac:dyDescent="0.2">
      <c r="B344" s="19"/>
    </row>
    <row r="345" spans="2:2" ht="15.75" customHeight="1" x14ac:dyDescent="0.2">
      <c r="B345" s="19"/>
    </row>
    <row r="346" spans="2:2" ht="15.75" customHeight="1" x14ac:dyDescent="0.2">
      <c r="B346" s="19"/>
    </row>
    <row r="347" spans="2:2" ht="15.75" customHeight="1" x14ac:dyDescent="0.2">
      <c r="B347" s="19"/>
    </row>
    <row r="348" spans="2:2" ht="15.75" customHeight="1" x14ac:dyDescent="0.2">
      <c r="B348" s="19"/>
    </row>
    <row r="349" spans="2:2" ht="15.75" customHeight="1" x14ac:dyDescent="0.2">
      <c r="B349" s="19"/>
    </row>
    <row r="350" spans="2:2" ht="15.75" customHeight="1" x14ac:dyDescent="0.2">
      <c r="B350" s="19"/>
    </row>
    <row r="351" spans="2:2" ht="15.75" customHeight="1" x14ac:dyDescent="0.2">
      <c r="B351" s="19"/>
    </row>
    <row r="352" spans="2:2" ht="15.75" customHeight="1" x14ac:dyDescent="0.2">
      <c r="B352" s="19"/>
    </row>
    <row r="353" spans="2:2" ht="15.75" customHeight="1" x14ac:dyDescent="0.2">
      <c r="B353" s="19"/>
    </row>
    <row r="354" spans="2:2" ht="15.75" customHeight="1" x14ac:dyDescent="0.2">
      <c r="B354" s="19"/>
    </row>
    <row r="355" spans="2:2" ht="15.75" customHeight="1" x14ac:dyDescent="0.2">
      <c r="B355" s="19"/>
    </row>
    <row r="356" spans="2:2" ht="15.75" customHeight="1" x14ac:dyDescent="0.2">
      <c r="B356" s="19"/>
    </row>
    <row r="357" spans="2:2" ht="15.75" customHeight="1" x14ac:dyDescent="0.2">
      <c r="B357" s="19"/>
    </row>
    <row r="358" spans="2:2" ht="15.75" customHeight="1" x14ac:dyDescent="0.2">
      <c r="B358" s="19"/>
    </row>
    <row r="359" spans="2:2" ht="15.75" customHeight="1" x14ac:dyDescent="0.2">
      <c r="B359" s="19"/>
    </row>
    <row r="360" spans="2:2" ht="15.75" customHeight="1" x14ac:dyDescent="0.2">
      <c r="B360" s="19"/>
    </row>
    <row r="361" spans="2:2" ht="15.75" customHeight="1" x14ac:dyDescent="0.2">
      <c r="B361" s="19"/>
    </row>
    <row r="362" spans="2:2" ht="15.75" customHeight="1" x14ac:dyDescent="0.2">
      <c r="B362" s="19"/>
    </row>
    <row r="363" spans="2:2" ht="15.75" customHeight="1" x14ac:dyDescent="0.2">
      <c r="B363" s="19"/>
    </row>
    <row r="364" spans="2:2" ht="15.75" customHeight="1" x14ac:dyDescent="0.2">
      <c r="B364" s="19"/>
    </row>
    <row r="365" spans="2:2" ht="15.75" customHeight="1" x14ac:dyDescent="0.2">
      <c r="B365" s="19"/>
    </row>
    <row r="366" spans="2:2" ht="15.75" customHeight="1" x14ac:dyDescent="0.2">
      <c r="B366" s="19"/>
    </row>
    <row r="367" spans="2:2" ht="15.75" customHeight="1" x14ac:dyDescent="0.2">
      <c r="B367" s="19"/>
    </row>
    <row r="368" spans="2:2" ht="15.75" customHeight="1" x14ac:dyDescent="0.2">
      <c r="B368" s="19"/>
    </row>
    <row r="369" spans="2:2" ht="15.75" customHeight="1" x14ac:dyDescent="0.2">
      <c r="B369" s="19"/>
    </row>
    <row r="370" spans="2:2" ht="15.75" customHeight="1" x14ac:dyDescent="0.2">
      <c r="B370" s="19"/>
    </row>
    <row r="371" spans="2:2" ht="15.75" customHeight="1" x14ac:dyDescent="0.2">
      <c r="B371" s="19"/>
    </row>
    <row r="372" spans="2:2" ht="15.75" customHeight="1" x14ac:dyDescent="0.2">
      <c r="B372" s="19"/>
    </row>
    <row r="373" spans="2:2" ht="15.75" customHeight="1" x14ac:dyDescent="0.2">
      <c r="B373" s="19"/>
    </row>
    <row r="374" spans="2:2" ht="15.75" customHeight="1" x14ac:dyDescent="0.2">
      <c r="B374" s="19"/>
    </row>
    <row r="375" spans="2:2" ht="15.75" customHeight="1" x14ac:dyDescent="0.2">
      <c r="B375" s="19"/>
    </row>
    <row r="376" spans="2:2" ht="15.75" customHeight="1" x14ac:dyDescent="0.2">
      <c r="B376" s="19"/>
    </row>
    <row r="377" spans="2:2" ht="15.75" customHeight="1" x14ac:dyDescent="0.2">
      <c r="B377" s="19"/>
    </row>
    <row r="378" spans="2:2" ht="15.75" customHeight="1" x14ac:dyDescent="0.2">
      <c r="B378" s="19"/>
    </row>
    <row r="379" spans="2:2" ht="15.75" customHeight="1" x14ac:dyDescent="0.2">
      <c r="B379" s="19"/>
    </row>
    <row r="380" spans="2:2" ht="15.75" customHeight="1" x14ac:dyDescent="0.2">
      <c r="B380" s="19"/>
    </row>
    <row r="381" spans="2:2" ht="15.75" customHeight="1" x14ac:dyDescent="0.2">
      <c r="B381" s="19"/>
    </row>
    <row r="382" spans="2:2" ht="15.75" customHeight="1" x14ac:dyDescent="0.2">
      <c r="B382" s="19"/>
    </row>
    <row r="383" spans="2:2" ht="15.75" customHeight="1" x14ac:dyDescent="0.2">
      <c r="B383" s="19"/>
    </row>
    <row r="384" spans="2:2" ht="15.75" customHeight="1" x14ac:dyDescent="0.2">
      <c r="B384" s="19"/>
    </row>
    <row r="385" spans="2:2" ht="15.75" customHeight="1" x14ac:dyDescent="0.2">
      <c r="B385" s="19"/>
    </row>
    <row r="386" spans="2:2" ht="15.75" customHeight="1" x14ac:dyDescent="0.2">
      <c r="B386" s="19"/>
    </row>
    <row r="387" spans="2:2" ht="15.75" customHeight="1" x14ac:dyDescent="0.2">
      <c r="B387" s="19"/>
    </row>
    <row r="388" spans="2:2" ht="15.75" customHeight="1" x14ac:dyDescent="0.2">
      <c r="B388" s="19"/>
    </row>
    <row r="389" spans="2:2" ht="15.75" customHeight="1" x14ac:dyDescent="0.2">
      <c r="B389" s="19"/>
    </row>
    <row r="390" spans="2:2" ht="15.75" customHeight="1" x14ac:dyDescent="0.2">
      <c r="B390" s="19"/>
    </row>
    <row r="391" spans="2:2" ht="15.75" customHeight="1" x14ac:dyDescent="0.2">
      <c r="B391" s="19"/>
    </row>
    <row r="392" spans="2:2" ht="15.75" customHeight="1" x14ac:dyDescent="0.2">
      <c r="B392" s="19"/>
    </row>
    <row r="393" spans="2:2" ht="15.75" customHeight="1" x14ac:dyDescent="0.2">
      <c r="B393" s="19"/>
    </row>
    <row r="394" spans="2:2" ht="15.75" customHeight="1" x14ac:dyDescent="0.2">
      <c r="B394" s="19"/>
    </row>
    <row r="395" spans="2:2" ht="15.75" customHeight="1" x14ac:dyDescent="0.2">
      <c r="B395" s="19"/>
    </row>
    <row r="396" spans="2:2" ht="15.75" customHeight="1" x14ac:dyDescent="0.2">
      <c r="B396" s="19"/>
    </row>
    <row r="397" spans="2:2" ht="15.75" customHeight="1" x14ac:dyDescent="0.2">
      <c r="B397" s="19"/>
    </row>
    <row r="398" spans="2:2" ht="15.75" customHeight="1" x14ac:dyDescent="0.2">
      <c r="B398" s="19"/>
    </row>
    <row r="399" spans="2:2" ht="15.75" customHeight="1" x14ac:dyDescent="0.2">
      <c r="B399" s="19"/>
    </row>
    <row r="400" spans="2:2" ht="15.75" customHeight="1" x14ac:dyDescent="0.2">
      <c r="B400" s="19"/>
    </row>
    <row r="401" spans="2:2" ht="15.75" customHeight="1" x14ac:dyDescent="0.2">
      <c r="B401" s="19"/>
    </row>
    <row r="402" spans="2:2" ht="15.75" customHeight="1" x14ac:dyDescent="0.2">
      <c r="B402" s="19"/>
    </row>
    <row r="403" spans="2:2" ht="15.75" customHeight="1" x14ac:dyDescent="0.2">
      <c r="B403" s="19"/>
    </row>
    <row r="404" spans="2:2" ht="15.75" customHeight="1" x14ac:dyDescent="0.2">
      <c r="B404" s="19"/>
    </row>
    <row r="405" spans="2:2" ht="15.75" customHeight="1" x14ac:dyDescent="0.2">
      <c r="B405" s="19"/>
    </row>
    <row r="406" spans="2:2" ht="15.75" customHeight="1" x14ac:dyDescent="0.2">
      <c r="B406" s="19"/>
    </row>
    <row r="407" spans="2:2" ht="15.75" customHeight="1" x14ac:dyDescent="0.2">
      <c r="B407" s="19"/>
    </row>
    <row r="408" spans="2:2" ht="15.75" customHeight="1" x14ac:dyDescent="0.2">
      <c r="B408" s="19"/>
    </row>
    <row r="409" spans="2:2" ht="15.75" customHeight="1" x14ac:dyDescent="0.2">
      <c r="B409" s="19"/>
    </row>
    <row r="410" spans="2:2" ht="15.75" customHeight="1" x14ac:dyDescent="0.2">
      <c r="B410" s="19"/>
    </row>
    <row r="411" spans="2:2" ht="15.75" customHeight="1" x14ac:dyDescent="0.2">
      <c r="B411" s="19"/>
    </row>
    <row r="412" spans="2:2" ht="15.75" customHeight="1" x14ac:dyDescent="0.2">
      <c r="B412" s="19"/>
    </row>
    <row r="413" spans="2:2" ht="15.75" customHeight="1" x14ac:dyDescent="0.2">
      <c r="B413" s="19"/>
    </row>
    <row r="414" spans="2:2" ht="15.75" customHeight="1" x14ac:dyDescent="0.2">
      <c r="B414" s="19"/>
    </row>
    <row r="415" spans="2:2" ht="15.75" customHeight="1" x14ac:dyDescent="0.2">
      <c r="B415" s="19"/>
    </row>
    <row r="416" spans="2:2" ht="15.75" customHeight="1" x14ac:dyDescent="0.2">
      <c r="B416" s="19"/>
    </row>
    <row r="417" spans="2:2" ht="15.75" customHeight="1" x14ac:dyDescent="0.2">
      <c r="B417" s="19"/>
    </row>
    <row r="418" spans="2:2" ht="15.75" customHeight="1" x14ac:dyDescent="0.2">
      <c r="B418" s="19"/>
    </row>
    <row r="419" spans="2:2" ht="15.75" customHeight="1" x14ac:dyDescent="0.2">
      <c r="B419" s="19"/>
    </row>
    <row r="420" spans="2:2" ht="15.75" customHeight="1" x14ac:dyDescent="0.2">
      <c r="B420" s="19"/>
    </row>
    <row r="421" spans="2:2" ht="15.75" customHeight="1" x14ac:dyDescent="0.2">
      <c r="B421" s="19"/>
    </row>
    <row r="422" spans="2:2" ht="15.75" customHeight="1" x14ac:dyDescent="0.2">
      <c r="B422" s="19"/>
    </row>
    <row r="423" spans="2:2" ht="15.75" customHeight="1" x14ac:dyDescent="0.2">
      <c r="B423" s="19"/>
    </row>
    <row r="424" spans="2:2" ht="15.75" customHeight="1" x14ac:dyDescent="0.2">
      <c r="B424" s="19"/>
    </row>
    <row r="425" spans="2:2" ht="15.75" customHeight="1" x14ac:dyDescent="0.2">
      <c r="B425" s="19"/>
    </row>
    <row r="426" spans="2:2" ht="15.75" customHeight="1" x14ac:dyDescent="0.2">
      <c r="B426" s="19"/>
    </row>
    <row r="427" spans="2:2" ht="15.75" customHeight="1" x14ac:dyDescent="0.2">
      <c r="B427" s="19"/>
    </row>
    <row r="428" spans="2:2" ht="15.75" customHeight="1" x14ac:dyDescent="0.2">
      <c r="B428" s="19"/>
    </row>
    <row r="429" spans="2:2" ht="15.75" customHeight="1" x14ac:dyDescent="0.2">
      <c r="B429" s="19"/>
    </row>
    <row r="430" spans="2:2" ht="15.75" customHeight="1" x14ac:dyDescent="0.2">
      <c r="B430" s="19"/>
    </row>
    <row r="431" spans="2:2" ht="15.75" customHeight="1" x14ac:dyDescent="0.2">
      <c r="B431" s="19"/>
    </row>
    <row r="432" spans="2:2" ht="15.75" customHeight="1" x14ac:dyDescent="0.2">
      <c r="B432" s="19"/>
    </row>
    <row r="433" spans="2:2" ht="15.75" customHeight="1" x14ac:dyDescent="0.2">
      <c r="B433" s="19"/>
    </row>
    <row r="434" spans="2:2" ht="15.75" customHeight="1" x14ac:dyDescent="0.2">
      <c r="B434" s="19"/>
    </row>
    <row r="435" spans="2:2" ht="15.75" customHeight="1" x14ac:dyDescent="0.2">
      <c r="B435" s="19"/>
    </row>
    <row r="436" spans="2:2" ht="15.75" customHeight="1" x14ac:dyDescent="0.2">
      <c r="B436" s="19"/>
    </row>
    <row r="437" spans="2:2" ht="15.75" customHeight="1" x14ac:dyDescent="0.2">
      <c r="B437" s="19"/>
    </row>
    <row r="438" spans="2:2" ht="15.75" customHeight="1" x14ac:dyDescent="0.2">
      <c r="B438" s="19"/>
    </row>
    <row r="439" spans="2:2" ht="15.75" customHeight="1" x14ac:dyDescent="0.2">
      <c r="B439" s="19"/>
    </row>
    <row r="440" spans="2:2" ht="15.75" customHeight="1" x14ac:dyDescent="0.2">
      <c r="B440" s="19"/>
    </row>
    <row r="441" spans="2:2" ht="15.75" customHeight="1" x14ac:dyDescent="0.2">
      <c r="B441" s="19"/>
    </row>
    <row r="442" spans="2:2" ht="15.75" customHeight="1" x14ac:dyDescent="0.2">
      <c r="B442" s="19"/>
    </row>
    <row r="443" spans="2:2" ht="15.75" customHeight="1" x14ac:dyDescent="0.2">
      <c r="B443" s="19"/>
    </row>
    <row r="444" spans="2:2" ht="15.75" customHeight="1" x14ac:dyDescent="0.2">
      <c r="B444" s="19"/>
    </row>
    <row r="445" spans="2:2" ht="15.75" customHeight="1" x14ac:dyDescent="0.2">
      <c r="B445" s="19"/>
    </row>
    <row r="446" spans="2:2" ht="15.75" customHeight="1" x14ac:dyDescent="0.2">
      <c r="B446" s="19"/>
    </row>
    <row r="447" spans="2:2" ht="15.75" customHeight="1" x14ac:dyDescent="0.2">
      <c r="B447" s="19"/>
    </row>
    <row r="448" spans="2:2" ht="15.75" customHeight="1" x14ac:dyDescent="0.2">
      <c r="B448" s="19"/>
    </row>
    <row r="449" spans="2:2" ht="15.75" customHeight="1" x14ac:dyDescent="0.2">
      <c r="B449" s="19"/>
    </row>
    <row r="450" spans="2:2" ht="15.75" customHeight="1" x14ac:dyDescent="0.2">
      <c r="B450" s="19"/>
    </row>
    <row r="451" spans="2:2" ht="15.75" customHeight="1" x14ac:dyDescent="0.2">
      <c r="B451" s="19"/>
    </row>
    <row r="452" spans="2:2" ht="15.75" customHeight="1" x14ac:dyDescent="0.2">
      <c r="B452" s="19"/>
    </row>
    <row r="453" spans="2:2" ht="15.75" customHeight="1" x14ac:dyDescent="0.2">
      <c r="B453" s="19"/>
    </row>
    <row r="454" spans="2:2" ht="15.75" customHeight="1" x14ac:dyDescent="0.2">
      <c r="B454" s="19"/>
    </row>
    <row r="455" spans="2:2" ht="15.75" customHeight="1" x14ac:dyDescent="0.2">
      <c r="B455" s="19"/>
    </row>
    <row r="456" spans="2:2" ht="15.75" customHeight="1" x14ac:dyDescent="0.2">
      <c r="B456" s="19"/>
    </row>
    <row r="457" spans="2:2" ht="15.75" customHeight="1" x14ac:dyDescent="0.2">
      <c r="B457" s="19"/>
    </row>
    <row r="458" spans="2:2" ht="15.75" customHeight="1" x14ac:dyDescent="0.2">
      <c r="B458" s="19"/>
    </row>
    <row r="459" spans="2:2" ht="15.75" customHeight="1" x14ac:dyDescent="0.2">
      <c r="B459" s="19"/>
    </row>
    <row r="460" spans="2:2" ht="15.75" customHeight="1" x14ac:dyDescent="0.2">
      <c r="B460" s="19"/>
    </row>
    <row r="461" spans="2:2" ht="15.75" customHeight="1" x14ac:dyDescent="0.2">
      <c r="B461" s="19"/>
    </row>
    <row r="462" spans="2:2" ht="15.75" customHeight="1" x14ac:dyDescent="0.2">
      <c r="B462" s="19"/>
    </row>
    <row r="463" spans="2:2" ht="15.75" customHeight="1" x14ac:dyDescent="0.2">
      <c r="B463" s="19"/>
    </row>
    <row r="464" spans="2:2" ht="15.75" customHeight="1" x14ac:dyDescent="0.2">
      <c r="B464" s="19"/>
    </row>
    <row r="465" spans="2:2" ht="15.75" customHeight="1" x14ac:dyDescent="0.2">
      <c r="B465" s="19"/>
    </row>
    <row r="466" spans="2:2" ht="15.75" customHeight="1" x14ac:dyDescent="0.2">
      <c r="B466" s="19"/>
    </row>
    <row r="467" spans="2:2" ht="15.75" customHeight="1" x14ac:dyDescent="0.2">
      <c r="B467" s="19"/>
    </row>
    <row r="468" spans="2:2" ht="15.75" customHeight="1" x14ac:dyDescent="0.2">
      <c r="B468" s="19"/>
    </row>
    <row r="469" spans="2:2" ht="15.75" customHeight="1" x14ac:dyDescent="0.2">
      <c r="B469" s="19"/>
    </row>
    <row r="470" spans="2:2" ht="15.75" customHeight="1" x14ac:dyDescent="0.2">
      <c r="B470" s="19"/>
    </row>
    <row r="471" spans="2:2" ht="15.75" customHeight="1" x14ac:dyDescent="0.2">
      <c r="B471" s="19"/>
    </row>
    <row r="472" spans="2:2" ht="15.75" customHeight="1" x14ac:dyDescent="0.2">
      <c r="B472" s="19"/>
    </row>
    <row r="473" spans="2:2" ht="15.75" customHeight="1" x14ac:dyDescent="0.2">
      <c r="B473" s="19"/>
    </row>
    <row r="474" spans="2:2" ht="15.75" customHeight="1" x14ac:dyDescent="0.2">
      <c r="B474" s="19"/>
    </row>
    <row r="475" spans="2:2" ht="15.75" customHeight="1" x14ac:dyDescent="0.2">
      <c r="B475" s="19"/>
    </row>
    <row r="476" spans="2:2" ht="15.75" customHeight="1" x14ac:dyDescent="0.2">
      <c r="B476" s="19"/>
    </row>
    <row r="477" spans="2:2" ht="15.75" customHeight="1" x14ac:dyDescent="0.2">
      <c r="B477" s="19"/>
    </row>
    <row r="478" spans="2:2" ht="15.75" customHeight="1" x14ac:dyDescent="0.2">
      <c r="B478" s="19"/>
    </row>
    <row r="479" spans="2:2" ht="15.75" customHeight="1" x14ac:dyDescent="0.2">
      <c r="B479" s="19"/>
    </row>
    <row r="480" spans="2:2" ht="15.75" customHeight="1" x14ac:dyDescent="0.2">
      <c r="B480" s="19"/>
    </row>
    <row r="481" spans="2:2" ht="15.75" customHeight="1" x14ac:dyDescent="0.2">
      <c r="B481" s="19"/>
    </row>
    <row r="482" spans="2:2" ht="15.75" customHeight="1" x14ac:dyDescent="0.2">
      <c r="B482" s="19"/>
    </row>
    <row r="483" spans="2:2" ht="15.75" customHeight="1" x14ac:dyDescent="0.2">
      <c r="B483" s="19"/>
    </row>
    <row r="484" spans="2:2" ht="15.75" customHeight="1" x14ac:dyDescent="0.2">
      <c r="B484" s="19"/>
    </row>
    <row r="485" spans="2:2" ht="15.75" customHeight="1" x14ac:dyDescent="0.2">
      <c r="B485" s="19"/>
    </row>
    <row r="486" spans="2:2" ht="15.75" customHeight="1" x14ac:dyDescent="0.2">
      <c r="B486" s="19"/>
    </row>
    <row r="487" spans="2:2" ht="15.75" customHeight="1" x14ac:dyDescent="0.2">
      <c r="B487" s="19"/>
    </row>
    <row r="488" spans="2:2" ht="15.75" customHeight="1" x14ac:dyDescent="0.2">
      <c r="B488" s="19"/>
    </row>
    <row r="489" spans="2:2" ht="15.75" customHeight="1" x14ac:dyDescent="0.2">
      <c r="B489" s="19"/>
    </row>
    <row r="490" spans="2:2" ht="15.75" customHeight="1" x14ac:dyDescent="0.2">
      <c r="B490" s="19"/>
    </row>
    <row r="491" spans="2:2" ht="15.75" customHeight="1" x14ac:dyDescent="0.2">
      <c r="B491" s="19"/>
    </row>
    <row r="492" spans="2:2" ht="15.75" customHeight="1" x14ac:dyDescent="0.2">
      <c r="B492" s="19"/>
    </row>
    <row r="493" spans="2:2" ht="15.75" customHeight="1" x14ac:dyDescent="0.2">
      <c r="B493" s="19"/>
    </row>
    <row r="494" spans="2:2" ht="15.75" customHeight="1" x14ac:dyDescent="0.2">
      <c r="B494" s="19"/>
    </row>
    <row r="495" spans="2:2" ht="15.75" customHeight="1" x14ac:dyDescent="0.2">
      <c r="B495" s="19"/>
    </row>
    <row r="496" spans="2:2" ht="15.75" customHeight="1" x14ac:dyDescent="0.2">
      <c r="B496" s="19"/>
    </row>
    <row r="497" spans="2:2" ht="15.75" customHeight="1" x14ac:dyDescent="0.2">
      <c r="B497" s="19"/>
    </row>
    <row r="498" spans="2:2" ht="15.75" customHeight="1" x14ac:dyDescent="0.2">
      <c r="B498" s="19"/>
    </row>
    <row r="499" spans="2:2" ht="15.75" customHeight="1" x14ac:dyDescent="0.2">
      <c r="B499" s="19"/>
    </row>
    <row r="500" spans="2:2" ht="15.75" customHeight="1" x14ac:dyDescent="0.2">
      <c r="B500" s="19"/>
    </row>
    <row r="501" spans="2:2" ht="15.75" customHeight="1" x14ac:dyDescent="0.2">
      <c r="B501" s="19"/>
    </row>
    <row r="502" spans="2:2" ht="15.75" customHeight="1" x14ac:dyDescent="0.2">
      <c r="B502" s="19"/>
    </row>
    <row r="503" spans="2:2" ht="15.75" customHeight="1" x14ac:dyDescent="0.2">
      <c r="B503" s="19"/>
    </row>
    <row r="504" spans="2:2" ht="15.75" customHeight="1" x14ac:dyDescent="0.2">
      <c r="B504" s="19"/>
    </row>
    <row r="505" spans="2:2" ht="15.75" customHeight="1" x14ac:dyDescent="0.2">
      <c r="B505" s="19"/>
    </row>
    <row r="506" spans="2:2" ht="15.75" customHeight="1" x14ac:dyDescent="0.2">
      <c r="B506" s="19"/>
    </row>
    <row r="507" spans="2:2" ht="15.75" customHeight="1" x14ac:dyDescent="0.2">
      <c r="B507" s="19"/>
    </row>
    <row r="508" spans="2:2" ht="15.75" customHeight="1" x14ac:dyDescent="0.2">
      <c r="B508" s="19"/>
    </row>
    <row r="509" spans="2:2" ht="15.75" customHeight="1" x14ac:dyDescent="0.2">
      <c r="B509" s="19"/>
    </row>
    <row r="510" spans="2:2" ht="15.75" customHeight="1" x14ac:dyDescent="0.2">
      <c r="B510" s="19"/>
    </row>
    <row r="511" spans="2:2" ht="15.75" customHeight="1" x14ac:dyDescent="0.2">
      <c r="B511" s="19"/>
    </row>
    <row r="512" spans="2:2" ht="15.75" customHeight="1" x14ac:dyDescent="0.2">
      <c r="B512" s="19"/>
    </row>
    <row r="513" spans="2:2" ht="15.75" customHeight="1" x14ac:dyDescent="0.2">
      <c r="B513" s="19"/>
    </row>
    <row r="514" spans="2:2" ht="15.75" customHeight="1" x14ac:dyDescent="0.2">
      <c r="B514" s="19"/>
    </row>
    <row r="515" spans="2:2" ht="15.75" customHeight="1" x14ac:dyDescent="0.2">
      <c r="B515" s="19"/>
    </row>
    <row r="516" spans="2:2" ht="15.75" customHeight="1" x14ac:dyDescent="0.2">
      <c r="B516" s="19"/>
    </row>
    <row r="517" spans="2:2" ht="15.75" customHeight="1" x14ac:dyDescent="0.2">
      <c r="B517" s="19"/>
    </row>
    <row r="518" spans="2:2" ht="15.75" customHeight="1" x14ac:dyDescent="0.2">
      <c r="B518" s="19"/>
    </row>
    <row r="519" spans="2:2" ht="15.75" customHeight="1" x14ac:dyDescent="0.2">
      <c r="B519" s="19"/>
    </row>
    <row r="520" spans="2:2" ht="15.75" customHeight="1" x14ac:dyDescent="0.2">
      <c r="B520" s="19"/>
    </row>
    <row r="521" spans="2:2" ht="15.75" customHeight="1" x14ac:dyDescent="0.2">
      <c r="B521" s="19"/>
    </row>
    <row r="522" spans="2:2" ht="15.75" customHeight="1" x14ac:dyDescent="0.2">
      <c r="B522" s="19"/>
    </row>
    <row r="523" spans="2:2" ht="15.75" customHeight="1" x14ac:dyDescent="0.2">
      <c r="B523" s="19"/>
    </row>
    <row r="524" spans="2:2" ht="15.75" customHeight="1" x14ac:dyDescent="0.2">
      <c r="B524" s="19"/>
    </row>
    <row r="525" spans="2:2" ht="15.75" customHeight="1" x14ac:dyDescent="0.2">
      <c r="B525" s="19"/>
    </row>
    <row r="526" spans="2:2" ht="15.75" customHeight="1" x14ac:dyDescent="0.2">
      <c r="B526" s="19"/>
    </row>
    <row r="527" spans="2:2" ht="15.75" customHeight="1" x14ac:dyDescent="0.2">
      <c r="B527" s="19"/>
    </row>
    <row r="528" spans="2:2" ht="15.75" customHeight="1" x14ac:dyDescent="0.2">
      <c r="B528" s="19"/>
    </row>
    <row r="529" spans="2:2" ht="15.75" customHeight="1" x14ac:dyDescent="0.2">
      <c r="B529" s="19"/>
    </row>
    <row r="530" spans="2:2" ht="15.75" customHeight="1" x14ac:dyDescent="0.2">
      <c r="B530" s="19"/>
    </row>
    <row r="531" spans="2:2" ht="15.75" customHeight="1" x14ac:dyDescent="0.2">
      <c r="B531" s="19"/>
    </row>
    <row r="532" spans="2:2" ht="15.75" customHeight="1" x14ac:dyDescent="0.2">
      <c r="B532" s="19"/>
    </row>
    <row r="533" spans="2:2" ht="15.75" customHeight="1" x14ac:dyDescent="0.2">
      <c r="B533" s="19"/>
    </row>
    <row r="534" spans="2:2" ht="15.75" customHeight="1" x14ac:dyDescent="0.2">
      <c r="B534" s="19"/>
    </row>
    <row r="535" spans="2:2" ht="15.75" customHeight="1" x14ac:dyDescent="0.2">
      <c r="B535" s="19"/>
    </row>
    <row r="536" spans="2:2" ht="15.75" customHeight="1" x14ac:dyDescent="0.2">
      <c r="B536" s="19"/>
    </row>
    <row r="537" spans="2:2" ht="15.75" customHeight="1" x14ac:dyDescent="0.2">
      <c r="B537" s="19"/>
    </row>
    <row r="538" spans="2:2" ht="15.75" customHeight="1" x14ac:dyDescent="0.2">
      <c r="B538" s="19"/>
    </row>
    <row r="539" spans="2:2" ht="15.75" customHeight="1" x14ac:dyDescent="0.2">
      <c r="B539" s="19"/>
    </row>
    <row r="540" spans="2:2" ht="15.75" customHeight="1" x14ac:dyDescent="0.2">
      <c r="B540" s="19"/>
    </row>
    <row r="541" spans="2:2" ht="15.75" customHeight="1" x14ac:dyDescent="0.2">
      <c r="B541" s="19"/>
    </row>
    <row r="542" spans="2:2" ht="15.75" customHeight="1" x14ac:dyDescent="0.2">
      <c r="B542" s="19"/>
    </row>
    <row r="543" spans="2:2" ht="15.75" customHeight="1" x14ac:dyDescent="0.2">
      <c r="B543" s="19"/>
    </row>
    <row r="544" spans="2:2" ht="15.75" customHeight="1" x14ac:dyDescent="0.2">
      <c r="B544" s="19"/>
    </row>
    <row r="545" spans="2:2" ht="15.75" customHeight="1" x14ac:dyDescent="0.2">
      <c r="B545" s="19"/>
    </row>
    <row r="546" spans="2:2" ht="15.75" customHeight="1" x14ac:dyDescent="0.2">
      <c r="B546" s="19"/>
    </row>
    <row r="547" spans="2:2" ht="15.75" customHeight="1" x14ac:dyDescent="0.2">
      <c r="B547" s="19"/>
    </row>
    <row r="548" spans="2:2" ht="15.75" customHeight="1" x14ac:dyDescent="0.2">
      <c r="B548" s="19"/>
    </row>
    <row r="549" spans="2:2" ht="15.75" customHeight="1" x14ac:dyDescent="0.2">
      <c r="B549" s="19"/>
    </row>
    <row r="550" spans="2:2" ht="15.75" customHeight="1" x14ac:dyDescent="0.2">
      <c r="B550" s="19"/>
    </row>
    <row r="551" spans="2:2" ht="15.75" customHeight="1" x14ac:dyDescent="0.2">
      <c r="B551" s="19"/>
    </row>
    <row r="552" spans="2:2" ht="15.75" customHeight="1" x14ac:dyDescent="0.2">
      <c r="B552" s="19"/>
    </row>
    <row r="553" spans="2:2" ht="15.75" customHeight="1" x14ac:dyDescent="0.2">
      <c r="B553" s="19"/>
    </row>
    <row r="554" spans="2:2" ht="15.75" customHeight="1" x14ac:dyDescent="0.2">
      <c r="B554" s="19"/>
    </row>
    <row r="555" spans="2:2" ht="15.75" customHeight="1" x14ac:dyDescent="0.2">
      <c r="B555" s="19"/>
    </row>
    <row r="556" spans="2:2" ht="15.75" customHeight="1" x14ac:dyDescent="0.2">
      <c r="B556" s="19"/>
    </row>
    <row r="557" spans="2:2" ht="15.75" customHeight="1" x14ac:dyDescent="0.2">
      <c r="B557" s="19"/>
    </row>
    <row r="558" spans="2:2" ht="15.75" customHeight="1" x14ac:dyDescent="0.2">
      <c r="B558" s="19"/>
    </row>
    <row r="559" spans="2:2" ht="15.75" customHeight="1" x14ac:dyDescent="0.2">
      <c r="B559" s="19"/>
    </row>
    <row r="560" spans="2:2" ht="15.75" customHeight="1" x14ac:dyDescent="0.2">
      <c r="B560" s="19"/>
    </row>
    <row r="561" spans="2:2" ht="15.75" customHeight="1" x14ac:dyDescent="0.2">
      <c r="B561" s="19"/>
    </row>
    <row r="562" spans="2:2" ht="15.75" customHeight="1" x14ac:dyDescent="0.2">
      <c r="B562" s="19"/>
    </row>
    <row r="563" spans="2:2" ht="15.75" customHeight="1" x14ac:dyDescent="0.2">
      <c r="B563" s="19"/>
    </row>
    <row r="564" spans="2:2" ht="15.75" customHeight="1" x14ac:dyDescent="0.2">
      <c r="B564" s="19"/>
    </row>
    <row r="565" spans="2:2" ht="15.75" customHeight="1" x14ac:dyDescent="0.2">
      <c r="B565" s="19"/>
    </row>
    <row r="566" spans="2:2" ht="15.75" customHeight="1" x14ac:dyDescent="0.2">
      <c r="B566" s="19"/>
    </row>
    <row r="567" spans="2:2" ht="15.75" customHeight="1" x14ac:dyDescent="0.2">
      <c r="B567" s="19"/>
    </row>
    <row r="568" spans="2:2" ht="15.75" customHeight="1" x14ac:dyDescent="0.2">
      <c r="B568" s="19"/>
    </row>
    <row r="569" spans="2:2" ht="15.75" customHeight="1" x14ac:dyDescent="0.2">
      <c r="B569" s="19"/>
    </row>
    <row r="570" spans="2:2" ht="15.75" customHeight="1" x14ac:dyDescent="0.2">
      <c r="B570" s="19"/>
    </row>
    <row r="571" spans="2:2" ht="15.75" customHeight="1" x14ac:dyDescent="0.2">
      <c r="B571" s="19"/>
    </row>
    <row r="572" spans="2:2" ht="15.75" customHeight="1" x14ac:dyDescent="0.2">
      <c r="B572" s="19"/>
    </row>
    <row r="573" spans="2:2" ht="15.75" customHeight="1" x14ac:dyDescent="0.2">
      <c r="B573" s="19"/>
    </row>
    <row r="574" spans="2:2" ht="15.75" customHeight="1" x14ac:dyDescent="0.2">
      <c r="B574" s="19"/>
    </row>
    <row r="575" spans="2:2" ht="15.75" customHeight="1" x14ac:dyDescent="0.2">
      <c r="B575" s="19"/>
    </row>
    <row r="576" spans="2:2" ht="15.75" customHeight="1" x14ac:dyDescent="0.2">
      <c r="B576" s="19"/>
    </row>
    <row r="577" spans="2:2" ht="15.75" customHeight="1" x14ac:dyDescent="0.2">
      <c r="B577" s="19"/>
    </row>
    <row r="578" spans="2:2" ht="15.75" customHeight="1" x14ac:dyDescent="0.2">
      <c r="B578" s="19"/>
    </row>
    <row r="579" spans="2:2" ht="15.75" customHeight="1" x14ac:dyDescent="0.2">
      <c r="B579" s="19"/>
    </row>
    <row r="580" spans="2:2" ht="15.75" customHeight="1" x14ac:dyDescent="0.2">
      <c r="B580" s="19"/>
    </row>
    <row r="581" spans="2:2" ht="15.75" customHeight="1" x14ac:dyDescent="0.2">
      <c r="B581" s="19"/>
    </row>
    <row r="582" spans="2:2" ht="15.75" customHeight="1" x14ac:dyDescent="0.2">
      <c r="B582" s="19"/>
    </row>
    <row r="583" spans="2:2" ht="15.75" customHeight="1" x14ac:dyDescent="0.2">
      <c r="B583" s="19"/>
    </row>
    <row r="584" spans="2:2" ht="15.75" customHeight="1" x14ac:dyDescent="0.2">
      <c r="B584" s="19"/>
    </row>
    <row r="585" spans="2:2" ht="15.75" customHeight="1" x14ac:dyDescent="0.2">
      <c r="B585" s="19"/>
    </row>
    <row r="586" spans="2:2" ht="15.75" customHeight="1" x14ac:dyDescent="0.2">
      <c r="B586" s="19"/>
    </row>
    <row r="587" spans="2:2" ht="15.75" customHeight="1" x14ac:dyDescent="0.2">
      <c r="B587" s="19"/>
    </row>
    <row r="588" spans="2:2" ht="15.75" customHeight="1" x14ac:dyDescent="0.2">
      <c r="B588" s="19"/>
    </row>
    <row r="589" spans="2:2" ht="15.75" customHeight="1" x14ac:dyDescent="0.2">
      <c r="B589" s="19"/>
    </row>
    <row r="590" spans="2:2" ht="15.75" customHeight="1" x14ac:dyDescent="0.2">
      <c r="B590" s="19"/>
    </row>
    <row r="591" spans="2:2" ht="15.75" customHeight="1" x14ac:dyDescent="0.2">
      <c r="B591" s="19"/>
    </row>
    <row r="592" spans="2:2" ht="15.75" customHeight="1" x14ac:dyDescent="0.2">
      <c r="B592" s="19"/>
    </row>
    <row r="593" spans="2:2" ht="15.75" customHeight="1" x14ac:dyDescent="0.2">
      <c r="B593" s="19"/>
    </row>
    <row r="594" spans="2:2" ht="15.75" customHeight="1" x14ac:dyDescent="0.2">
      <c r="B594" s="19"/>
    </row>
    <row r="595" spans="2:2" ht="15.75" customHeight="1" x14ac:dyDescent="0.2">
      <c r="B595" s="19"/>
    </row>
    <row r="596" spans="2:2" ht="15.75" customHeight="1" x14ac:dyDescent="0.2">
      <c r="B596" s="19"/>
    </row>
    <row r="597" spans="2:2" ht="15.75" customHeight="1" x14ac:dyDescent="0.2">
      <c r="B597" s="19"/>
    </row>
    <row r="598" spans="2:2" ht="15.75" customHeight="1" x14ac:dyDescent="0.2">
      <c r="B598" s="19"/>
    </row>
    <row r="599" spans="2:2" ht="15.75" customHeight="1" x14ac:dyDescent="0.2">
      <c r="B599" s="19"/>
    </row>
    <row r="600" spans="2:2" ht="15.75" customHeight="1" x14ac:dyDescent="0.2">
      <c r="B600" s="19"/>
    </row>
    <row r="601" spans="2:2" ht="15.75" customHeight="1" x14ac:dyDescent="0.2">
      <c r="B601" s="19"/>
    </row>
    <row r="602" spans="2:2" ht="15.75" customHeight="1" x14ac:dyDescent="0.2">
      <c r="B602" s="19"/>
    </row>
    <row r="603" spans="2:2" ht="15.75" customHeight="1" x14ac:dyDescent="0.2">
      <c r="B603" s="19"/>
    </row>
    <row r="604" spans="2:2" ht="15.75" customHeight="1" x14ac:dyDescent="0.2">
      <c r="B604" s="19"/>
    </row>
    <row r="605" spans="2:2" ht="15.75" customHeight="1" x14ac:dyDescent="0.2">
      <c r="B605" s="19"/>
    </row>
    <row r="606" spans="2:2" ht="15.75" customHeight="1" x14ac:dyDescent="0.2">
      <c r="B606" s="19"/>
    </row>
    <row r="607" spans="2:2" ht="15.75" customHeight="1" x14ac:dyDescent="0.2">
      <c r="B607" s="19"/>
    </row>
    <row r="608" spans="2:2" ht="15.75" customHeight="1" x14ac:dyDescent="0.2">
      <c r="B608" s="19"/>
    </row>
    <row r="609" spans="2:2" ht="15.75" customHeight="1" x14ac:dyDescent="0.2">
      <c r="B609" s="19"/>
    </row>
    <row r="610" spans="2:2" ht="15.75" customHeight="1" x14ac:dyDescent="0.2">
      <c r="B610" s="19"/>
    </row>
    <row r="611" spans="2:2" ht="15.75" customHeight="1" x14ac:dyDescent="0.2">
      <c r="B611" s="19"/>
    </row>
    <row r="612" spans="2:2" ht="15.75" customHeight="1" x14ac:dyDescent="0.2">
      <c r="B612" s="19"/>
    </row>
    <row r="613" spans="2:2" ht="15.75" customHeight="1" x14ac:dyDescent="0.2">
      <c r="B613" s="19"/>
    </row>
    <row r="614" spans="2:2" ht="15.75" customHeight="1" x14ac:dyDescent="0.2">
      <c r="B614" s="19"/>
    </row>
    <row r="615" spans="2:2" ht="15.75" customHeight="1" x14ac:dyDescent="0.2">
      <c r="B615" s="19"/>
    </row>
    <row r="616" spans="2:2" ht="15.75" customHeight="1" x14ac:dyDescent="0.2">
      <c r="B616" s="19"/>
    </row>
    <row r="617" spans="2:2" ht="15.75" customHeight="1" x14ac:dyDescent="0.2">
      <c r="B617" s="19"/>
    </row>
    <row r="618" spans="2:2" ht="15.75" customHeight="1" x14ac:dyDescent="0.2">
      <c r="B618" s="19"/>
    </row>
    <row r="619" spans="2:2" ht="15.75" customHeight="1" x14ac:dyDescent="0.2">
      <c r="B619" s="19"/>
    </row>
    <row r="620" spans="2:2" ht="15.75" customHeight="1" x14ac:dyDescent="0.2">
      <c r="B620" s="19"/>
    </row>
    <row r="621" spans="2:2" ht="15.75" customHeight="1" x14ac:dyDescent="0.2">
      <c r="B621" s="19"/>
    </row>
    <row r="622" spans="2:2" ht="15.75" customHeight="1" x14ac:dyDescent="0.2">
      <c r="B622" s="19"/>
    </row>
    <row r="623" spans="2:2" ht="15.75" customHeight="1" x14ac:dyDescent="0.2">
      <c r="B623" s="19"/>
    </row>
    <row r="624" spans="2:2" ht="15.75" customHeight="1" x14ac:dyDescent="0.2">
      <c r="B624" s="19"/>
    </row>
    <row r="625" spans="2:2" ht="15.75" customHeight="1" x14ac:dyDescent="0.2">
      <c r="B625" s="19"/>
    </row>
    <row r="626" spans="2:2" ht="15.75" customHeight="1" x14ac:dyDescent="0.2">
      <c r="B626" s="19"/>
    </row>
    <row r="627" spans="2:2" ht="15.75" customHeight="1" x14ac:dyDescent="0.2">
      <c r="B627" s="19"/>
    </row>
    <row r="628" spans="2:2" ht="15.75" customHeight="1" x14ac:dyDescent="0.2">
      <c r="B628" s="19"/>
    </row>
    <row r="629" spans="2:2" ht="15.75" customHeight="1" x14ac:dyDescent="0.2">
      <c r="B629" s="19"/>
    </row>
    <row r="630" spans="2:2" ht="15.75" customHeight="1" x14ac:dyDescent="0.2">
      <c r="B630" s="19"/>
    </row>
    <row r="631" spans="2:2" ht="15.75" customHeight="1" x14ac:dyDescent="0.2">
      <c r="B631" s="19"/>
    </row>
    <row r="632" spans="2:2" ht="15.75" customHeight="1" x14ac:dyDescent="0.2">
      <c r="B632" s="19"/>
    </row>
    <row r="633" spans="2:2" ht="15.75" customHeight="1" x14ac:dyDescent="0.2">
      <c r="B633" s="19"/>
    </row>
    <row r="634" spans="2:2" ht="15.75" customHeight="1" x14ac:dyDescent="0.2">
      <c r="B634" s="19"/>
    </row>
    <row r="635" spans="2:2" ht="15.75" customHeight="1" x14ac:dyDescent="0.2">
      <c r="B635" s="19"/>
    </row>
    <row r="636" spans="2:2" ht="15.75" customHeight="1" x14ac:dyDescent="0.2">
      <c r="B636" s="19"/>
    </row>
    <row r="637" spans="2:2" ht="15.75" customHeight="1" x14ac:dyDescent="0.2">
      <c r="B637" s="19"/>
    </row>
    <row r="638" spans="2:2" ht="15.75" customHeight="1" x14ac:dyDescent="0.2">
      <c r="B638" s="19"/>
    </row>
    <row r="639" spans="2:2" ht="15.75" customHeight="1" x14ac:dyDescent="0.2">
      <c r="B639" s="19"/>
    </row>
    <row r="640" spans="2:2" ht="15.75" customHeight="1" x14ac:dyDescent="0.2">
      <c r="B640" s="19"/>
    </row>
    <row r="641" spans="2:2" ht="15.75" customHeight="1" x14ac:dyDescent="0.2">
      <c r="B641" s="19"/>
    </row>
    <row r="642" spans="2:2" ht="15.75" customHeight="1" x14ac:dyDescent="0.2">
      <c r="B642" s="19"/>
    </row>
    <row r="643" spans="2:2" ht="15.75" customHeight="1" x14ac:dyDescent="0.2">
      <c r="B643" s="19"/>
    </row>
    <row r="644" spans="2:2" ht="15.75" customHeight="1" x14ac:dyDescent="0.2">
      <c r="B644" s="19"/>
    </row>
    <row r="645" spans="2:2" ht="15.75" customHeight="1" x14ac:dyDescent="0.2">
      <c r="B645" s="19"/>
    </row>
    <row r="646" spans="2:2" ht="15.75" customHeight="1" x14ac:dyDescent="0.2">
      <c r="B646" s="19"/>
    </row>
    <row r="647" spans="2:2" ht="15.75" customHeight="1" x14ac:dyDescent="0.2">
      <c r="B647" s="19"/>
    </row>
    <row r="648" spans="2:2" ht="15.75" customHeight="1" x14ac:dyDescent="0.2">
      <c r="B648" s="19"/>
    </row>
    <row r="649" spans="2:2" ht="15.75" customHeight="1" x14ac:dyDescent="0.2">
      <c r="B649" s="19"/>
    </row>
    <row r="650" spans="2:2" ht="15.75" customHeight="1" x14ac:dyDescent="0.2">
      <c r="B650" s="19"/>
    </row>
    <row r="651" spans="2:2" ht="15.75" customHeight="1" x14ac:dyDescent="0.2">
      <c r="B651" s="19"/>
    </row>
    <row r="652" spans="2:2" ht="15.75" customHeight="1" x14ac:dyDescent="0.2">
      <c r="B652" s="19"/>
    </row>
    <row r="653" spans="2:2" ht="15.75" customHeight="1" x14ac:dyDescent="0.2">
      <c r="B653" s="19"/>
    </row>
    <row r="654" spans="2:2" ht="15.75" customHeight="1" x14ac:dyDescent="0.2">
      <c r="B654" s="19"/>
    </row>
    <row r="655" spans="2:2" ht="15.75" customHeight="1" x14ac:dyDescent="0.2">
      <c r="B655" s="19"/>
    </row>
    <row r="656" spans="2:2" ht="15.75" customHeight="1" x14ac:dyDescent="0.2">
      <c r="B656" s="19"/>
    </row>
    <row r="657" spans="2:2" ht="15.75" customHeight="1" x14ac:dyDescent="0.2">
      <c r="B657" s="19"/>
    </row>
    <row r="658" spans="2:2" ht="15.75" customHeight="1" x14ac:dyDescent="0.2">
      <c r="B658" s="19"/>
    </row>
    <row r="659" spans="2:2" ht="15.75" customHeight="1" x14ac:dyDescent="0.2">
      <c r="B659" s="19"/>
    </row>
    <row r="660" spans="2:2" ht="15.75" customHeight="1" x14ac:dyDescent="0.2">
      <c r="B660" s="19"/>
    </row>
    <row r="661" spans="2:2" ht="15.75" customHeight="1" x14ac:dyDescent="0.2">
      <c r="B661" s="19"/>
    </row>
    <row r="662" spans="2:2" ht="15.75" customHeight="1" x14ac:dyDescent="0.2">
      <c r="B662" s="19"/>
    </row>
    <row r="663" spans="2:2" ht="15.75" customHeight="1" x14ac:dyDescent="0.2">
      <c r="B663" s="19"/>
    </row>
    <row r="664" spans="2:2" ht="15.75" customHeight="1" x14ac:dyDescent="0.2">
      <c r="B664" s="19"/>
    </row>
    <row r="665" spans="2:2" ht="15.75" customHeight="1" x14ac:dyDescent="0.2">
      <c r="B665" s="19"/>
    </row>
    <row r="666" spans="2:2" ht="15.75" customHeight="1" x14ac:dyDescent="0.2">
      <c r="B666" s="19"/>
    </row>
    <row r="667" spans="2:2" ht="15.75" customHeight="1" x14ac:dyDescent="0.2">
      <c r="B667" s="19"/>
    </row>
    <row r="668" spans="2:2" ht="15.75" customHeight="1" x14ac:dyDescent="0.2">
      <c r="B668" s="19"/>
    </row>
    <row r="669" spans="2:2" ht="15.75" customHeight="1" x14ac:dyDescent="0.2">
      <c r="B669" s="19"/>
    </row>
    <row r="670" spans="2:2" ht="15.75" customHeight="1" x14ac:dyDescent="0.2">
      <c r="B670" s="19"/>
    </row>
    <row r="671" spans="2:2" ht="15.75" customHeight="1" x14ac:dyDescent="0.2">
      <c r="B671" s="19"/>
    </row>
    <row r="672" spans="2:2" ht="15.75" customHeight="1" x14ac:dyDescent="0.2">
      <c r="B672" s="19"/>
    </row>
    <row r="673" spans="2:2" ht="15.75" customHeight="1" x14ac:dyDescent="0.2">
      <c r="B673" s="19"/>
    </row>
    <row r="674" spans="2:2" ht="15.75" customHeight="1" x14ac:dyDescent="0.2">
      <c r="B674" s="19"/>
    </row>
    <row r="675" spans="2:2" ht="15.75" customHeight="1" x14ac:dyDescent="0.2">
      <c r="B675" s="19"/>
    </row>
    <row r="676" spans="2:2" ht="15.75" customHeight="1" x14ac:dyDescent="0.2">
      <c r="B676" s="19"/>
    </row>
    <row r="677" spans="2:2" ht="15.75" customHeight="1" x14ac:dyDescent="0.2">
      <c r="B677" s="19"/>
    </row>
    <row r="678" spans="2:2" ht="15.75" customHeight="1" x14ac:dyDescent="0.2">
      <c r="B678" s="19"/>
    </row>
    <row r="679" spans="2:2" ht="15.75" customHeight="1" x14ac:dyDescent="0.2">
      <c r="B679" s="19"/>
    </row>
    <row r="680" spans="2:2" ht="15.75" customHeight="1" x14ac:dyDescent="0.2">
      <c r="B680" s="19"/>
    </row>
    <row r="681" spans="2:2" ht="15.75" customHeight="1" x14ac:dyDescent="0.2">
      <c r="B681" s="19"/>
    </row>
    <row r="682" spans="2:2" ht="15.75" customHeight="1" x14ac:dyDescent="0.2">
      <c r="B682" s="19"/>
    </row>
    <row r="683" spans="2:2" ht="15.75" customHeight="1" x14ac:dyDescent="0.2">
      <c r="B683" s="19"/>
    </row>
    <row r="684" spans="2:2" ht="15.75" customHeight="1" x14ac:dyDescent="0.2">
      <c r="B684" s="19"/>
    </row>
    <row r="685" spans="2:2" ht="15.75" customHeight="1" x14ac:dyDescent="0.2">
      <c r="B685" s="19"/>
    </row>
    <row r="686" spans="2:2" ht="15.75" customHeight="1" x14ac:dyDescent="0.2">
      <c r="B686" s="19"/>
    </row>
    <row r="687" spans="2:2" ht="15.75" customHeight="1" x14ac:dyDescent="0.2">
      <c r="B687" s="19"/>
    </row>
    <row r="688" spans="2:2" ht="15.75" customHeight="1" x14ac:dyDescent="0.2">
      <c r="B688" s="19"/>
    </row>
    <row r="689" spans="2:2" ht="15.75" customHeight="1" x14ac:dyDescent="0.2">
      <c r="B689" s="19"/>
    </row>
    <row r="690" spans="2:2" ht="15.75" customHeight="1" x14ac:dyDescent="0.2">
      <c r="B690" s="19"/>
    </row>
    <row r="691" spans="2:2" ht="15.75" customHeight="1" x14ac:dyDescent="0.2">
      <c r="B691" s="19"/>
    </row>
    <row r="692" spans="2:2" ht="15.75" customHeight="1" x14ac:dyDescent="0.2">
      <c r="B692" s="19"/>
    </row>
    <row r="693" spans="2:2" ht="15.75" customHeight="1" x14ac:dyDescent="0.2">
      <c r="B693" s="19"/>
    </row>
    <row r="694" spans="2:2" ht="15.75" customHeight="1" x14ac:dyDescent="0.2">
      <c r="B694" s="19"/>
    </row>
    <row r="695" spans="2:2" ht="15.75" customHeight="1" x14ac:dyDescent="0.2">
      <c r="B695" s="19"/>
    </row>
    <row r="696" spans="2:2" ht="15.75" customHeight="1" x14ac:dyDescent="0.2">
      <c r="B696" s="19"/>
    </row>
    <row r="697" spans="2:2" ht="15.75" customHeight="1" x14ac:dyDescent="0.2">
      <c r="B697" s="19"/>
    </row>
    <row r="698" spans="2:2" ht="15.75" customHeight="1" x14ac:dyDescent="0.2">
      <c r="B698" s="19"/>
    </row>
    <row r="699" spans="2:2" ht="15.75" customHeight="1" x14ac:dyDescent="0.2">
      <c r="B699" s="19"/>
    </row>
    <row r="700" spans="2:2" ht="15.75" customHeight="1" x14ac:dyDescent="0.2">
      <c r="B700" s="19"/>
    </row>
    <row r="701" spans="2:2" ht="15.75" customHeight="1" x14ac:dyDescent="0.2">
      <c r="B701" s="19"/>
    </row>
    <row r="702" spans="2:2" ht="15.75" customHeight="1" x14ac:dyDescent="0.2">
      <c r="B702" s="19"/>
    </row>
    <row r="703" spans="2:2" ht="15.75" customHeight="1" x14ac:dyDescent="0.2">
      <c r="B703" s="19"/>
    </row>
    <row r="704" spans="2:2" ht="15.75" customHeight="1" x14ac:dyDescent="0.2">
      <c r="B704" s="19"/>
    </row>
    <row r="705" spans="2:2" ht="15.75" customHeight="1" x14ac:dyDescent="0.2">
      <c r="B705" s="19"/>
    </row>
    <row r="706" spans="2:2" ht="15.75" customHeight="1" x14ac:dyDescent="0.2">
      <c r="B706" s="19"/>
    </row>
    <row r="707" spans="2:2" ht="15.75" customHeight="1" x14ac:dyDescent="0.2">
      <c r="B707" s="19"/>
    </row>
    <row r="708" spans="2:2" ht="15.75" customHeight="1" x14ac:dyDescent="0.2">
      <c r="B708" s="19"/>
    </row>
    <row r="709" spans="2:2" ht="15.75" customHeight="1" x14ac:dyDescent="0.2">
      <c r="B709" s="19"/>
    </row>
    <row r="710" spans="2:2" ht="15.75" customHeight="1" x14ac:dyDescent="0.2">
      <c r="B710" s="19"/>
    </row>
    <row r="711" spans="2:2" ht="15.75" customHeight="1" x14ac:dyDescent="0.2">
      <c r="B711" s="19"/>
    </row>
    <row r="712" spans="2:2" ht="15.75" customHeight="1" x14ac:dyDescent="0.2">
      <c r="B712" s="19"/>
    </row>
    <row r="713" spans="2:2" ht="15.75" customHeight="1" x14ac:dyDescent="0.2">
      <c r="B713" s="19"/>
    </row>
    <row r="714" spans="2:2" ht="15.75" customHeight="1" x14ac:dyDescent="0.2">
      <c r="B714" s="19"/>
    </row>
    <row r="715" spans="2:2" ht="15.75" customHeight="1" x14ac:dyDescent="0.2">
      <c r="B715" s="19"/>
    </row>
    <row r="716" spans="2:2" ht="15.75" customHeight="1" x14ac:dyDescent="0.2">
      <c r="B716" s="19"/>
    </row>
    <row r="717" spans="2:2" ht="15.75" customHeight="1" x14ac:dyDescent="0.2">
      <c r="B717" s="19"/>
    </row>
    <row r="718" spans="2:2" ht="15.75" customHeight="1" x14ac:dyDescent="0.2">
      <c r="B718" s="19"/>
    </row>
    <row r="719" spans="2:2" ht="15.75" customHeight="1" x14ac:dyDescent="0.2">
      <c r="B719" s="19"/>
    </row>
    <row r="720" spans="2:2" ht="15.75" customHeight="1" x14ac:dyDescent="0.2">
      <c r="B720" s="19"/>
    </row>
    <row r="721" spans="2:2" ht="15.75" customHeight="1" x14ac:dyDescent="0.2">
      <c r="B721" s="19"/>
    </row>
    <row r="722" spans="2:2" ht="15.75" customHeight="1" x14ac:dyDescent="0.2">
      <c r="B722" s="19"/>
    </row>
    <row r="723" spans="2:2" ht="15.75" customHeight="1" x14ac:dyDescent="0.2">
      <c r="B723" s="19"/>
    </row>
    <row r="724" spans="2:2" ht="15.75" customHeight="1" x14ac:dyDescent="0.2">
      <c r="B724" s="19"/>
    </row>
    <row r="725" spans="2:2" ht="15.75" customHeight="1" x14ac:dyDescent="0.2">
      <c r="B725" s="19"/>
    </row>
    <row r="726" spans="2:2" ht="15.75" customHeight="1" x14ac:dyDescent="0.2">
      <c r="B726" s="19"/>
    </row>
    <row r="727" spans="2:2" ht="15.75" customHeight="1" x14ac:dyDescent="0.2">
      <c r="B727" s="19"/>
    </row>
    <row r="728" spans="2:2" ht="15.75" customHeight="1" x14ac:dyDescent="0.2">
      <c r="B728" s="19"/>
    </row>
    <row r="729" spans="2:2" ht="15.75" customHeight="1" x14ac:dyDescent="0.2">
      <c r="B729" s="19"/>
    </row>
    <row r="730" spans="2:2" ht="15.75" customHeight="1" x14ac:dyDescent="0.2">
      <c r="B730" s="19"/>
    </row>
    <row r="731" spans="2:2" ht="15.75" customHeight="1" x14ac:dyDescent="0.2">
      <c r="B731" s="19"/>
    </row>
    <row r="732" spans="2:2" ht="15.75" customHeight="1" x14ac:dyDescent="0.2">
      <c r="B732" s="19"/>
    </row>
    <row r="733" spans="2:2" ht="15.75" customHeight="1" x14ac:dyDescent="0.2">
      <c r="B733" s="19"/>
    </row>
    <row r="734" spans="2:2" ht="15.75" customHeight="1" x14ac:dyDescent="0.2">
      <c r="B734" s="19"/>
    </row>
    <row r="735" spans="2:2" ht="15.75" customHeight="1" x14ac:dyDescent="0.2">
      <c r="B735" s="19"/>
    </row>
    <row r="736" spans="2:2" ht="15.75" customHeight="1" x14ac:dyDescent="0.2">
      <c r="B736" s="19"/>
    </row>
    <row r="737" spans="2:2" ht="15.75" customHeight="1" x14ac:dyDescent="0.2">
      <c r="B737" s="19"/>
    </row>
    <row r="738" spans="2:2" ht="15.75" customHeight="1" x14ac:dyDescent="0.2">
      <c r="B738" s="19"/>
    </row>
    <row r="739" spans="2:2" ht="15.75" customHeight="1" x14ac:dyDescent="0.2">
      <c r="B739" s="19"/>
    </row>
    <row r="740" spans="2:2" ht="15.75" customHeight="1" x14ac:dyDescent="0.2">
      <c r="B740" s="19"/>
    </row>
    <row r="741" spans="2:2" ht="15.75" customHeight="1" x14ac:dyDescent="0.2">
      <c r="B741" s="19"/>
    </row>
    <row r="742" spans="2:2" ht="15.75" customHeight="1" x14ac:dyDescent="0.2">
      <c r="B742" s="19"/>
    </row>
    <row r="743" spans="2:2" ht="15.75" customHeight="1" x14ac:dyDescent="0.2">
      <c r="B743" s="19"/>
    </row>
    <row r="744" spans="2:2" ht="15.75" customHeight="1" x14ac:dyDescent="0.2">
      <c r="B744" s="19"/>
    </row>
    <row r="745" spans="2:2" ht="15.75" customHeight="1" x14ac:dyDescent="0.2">
      <c r="B745" s="19"/>
    </row>
    <row r="746" spans="2:2" ht="15.75" customHeight="1" x14ac:dyDescent="0.2">
      <c r="B746" s="19"/>
    </row>
    <row r="747" spans="2:2" ht="15.75" customHeight="1" x14ac:dyDescent="0.2">
      <c r="B747" s="19"/>
    </row>
    <row r="748" spans="2:2" ht="15.75" customHeight="1" x14ac:dyDescent="0.2">
      <c r="B748" s="19"/>
    </row>
    <row r="749" spans="2:2" ht="15.75" customHeight="1" x14ac:dyDescent="0.2">
      <c r="B749" s="19"/>
    </row>
    <row r="750" spans="2:2" ht="15.75" customHeight="1" x14ac:dyDescent="0.2">
      <c r="B750" s="19"/>
    </row>
    <row r="751" spans="2:2" ht="15.75" customHeight="1" x14ac:dyDescent="0.2">
      <c r="B751" s="19"/>
    </row>
    <row r="752" spans="2:2" ht="15.75" customHeight="1" x14ac:dyDescent="0.2">
      <c r="B752" s="19"/>
    </row>
    <row r="753" spans="2:2" ht="15.75" customHeight="1" x14ac:dyDescent="0.2">
      <c r="B753" s="19"/>
    </row>
    <row r="754" spans="2:2" ht="15.75" customHeight="1" x14ac:dyDescent="0.2">
      <c r="B754" s="19"/>
    </row>
    <row r="755" spans="2:2" ht="15.75" customHeight="1" x14ac:dyDescent="0.2">
      <c r="B755" s="19"/>
    </row>
    <row r="756" spans="2:2" ht="15.75" customHeight="1" x14ac:dyDescent="0.2">
      <c r="B756" s="19"/>
    </row>
    <row r="757" spans="2:2" ht="15.75" customHeight="1" x14ac:dyDescent="0.2">
      <c r="B757" s="19"/>
    </row>
    <row r="758" spans="2:2" ht="15.75" customHeight="1" x14ac:dyDescent="0.2">
      <c r="B758" s="19"/>
    </row>
    <row r="759" spans="2:2" ht="15.75" customHeight="1" x14ac:dyDescent="0.2">
      <c r="B759" s="19"/>
    </row>
    <row r="760" spans="2:2" ht="15.75" customHeight="1" x14ac:dyDescent="0.2">
      <c r="B760" s="19"/>
    </row>
    <row r="761" spans="2:2" ht="15.75" customHeight="1" x14ac:dyDescent="0.2">
      <c r="B761" s="19"/>
    </row>
    <row r="762" spans="2:2" ht="15.75" customHeight="1" x14ac:dyDescent="0.2">
      <c r="B762" s="19"/>
    </row>
    <row r="763" spans="2:2" ht="15.75" customHeight="1" x14ac:dyDescent="0.2">
      <c r="B763" s="19"/>
    </row>
    <row r="764" spans="2:2" ht="15.75" customHeight="1" x14ac:dyDescent="0.2">
      <c r="B764" s="19"/>
    </row>
    <row r="765" spans="2:2" ht="15.75" customHeight="1" x14ac:dyDescent="0.2">
      <c r="B765" s="19"/>
    </row>
    <row r="766" spans="2:2" ht="15.75" customHeight="1" x14ac:dyDescent="0.2">
      <c r="B766" s="19"/>
    </row>
    <row r="767" spans="2:2" ht="15.75" customHeight="1" x14ac:dyDescent="0.2">
      <c r="B767" s="19"/>
    </row>
    <row r="768" spans="2:2" ht="15.75" customHeight="1" x14ac:dyDescent="0.2">
      <c r="B768" s="19"/>
    </row>
    <row r="769" spans="2:2" ht="15.75" customHeight="1" x14ac:dyDescent="0.2">
      <c r="B769" s="19"/>
    </row>
    <row r="770" spans="2:2" ht="15.75" customHeight="1" x14ac:dyDescent="0.2">
      <c r="B770" s="19"/>
    </row>
    <row r="771" spans="2:2" ht="15.75" customHeight="1" x14ac:dyDescent="0.2">
      <c r="B771" s="19"/>
    </row>
    <row r="772" spans="2:2" ht="15.75" customHeight="1" x14ac:dyDescent="0.2">
      <c r="B772" s="19"/>
    </row>
    <row r="773" spans="2:2" ht="15.75" customHeight="1" x14ac:dyDescent="0.2">
      <c r="B773" s="19"/>
    </row>
    <row r="774" spans="2:2" ht="15.75" customHeight="1" x14ac:dyDescent="0.2">
      <c r="B774" s="19"/>
    </row>
    <row r="775" spans="2:2" ht="15.75" customHeight="1" x14ac:dyDescent="0.2">
      <c r="B775" s="19"/>
    </row>
    <row r="776" spans="2:2" ht="15.75" customHeight="1" x14ac:dyDescent="0.2">
      <c r="B776" s="19"/>
    </row>
    <row r="777" spans="2:2" ht="15.75" customHeight="1" x14ac:dyDescent="0.2">
      <c r="B777" s="19"/>
    </row>
    <row r="778" spans="2:2" ht="15.75" customHeight="1" x14ac:dyDescent="0.2">
      <c r="B778" s="19"/>
    </row>
    <row r="779" spans="2:2" ht="15.75" customHeight="1" x14ac:dyDescent="0.2">
      <c r="B779" s="19"/>
    </row>
    <row r="780" spans="2:2" ht="15.75" customHeight="1" x14ac:dyDescent="0.2">
      <c r="B780" s="19"/>
    </row>
    <row r="781" spans="2:2" ht="15.75" customHeight="1" x14ac:dyDescent="0.2">
      <c r="B781" s="19"/>
    </row>
    <row r="782" spans="2:2" ht="15.75" customHeight="1" x14ac:dyDescent="0.2">
      <c r="B782" s="19"/>
    </row>
    <row r="783" spans="2:2" ht="15.75" customHeight="1" x14ac:dyDescent="0.2">
      <c r="B783" s="19"/>
    </row>
    <row r="784" spans="2:2" ht="15.75" customHeight="1" x14ac:dyDescent="0.2">
      <c r="B784" s="19"/>
    </row>
    <row r="785" spans="2:2" ht="15.75" customHeight="1" x14ac:dyDescent="0.2">
      <c r="B785" s="19"/>
    </row>
    <row r="786" spans="2:2" ht="15.75" customHeight="1" x14ac:dyDescent="0.2">
      <c r="B786" s="19"/>
    </row>
    <row r="787" spans="2:2" ht="15.75" customHeight="1" x14ac:dyDescent="0.2">
      <c r="B787" s="19"/>
    </row>
    <row r="788" spans="2:2" ht="15.75" customHeight="1" x14ac:dyDescent="0.2">
      <c r="B788" s="19"/>
    </row>
    <row r="789" spans="2:2" ht="15.75" customHeight="1" x14ac:dyDescent="0.2">
      <c r="B789" s="19"/>
    </row>
    <row r="790" spans="2:2" ht="15.75" customHeight="1" x14ac:dyDescent="0.2">
      <c r="B790" s="19"/>
    </row>
    <row r="791" spans="2:2" ht="15.75" customHeight="1" x14ac:dyDescent="0.2">
      <c r="B791" s="19"/>
    </row>
    <row r="792" spans="2:2" ht="15.75" customHeight="1" x14ac:dyDescent="0.2">
      <c r="B792" s="19"/>
    </row>
    <row r="793" spans="2:2" ht="15.75" customHeight="1" x14ac:dyDescent="0.2">
      <c r="B793" s="19"/>
    </row>
    <row r="794" spans="2:2" ht="15.75" customHeight="1" x14ac:dyDescent="0.2">
      <c r="B794" s="19"/>
    </row>
    <row r="795" spans="2:2" ht="15.75" customHeight="1" x14ac:dyDescent="0.2">
      <c r="B795" s="19"/>
    </row>
    <row r="796" spans="2:2" ht="15.75" customHeight="1" x14ac:dyDescent="0.2">
      <c r="B796" s="19"/>
    </row>
    <row r="797" spans="2:2" ht="15.75" customHeight="1" x14ac:dyDescent="0.2">
      <c r="B797" s="19"/>
    </row>
    <row r="798" spans="2:2" ht="15.75" customHeight="1" x14ac:dyDescent="0.2">
      <c r="B798" s="19"/>
    </row>
    <row r="799" spans="2:2" ht="15.75" customHeight="1" x14ac:dyDescent="0.2">
      <c r="B799" s="19"/>
    </row>
    <row r="800" spans="2:2" ht="15.75" customHeight="1" x14ac:dyDescent="0.2">
      <c r="B800" s="19"/>
    </row>
    <row r="801" spans="2:2" ht="15.75" customHeight="1" x14ac:dyDescent="0.2">
      <c r="B801" s="19"/>
    </row>
    <row r="802" spans="2:2" ht="15.75" customHeight="1" x14ac:dyDescent="0.2">
      <c r="B802" s="19"/>
    </row>
    <row r="803" spans="2:2" ht="15.75" customHeight="1" x14ac:dyDescent="0.2">
      <c r="B803" s="19"/>
    </row>
    <row r="804" spans="2:2" ht="15.75" customHeight="1" x14ac:dyDescent="0.2">
      <c r="B804" s="19"/>
    </row>
    <row r="805" spans="2:2" ht="15.75" customHeight="1" x14ac:dyDescent="0.2">
      <c r="B805" s="19"/>
    </row>
    <row r="806" spans="2:2" ht="15.75" customHeight="1" x14ac:dyDescent="0.2">
      <c r="B806" s="19"/>
    </row>
    <row r="807" spans="2:2" ht="15.75" customHeight="1" x14ac:dyDescent="0.2">
      <c r="B807" s="19"/>
    </row>
    <row r="808" spans="2:2" ht="15.75" customHeight="1" x14ac:dyDescent="0.2">
      <c r="B808" s="19"/>
    </row>
    <row r="809" spans="2:2" ht="15.75" customHeight="1" x14ac:dyDescent="0.2">
      <c r="B809" s="19"/>
    </row>
    <row r="810" spans="2:2" ht="15.75" customHeight="1" x14ac:dyDescent="0.2">
      <c r="B810" s="19"/>
    </row>
    <row r="811" spans="2:2" ht="15.75" customHeight="1" x14ac:dyDescent="0.2">
      <c r="B811" s="19"/>
    </row>
    <row r="812" spans="2:2" ht="15.75" customHeight="1" x14ac:dyDescent="0.2">
      <c r="B812" s="19"/>
    </row>
    <row r="813" spans="2:2" ht="15.75" customHeight="1" x14ac:dyDescent="0.2">
      <c r="B813" s="19"/>
    </row>
    <row r="814" spans="2:2" ht="15.75" customHeight="1" x14ac:dyDescent="0.2">
      <c r="B814" s="19"/>
    </row>
    <row r="815" spans="2:2" ht="15.75" customHeight="1" x14ac:dyDescent="0.2">
      <c r="B815" s="19"/>
    </row>
    <row r="816" spans="2:2" ht="15.75" customHeight="1" x14ac:dyDescent="0.2">
      <c r="B816" s="19"/>
    </row>
    <row r="817" spans="2:2" ht="15.75" customHeight="1" x14ac:dyDescent="0.2">
      <c r="B817" s="19"/>
    </row>
    <row r="818" spans="2:2" ht="15.75" customHeight="1" x14ac:dyDescent="0.2">
      <c r="B818" s="19"/>
    </row>
    <row r="819" spans="2:2" ht="15.75" customHeight="1" x14ac:dyDescent="0.2">
      <c r="B819" s="19"/>
    </row>
    <row r="820" spans="2:2" ht="15.75" customHeight="1" x14ac:dyDescent="0.2">
      <c r="B820" s="19"/>
    </row>
    <row r="821" spans="2:2" ht="15.75" customHeight="1" x14ac:dyDescent="0.2">
      <c r="B821" s="19"/>
    </row>
    <row r="822" spans="2:2" ht="15.75" customHeight="1" x14ac:dyDescent="0.2">
      <c r="B822" s="19"/>
    </row>
    <row r="823" spans="2:2" ht="15.75" customHeight="1" x14ac:dyDescent="0.2">
      <c r="B823" s="19"/>
    </row>
    <row r="824" spans="2:2" ht="15.75" customHeight="1" x14ac:dyDescent="0.2">
      <c r="B824" s="19"/>
    </row>
    <row r="825" spans="2:2" ht="15.75" customHeight="1" x14ac:dyDescent="0.2">
      <c r="B825" s="19"/>
    </row>
    <row r="826" spans="2:2" ht="15.75" customHeight="1" x14ac:dyDescent="0.2">
      <c r="B826" s="19"/>
    </row>
    <row r="827" spans="2:2" ht="15.75" customHeight="1" x14ac:dyDescent="0.2">
      <c r="B827" s="19"/>
    </row>
    <row r="828" spans="2:2" ht="15.75" customHeight="1" x14ac:dyDescent="0.2">
      <c r="B828" s="19"/>
    </row>
    <row r="829" spans="2:2" ht="15.75" customHeight="1" x14ac:dyDescent="0.2">
      <c r="B829" s="19"/>
    </row>
    <row r="830" spans="2:2" ht="15.75" customHeight="1" x14ac:dyDescent="0.2">
      <c r="B830" s="19"/>
    </row>
    <row r="831" spans="2:2" ht="15.75" customHeight="1" x14ac:dyDescent="0.2">
      <c r="B831" s="19"/>
    </row>
    <row r="832" spans="2:2" ht="15.75" customHeight="1" x14ac:dyDescent="0.2">
      <c r="B832" s="19"/>
    </row>
    <row r="833" spans="2:2" ht="15.75" customHeight="1" x14ac:dyDescent="0.2">
      <c r="B833" s="19"/>
    </row>
    <row r="834" spans="2:2" ht="15.75" customHeight="1" x14ac:dyDescent="0.2">
      <c r="B834" s="19"/>
    </row>
    <row r="835" spans="2:2" ht="15.75" customHeight="1" x14ac:dyDescent="0.2">
      <c r="B835" s="19"/>
    </row>
    <row r="836" spans="2:2" ht="15.75" customHeight="1" x14ac:dyDescent="0.2">
      <c r="B836" s="19"/>
    </row>
    <row r="837" spans="2:2" ht="15.75" customHeight="1" x14ac:dyDescent="0.2">
      <c r="B837" s="19"/>
    </row>
    <row r="838" spans="2:2" ht="15.75" customHeight="1" x14ac:dyDescent="0.2">
      <c r="B838" s="19"/>
    </row>
    <row r="839" spans="2:2" ht="15.75" customHeight="1" x14ac:dyDescent="0.2">
      <c r="B839" s="19"/>
    </row>
    <row r="840" spans="2:2" ht="15.75" customHeight="1" x14ac:dyDescent="0.2">
      <c r="B840" s="19"/>
    </row>
    <row r="841" spans="2:2" ht="15.75" customHeight="1" x14ac:dyDescent="0.2">
      <c r="B841" s="19"/>
    </row>
    <row r="842" spans="2:2" ht="15.75" customHeight="1" x14ac:dyDescent="0.2">
      <c r="B842" s="19"/>
    </row>
    <row r="843" spans="2:2" ht="15.75" customHeight="1" x14ac:dyDescent="0.2">
      <c r="B843" s="19"/>
    </row>
    <row r="844" spans="2:2" ht="15.75" customHeight="1" x14ac:dyDescent="0.2">
      <c r="B844" s="19"/>
    </row>
    <row r="845" spans="2:2" ht="15.75" customHeight="1" x14ac:dyDescent="0.2">
      <c r="B845" s="19"/>
    </row>
    <row r="846" spans="2:2" ht="15.75" customHeight="1" x14ac:dyDescent="0.2">
      <c r="B846" s="19"/>
    </row>
    <row r="847" spans="2:2" ht="15.75" customHeight="1" x14ac:dyDescent="0.2">
      <c r="B847" s="19"/>
    </row>
    <row r="848" spans="2:2" ht="15.75" customHeight="1" x14ac:dyDescent="0.2">
      <c r="B848" s="19"/>
    </row>
    <row r="849" spans="2:2" ht="15.75" customHeight="1" x14ac:dyDescent="0.2">
      <c r="B849" s="19"/>
    </row>
    <row r="850" spans="2:2" ht="15.75" customHeight="1" x14ac:dyDescent="0.2">
      <c r="B850" s="19"/>
    </row>
    <row r="851" spans="2:2" ht="15.75" customHeight="1" x14ac:dyDescent="0.2">
      <c r="B851" s="19"/>
    </row>
    <row r="852" spans="2:2" ht="15.75" customHeight="1" x14ac:dyDescent="0.2">
      <c r="B852" s="19"/>
    </row>
    <row r="853" spans="2:2" ht="15.75" customHeight="1" x14ac:dyDescent="0.2">
      <c r="B853" s="19"/>
    </row>
    <row r="854" spans="2:2" ht="15.75" customHeight="1" x14ac:dyDescent="0.2">
      <c r="B854" s="19"/>
    </row>
    <row r="855" spans="2:2" ht="15.75" customHeight="1" x14ac:dyDescent="0.2">
      <c r="B855" s="19"/>
    </row>
    <row r="856" spans="2:2" ht="15.75" customHeight="1" x14ac:dyDescent="0.2">
      <c r="B856" s="19"/>
    </row>
    <row r="857" spans="2:2" ht="15.75" customHeight="1" x14ac:dyDescent="0.2">
      <c r="B857" s="19"/>
    </row>
    <row r="858" spans="2:2" ht="15.75" customHeight="1" x14ac:dyDescent="0.2">
      <c r="B858" s="19"/>
    </row>
    <row r="859" spans="2:2" ht="15.75" customHeight="1" x14ac:dyDescent="0.2">
      <c r="B859" s="19"/>
    </row>
    <row r="860" spans="2:2" ht="15.75" customHeight="1" x14ac:dyDescent="0.2">
      <c r="B860" s="19"/>
    </row>
    <row r="861" spans="2:2" ht="15.75" customHeight="1" x14ac:dyDescent="0.2">
      <c r="B861" s="19"/>
    </row>
    <row r="862" spans="2:2" ht="15.75" customHeight="1" x14ac:dyDescent="0.2">
      <c r="B862" s="19"/>
    </row>
    <row r="863" spans="2:2" ht="15.75" customHeight="1" x14ac:dyDescent="0.2">
      <c r="B863" s="19"/>
    </row>
    <row r="864" spans="2:2" ht="15.75" customHeight="1" x14ac:dyDescent="0.2">
      <c r="B864" s="19"/>
    </row>
    <row r="865" spans="2:2" ht="15.75" customHeight="1" x14ac:dyDescent="0.2">
      <c r="B865" s="19"/>
    </row>
    <row r="866" spans="2:2" ht="15.75" customHeight="1" x14ac:dyDescent="0.2">
      <c r="B866" s="19"/>
    </row>
    <row r="867" spans="2:2" ht="15.75" customHeight="1" x14ac:dyDescent="0.2">
      <c r="B867" s="19"/>
    </row>
    <row r="868" spans="2:2" ht="15.75" customHeight="1" x14ac:dyDescent="0.2">
      <c r="B868" s="19"/>
    </row>
    <row r="869" spans="2:2" ht="15.75" customHeight="1" x14ac:dyDescent="0.2">
      <c r="B869" s="19"/>
    </row>
    <row r="870" spans="2:2" ht="15.75" customHeight="1" x14ac:dyDescent="0.2">
      <c r="B870" s="19"/>
    </row>
    <row r="871" spans="2:2" ht="15.75" customHeight="1" x14ac:dyDescent="0.2">
      <c r="B871" s="19"/>
    </row>
    <row r="872" spans="2:2" ht="15.75" customHeight="1" x14ac:dyDescent="0.2">
      <c r="B872" s="19"/>
    </row>
    <row r="873" spans="2:2" ht="15.75" customHeight="1" x14ac:dyDescent="0.2">
      <c r="B873" s="19"/>
    </row>
    <row r="874" spans="2:2" ht="15.75" customHeight="1" x14ac:dyDescent="0.2">
      <c r="B874" s="19"/>
    </row>
    <row r="875" spans="2:2" ht="15.75" customHeight="1" x14ac:dyDescent="0.2">
      <c r="B875" s="19"/>
    </row>
    <row r="876" spans="2:2" ht="15.75" customHeight="1" x14ac:dyDescent="0.2">
      <c r="B876" s="19"/>
    </row>
    <row r="877" spans="2:2" ht="15.75" customHeight="1" x14ac:dyDescent="0.2">
      <c r="B877" s="19"/>
    </row>
    <row r="878" spans="2:2" ht="15.75" customHeight="1" x14ac:dyDescent="0.2">
      <c r="B878" s="19"/>
    </row>
    <row r="879" spans="2:2" ht="15.75" customHeight="1" x14ac:dyDescent="0.2">
      <c r="B879" s="19"/>
    </row>
    <row r="880" spans="2:2" ht="15.75" customHeight="1" x14ac:dyDescent="0.2">
      <c r="B880" s="19"/>
    </row>
    <row r="881" spans="2:2" ht="15.75" customHeight="1" x14ac:dyDescent="0.2">
      <c r="B881" s="19"/>
    </row>
    <row r="882" spans="2:2" ht="15.75" customHeight="1" x14ac:dyDescent="0.2">
      <c r="B882" s="19"/>
    </row>
    <row r="883" spans="2:2" ht="15.75" customHeight="1" x14ac:dyDescent="0.2">
      <c r="B883" s="19"/>
    </row>
    <row r="884" spans="2:2" ht="15.75" customHeight="1" x14ac:dyDescent="0.2">
      <c r="B884" s="19"/>
    </row>
    <row r="885" spans="2:2" ht="15.75" customHeight="1" x14ac:dyDescent="0.2">
      <c r="B885" s="19"/>
    </row>
    <row r="886" spans="2:2" ht="15.75" customHeight="1" x14ac:dyDescent="0.2">
      <c r="B886" s="19"/>
    </row>
    <row r="887" spans="2:2" ht="15.75" customHeight="1" x14ac:dyDescent="0.2">
      <c r="B887" s="19"/>
    </row>
    <row r="888" spans="2:2" ht="15.75" customHeight="1" x14ac:dyDescent="0.2">
      <c r="B888" s="19"/>
    </row>
    <row r="889" spans="2:2" ht="15.75" customHeight="1" x14ac:dyDescent="0.2">
      <c r="B889" s="19"/>
    </row>
    <row r="890" spans="2:2" ht="15.75" customHeight="1" x14ac:dyDescent="0.2">
      <c r="B890" s="19"/>
    </row>
    <row r="891" spans="2:2" ht="15.75" customHeight="1" x14ac:dyDescent="0.2">
      <c r="B891" s="19"/>
    </row>
    <row r="892" spans="2:2" ht="15.75" customHeight="1" x14ac:dyDescent="0.2">
      <c r="B892" s="19"/>
    </row>
    <row r="893" spans="2:2" ht="15.75" customHeight="1" x14ac:dyDescent="0.2">
      <c r="B893" s="19"/>
    </row>
    <row r="894" spans="2:2" ht="15.75" customHeight="1" x14ac:dyDescent="0.2">
      <c r="B894" s="19"/>
    </row>
    <row r="895" spans="2:2" ht="15.75" customHeight="1" x14ac:dyDescent="0.2">
      <c r="B895" s="19"/>
    </row>
    <row r="896" spans="2:2" ht="15.75" customHeight="1" x14ac:dyDescent="0.2">
      <c r="B896" s="19"/>
    </row>
    <row r="897" spans="2:2" ht="15.75" customHeight="1" x14ac:dyDescent="0.2">
      <c r="B897" s="19"/>
    </row>
    <row r="898" spans="2:2" ht="15.75" customHeight="1" x14ac:dyDescent="0.2">
      <c r="B898" s="19"/>
    </row>
    <row r="899" spans="2:2" ht="15.75" customHeight="1" x14ac:dyDescent="0.2">
      <c r="B899" s="19"/>
    </row>
    <row r="900" spans="2:2" ht="15.75" customHeight="1" x14ac:dyDescent="0.2">
      <c r="B900" s="19"/>
    </row>
    <row r="901" spans="2:2" ht="15.75" customHeight="1" x14ac:dyDescent="0.2">
      <c r="B901" s="19"/>
    </row>
    <row r="902" spans="2:2" ht="15.75" customHeight="1" x14ac:dyDescent="0.2">
      <c r="B902" s="19"/>
    </row>
    <row r="903" spans="2:2" ht="15.75" customHeight="1" x14ac:dyDescent="0.2">
      <c r="B903" s="19"/>
    </row>
    <row r="904" spans="2:2" ht="15.75" customHeight="1" x14ac:dyDescent="0.2">
      <c r="B904" s="19"/>
    </row>
    <row r="905" spans="2:2" ht="15.75" customHeight="1" x14ac:dyDescent="0.2">
      <c r="B905" s="19"/>
    </row>
    <row r="906" spans="2:2" ht="15.75" customHeight="1" x14ac:dyDescent="0.2">
      <c r="B906" s="19"/>
    </row>
    <row r="907" spans="2:2" ht="15.75" customHeight="1" x14ac:dyDescent="0.2">
      <c r="B907" s="19"/>
    </row>
    <row r="908" spans="2:2" ht="15.75" customHeight="1" x14ac:dyDescent="0.2">
      <c r="B908" s="19"/>
    </row>
    <row r="909" spans="2:2" ht="15.75" customHeight="1" x14ac:dyDescent="0.2">
      <c r="B909" s="19"/>
    </row>
    <row r="910" spans="2:2" ht="15.75" customHeight="1" x14ac:dyDescent="0.2">
      <c r="B910" s="19"/>
    </row>
    <row r="911" spans="2:2" ht="15.75" customHeight="1" x14ac:dyDescent="0.2">
      <c r="B911" s="19"/>
    </row>
    <row r="912" spans="2:2" ht="15.75" customHeight="1" x14ac:dyDescent="0.2">
      <c r="B912" s="19"/>
    </row>
    <row r="913" spans="2:2" ht="15.75" customHeight="1" x14ac:dyDescent="0.2">
      <c r="B913" s="19"/>
    </row>
    <row r="914" spans="2:2" ht="15.75" customHeight="1" x14ac:dyDescent="0.2">
      <c r="B914" s="19"/>
    </row>
    <row r="915" spans="2:2" ht="15.75" customHeight="1" x14ac:dyDescent="0.2">
      <c r="B915" s="19"/>
    </row>
    <row r="916" spans="2:2" ht="15.75" customHeight="1" x14ac:dyDescent="0.2">
      <c r="B916" s="19"/>
    </row>
    <row r="917" spans="2:2" ht="15.75" customHeight="1" x14ac:dyDescent="0.2">
      <c r="B917" s="19"/>
    </row>
    <row r="918" spans="2:2" ht="15.75" customHeight="1" x14ac:dyDescent="0.2">
      <c r="B918" s="19"/>
    </row>
    <row r="919" spans="2:2" ht="15.75" customHeight="1" x14ac:dyDescent="0.2">
      <c r="B919" s="19"/>
    </row>
    <row r="920" spans="2:2" ht="15.75" customHeight="1" x14ac:dyDescent="0.2">
      <c r="B920" s="19"/>
    </row>
    <row r="921" spans="2:2" ht="15.75" customHeight="1" x14ac:dyDescent="0.2">
      <c r="B921" s="19"/>
    </row>
    <row r="922" spans="2:2" ht="15.75" customHeight="1" x14ac:dyDescent="0.2">
      <c r="B922" s="19"/>
    </row>
    <row r="923" spans="2:2" ht="15.75" customHeight="1" x14ac:dyDescent="0.2">
      <c r="B923" s="19"/>
    </row>
    <row r="924" spans="2:2" ht="15.75" customHeight="1" x14ac:dyDescent="0.2">
      <c r="B924" s="19"/>
    </row>
    <row r="925" spans="2:2" ht="15.75" customHeight="1" x14ac:dyDescent="0.2">
      <c r="B925" s="19"/>
    </row>
    <row r="926" spans="2:2" ht="15.75" customHeight="1" x14ac:dyDescent="0.2">
      <c r="B926" s="19"/>
    </row>
    <row r="927" spans="2:2" ht="15.75" customHeight="1" x14ac:dyDescent="0.2">
      <c r="B927" s="19"/>
    </row>
    <row r="928" spans="2:2" ht="15.75" customHeight="1" x14ac:dyDescent="0.2">
      <c r="B928" s="19"/>
    </row>
    <row r="929" spans="2:2" ht="15.75" customHeight="1" x14ac:dyDescent="0.2">
      <c r="B929" s="19"/>
    </row>
    <row r="930" spans="2:2" ht="15.75" customHeight="1" x14ac:dyDescent="0.2">
      <c r="B930" s="19"/>
    </row>
    <row r="931" spans="2:2" ht="15.75" customHeight="1" x14ac:dyDescent="0.2">
      <c r="B931" s="19"/>
    </row>
    <row r="932" spans="2:2" ht="15.75" customHeight="1" x14ac:dyDescent="0.2">
      <c r="B932" s="19"/>
    </row>
    <row r="933" spans="2:2" ht="15.75" customHeight="1" x14ac:dyDescent="0.2">
      <c r="B933" s="19"/>
    </row>
    <row r="934" spans="2:2" ht="15.75" customHeight="1" x14ac:dyDescent="0.2">
      <c r="B934" s="19"/>
    </row>
    <row r="935" spans="2:2" ht="15.75" customHeight="1" x14ac:dyDescent="0.2">
      <c r="B935" s="19"/>
    </row>
    <row r="936" spans="2:2" ht="15.75" customHeight="1" x14ac:dyDescent="0.2">
      <c r="B936" s="19"/>
    </row>
    <row r="937" spans="2:2" ht="15.75" customHeight="1" x14ac:dyDescent="0.2">
      <c r="B937" s="19"/>
    </row>
    <row r="938" spans="2:2" ht="15.75" customHeight="1" x14ac:dyDescent="0.2">
      <c r="B938" s="19"/>
    </row>
    <row r="939" spans="2:2" ht="15.75" customHeight="1" x14ac:dyDescent="0.2">
      <c r="B939" s="19"/>
    </row>
    <row r="940" spans="2:2" ht="15.75" customHeight="1" x14ac:dyDescent="0.2">
      <c r="B940" s="19"/>
    </row>
    <row r="941" spans="2:2" ht="15.75" customHeight="1" x14ac:dyDescent="0.2">
      <c r="B941" s="19"/>
    </row>
    <row r="942" spans="2:2" ht="15.75" customHeight="1" x14ac:dyDescent="0.2">
      <c r="B942" s="19"/>
    </row>
    <row r="943" spans="2:2" ht="15.75" customHeight="1" x14ac:dyDescent="0.2">
      <c r="B943" s="19"/>
    </row>
    <row r="944" spans="2:2" ht="15.75" customHeight="1" x14ac:dyDescent="0.2">
      <c r="B944" s="19"/>
    </row>
    <row r="945" spans="2:2" ht="15.75" customHeight="1" x14ac:dyDescent="0.2">
      <c r="B945" s="19"/>
    </row>
    <row r="946" spans="2:2" ht="15.75" customHeight="1" x14ac:dyDescent="0.2">
      <c r="B946" s="19"/>
    </row>
    <row r="947" spans="2:2" ht="15.75" customHeight="1" x14ac:dyDescent="0.2">
      <c r="B947" s="19"/>
    </row>
    <row r="948" spans="2:2" ht="15.75" customHeight="1" x14ac:dyDescent="0.2">
      <c r="B948" s="19"/>
    </row>
    <row r="949" spans="2:2" ht="15.75" customHeight="1" x14ac:dyDescent="0.2">
      <c r="B949" s="19"/>
    </row>
    <row r="950" spans="2:2" ht="15.75" customHeight="1" x14ac:dyDescent="0.2">
      <c r="B950" s="19"/>
    </row>
    <row r="951" spans="2:2" ht="15.75" customHeight="1" x14ac:dyDescent="0.2">
      <c r="B951" s="19"/>
    </row>
    <row r="952" spans="2:2" ht="15.75" customHeight="1" x14ac:dyDescent="0.2">
      <c r="B952" s="19"/>
    </row>
    <row r="953" spans="2:2" ht="15.75" customHeight="1" x14ac:dyDescent="0.2">
      <c r="B953" s="19"/>
    </row>
    <row r="954" spans="2:2" ht="15.75" customHeight="1" x14ac:dyDescent="0.2">
      <c r="B954" s="19"/>
    </row>
    <row r="955" spans="2:2" ht="15.75" customHeight="1" x14ac:dyDescent="0.2">
      <c r="B955" s="19"/>
    </row>
    <row r="956" spans="2:2" ht="15.75" customHeight="1" x14ac:dyDescent="0.2">
      <c r="B956" s="19"/>
    </row>
    <row r="957" spans="2:2" ht="15.75" customHeight="1" x14ac:dyDescent="0.2">
      <c r="B957" s="19"/>
    </row>
    <row r="958" spans="2:2" ht="15.75" customHeight="1" x14ac:dyDescent="0.2">
      <c r="B958" s="19"/>
    </row>
    <row r="959" spans="2:2" ht="15.75" customHeight="1" x14ac:dyDescent="0.2">
      <c r="B959" s="19"/>
    </row>
    <row r="960" spans="2:2" ht="15.75" customHeight="1" x14ac:dyDescent="0.2">
      <c r="B960" s="19"/>
    </row>
    <row r="961" spans="2:2" ht="15.75" customHeight="1" x14ac:dyDescent="0.2">
      <c r="B961" s="19"/>
    </row>
    <row r="962" spans="2:2" ht="15.75" customHeight="1" x14ac:dyDescent="0.2">
      <c r="B962" s="19"/>
    </row>
    <row r="963" spans="2:2" ht="15.75" customHeight="1" x14ac:dyDescent="0.2">
      <c r="B963" s="19"/>
    </row>
    <row r="964" spans="2:2" ht="15.75" customHeight="1" x14ac:dyDescent="0.2">
      <c r="B964" s="19"/>
    </row>
    <row r="965" spans="2:2" ht="15.75" customHeight="1" x14ac:dyDescent="0.2">
      <c r="B965" s="19"/>
    </row>
    <row r="966" spans="2:2" ht="15.75" customHeight="1" x14ac:dyDescent="0.2">
      <c r="B966" s="19"/>
    </row>
    <row r="967" spans="2:2" ht="15.75" customHeight="1" x14ac:dyDescent="0.2">
      <c r="B967" s="19"/>
    </row>
    <row r="968" spans="2:2" ht="15.75" customHeight="1" x14ac:dyDescent="0.2">
      <c r="B968" s="19"/>
    </row>
    <row r="969" spans="2:2" ht="15.75" customHeight="1" x14ac:dyDescent="0.2">
      <c r="B969" s="19"/>
    </row>
    <row r="970" spans="2:2" ht="15.75" customHeight="1" x14ac:dyDescent="0.2">
      <c r="B970" s="19"/>
    </row>
    <row r="971" spans="2:2" ht="15.75" customHeight="1" x14ac:dyDescent="0.2">
      <c r="B971" s="19"/>
    </row>
    <row r="972" spans="2:2" ht="15.75" customHeight="1" x14ac:dyDescent="0.2">
      <c r="B972" s="19"/>
    </row>
    <row r="973" spans="2:2" ht="15.75" customHeight="1" x14ac:dyDescent="0.2">
      <c r="B973" s="19"/>
    </row>
    <row r="974" spans="2:2" ht="15.75" customHeight="1" x14ac:dyDescent="0.2">
      <c r="B974" s="19"/>
    </row>
    <row r="975" spans="2:2" ht="15.75" customHeight="1" x14ac:dyDescent="0.2">
      <c r="B975" s="19"/>
    </row>
    <row r="976" spans="2:2" ht="15.75" customHeight="1" x14ac:dyDescent="0.2">
      <c r="B976" s="19"/>
    </row>
    <row r="977" spans="2:2" ht="15.75" customHeight="1" x14ac:dyDescent="0.2">
      <c r="B977" s="19"/>
    </row>
    <row r="978" spans="2:2" ht="15.75" customHeight="1" x14ac:dyDescent="0.2">
      <c r="B978" s="19"/>
    </row>
    <row r="979" spans="2:2" ht="15.75" customHeight="1" x14ac:dyDescent="0.2">
      <c r="B979" s="19"/>
    </row>
    <row r="980" spans="2:2" ht="15.75" customHeight="1" x14ac:dyDescent="0.2">
      <c r="B980" s="19"/>
    </row>
    <row r="981" spans="2:2" ht="15.75" customHeight="1" x14ac:dyDescent="0.2">
      <c r="B981" s="19"/>
    </row>
    <row r="982" spans="2:2" ht="15.75" customHeight="1" x14ac:dyDescent="0.2">
      <c r="B982" s="19"/>
    </row>
    <row r="983" spans="2:2" ht="15.75" customHeight="1" x14ac:dyDescent="0.2">
      <c r="B983" s="19"/>
    </row>
    <row r="984" spans="2:2" ht="15.75" customHeight="1" x14ac:dyDescent="0.2">
      <c r="B984" s="19"/>
    </row>
    <row r="985" spans="2:2" ht="15.75" customHeight="1" x14ac:dyDescent="0.2">
      <c r="B985" s="19"/>
    </row>
    <row r="986" spans="2:2" ht="15.75" customHeight="1" x14ac:dyDescent="0.2">
      <c r="B986" s="19"/>
    </row>
    <row r="987" spans="2:2" ht="15.75" customHeight="1" x14ac:dyDescent="0.2">
      <c r="B987" s="19"/>
    </row>
    <row r="988" spans="2:2" ht="15.75" customHeight="1" x14ac:dyDescent="0.2">
      <c r="B988" s="19"/>
    </row>
    <row r="989" spans="2:2" ht="15.75" customHeight="1" x14ac:dyDescent="0.2">
      <c r="B989" s="19"/>
    </row>
    <row r="990" spans="2:2" ht="15.75" customHeight="1" x14ac:dyDescent="0.2">
      <c r="B990" s="19"/>
    </row>
    <row r="991" spans="2:2" ht="15.75" customHeight="1" x14ac:dyDescent="0.2">
      <c r="B991" s="19"/>
    </row>
    <row r="992" spans="2:2" ht="15.75" customHeight="1" x14ac:dyDescent="0.2">
      <c r="B992" s="19"/>
    </row>
    <row r="993" spans="2:2" ht="15.75" customHeight="1" x14ac:dyDescent="0.2">
      <c r="B993" s="19"/>
    </row>
    <row r="994" spans="2:2" ht="15.75" customHeight="1" x14ac:dyDescent="0.2">
      <c r="B994" s="19"/>
    </row>
    <row r="995" spans="2:2" ht="15.75" customHeight="1" x14ac:dyDescent="0.2">
      <c r="B995" s="19"/>
    </row>
    <row r="996" spans="2:2" ht="15.75" customHeight="1" x14ac:dyDescent="0.2">
      <c r="B996" s="19"/>
    </row>
    <row r="997" spans="2:2" ht="15.75" customHeight="1" x14ac:dyDescent="0.2">
      <c r="B997" s="19"/>
    </row>
    <row r="998" spans="2:2" ht="15.75" customHeight="1" x14ac:dyDescent="0.2">
      <c r="B998" s="19"/>
    </row>
    <row r="999" spans="2:2" ht="15.75" customHeight="1" x14ac:dyDescent="0.2">
      <c r="B999" s="19"/>
    </row>
    <row r="1000" spans="2:2" ht="15.75" customHeight="1" x14ac:dyDescent="0.2">
      <c r="B1000" s="19"/>
    </row>
  </sheetData>
  <mergeCells count="9">
    <mergeCell ref="A56:D56"/>
    <mergeCell ref="A63:D63"/>
    <mergeCell ref="A1:D1"/>
    <mergeCell ref="A2:D2"/>
    <mergeCell ref="A4:D4"/>
    <mergeCell ref="A21:D21"/>
    <mergeCell ref="A36:D36"/>
    <mergeCell ref="A47:D47"/>
    <mergeCell ref="A49:D49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000"/>
  <sheetViews>
    <sheetView showGridLines="0" workbookViewId="0">
      <selection sqref="A1:G1"/>
    </sheetView>
  </sheetViews>
  <sheetFormatPr baseColWidth="10" defaultColWidth="14.5" defaultRowHeight="15" customHeight="1" x14ac:dyDescent="0.2"/>
  <cols>
    <col min="1" max="1" width="5" customWidth="1"/>
    <col min="2" max="2" width="8" customWidth="1"/>
    <col min="3" max="3" width="55" customWidth="1"/>
    <col min="4" max="4" width="18" customWidth="1"/>
    <col min="5" max="5" width="30" customWidth="1"/>
    <col min="6" max="6" width="15" customWidth="1"/>
    <col min="7" max="7" width="73.1640625" customWidth="1"/>
    <col min="8" max="26" width="8.83203125" customWidth="1"/>
  </cols>
  <sheetData>
    <row r="1" spans="1:7" ht="30" customHeight="1" x14ac:dyDescent="0.2">
      <c r="A1" s="211" t="s">
        <v>173</v>
      </c>
      <c r="B1" s="207"/>
      <c r="C1" s="207"/>
      <c r="D1" s="207"/>
      <c r="E1" s="207"/>
      <c r="F1" s="207"/>
      <c r="G1" s="207"/>
    </row>
    <row r="2" spans="1:7" x14ac:dyDescent="0.2">
      <c r="A2" s="212" t="s">
        <v>174</v>
      </c>
      <c r="B2" s="207"/>
      <c r="C2" s="207"/>
      <c r="D2" s="207"/>
      <c r="E2" s="207"/>
      <c r="F2" s="207"/>
      <c r="G2" s="207"/>
    </row>
    <row r="4" spans="1:7" ht="24.75" customHeight="1" x14ac:dyDescent="0.2">
      <c r="A4" s="213" t="s">
        <v>175</v>
      </c>
      <c r="B4" s="200"/>
      <c r="C4" s="200"/>
      <c r="D4" s="200"/>
      <c r="E4" s="200"/>
      <c r="F4" s="200"/>
      <c r="G4" s="201"/>
    </row>
    <row r="5" spans="1:7" ht="21.75" customHeight="1" x14ac:dyDescent="0.2">
      <c r="A5" s="27" t="s">
        <v>2</v>
      </c>
      <c r="B5" s="27" t="s">
        <v>176</v>
      </c>
      <c r="C5" s="27" t="s">
        <v>177</v>
      </c>
      <c r="D5" s="27" t="s">
        <v>104</v>
      </c>
      <c r="E5" s="27" t="s">
        <v>178</v>
      </c>
      <c r="F5" s="27" t="s">
        <v>179</v>
      </c>
      <c r="G5" s="27" t="s">
        <v>180</v>
      </c>
    </row>
    <row r="6" spans="1:7" ht="34.5" customHeight="1" x14ac:dyDescent="0.2">
      <c r="A6" s="28">
        <v>1</v>
      </c>
      <c r="B6" s="29" t="s">
        <v>181</v>
      </c>
      <c r="C6" s="28" t="s">
        <v>182</v>
      </c>
      <c r="D6" s="28" t="s">
        <v>183</v>
      </c>
      <c r="E6" s="28" t="s">
        <v>184</v>
      </c>
      <c r="F6" s="28" t="s">
        <v>185</v>
      </c>
      <c r="G6" s="28" t="s">
        <v>186</v>
      </c>
    </row>
    <row r="7" spans="1:7" ht="34.5" customHeight="1" x14ac:dyDescent="0.2">
      <c r="A7" s="28">
        <v>2</v>
      </c>
      <c r="B7" s="29" t="s">
        <v>181</v>
      </c>
      <c r="C7" s="28" t="s">
        <v>187</v>
      </c>
      <c r="D7" s="28" t="s">
        <v>188</v>
      </c>
      <c r="E7" s="28" t="s">
        <v>189</v>
      </c>
      <c r="F7" s="28" t="s">
        <v>185</v>
      </c>
      <c r="G7" s="28" t="s">
        <v>190</v>
      </c>
    </row>
    <row r="8" spans="1:7" ht="34.5" customHeight="1" x14ac:dyDescent="0.2">
      <c r="A8" s="28">
        <v>3</v>
      </c>
      <c r="B8" s="29" t="s">
        <v>181</v>
      </c>
      <c r="C8" s="28" t="s">
        <v>191</v>
      </c>
      <c r="D8" s="28" t="s">
        <v>192</v>
      </c>
      <c r="E8" s="28" t="s">
        <v>193</v>
      </c>
      <c r="F8" s="28" t="s">
        <v>185</v>
      </c>
      <c r="G8" s="28" t="s">
        <v>194</v>
      </c>
    </row>
    <row r="9" spans="1:7" ht="34.5" customHeight="1" x14ac:dyDescent="0.2">
      <c r="A9" s="28">
        <v>4</v>
      </c>
      <c r="B9" s="29" t="s">
        <v>181</v>
      </c>
      <c r="C9" s="28" t="s">
        <v>195</v>
      </c>
      <c r="D9" s="28" t="s">
        <v>192</v>
      </c>
      <c r="E9" s="28" t="s">
        <v>184</v>
      </c>
      <c r="F9" s="28" t="s">
        <v>196</v>
      </c>
      <c r="G9" s="28" t="s">
        <v>72</v>
      </c>
    </row>
    <row r="10" spans="1:7" ht="34.5" customHeight="1" x14ac:dyDescent="0.2">
      <c r="A10" s="28">
        <v>5</v>
      </c>
      <c r="B10" s="29" t="s">
        <v>181</v>
      </c>
      <c r="C10" s="28" t="s">
        <v>197</v>
      </c>
      <c r="D10" s="28" t="s">
        <v>183</v>
      </c>
      <c r="E10" s="28" t="s">
        <v>184</v>
      </c>
      <c r="F10" s="28" t="s">
        <v>196</v>
      </c>
      <c r="G10" s="28" t="s">
        <v>72</v>
      </c>
    </row>
    <row r="11" spans="1:7" ht="34.5" customHeight="1" x14ac:dyDescent="0.2">
      <c r="A11" s="30">
        <v>6</v>
      </c>
      <c r="B11" s="31" t="s">
        <v>198</v>
      </c>
      <c r="C11" s="30" t="s">
        <v>199</v>
      </c>
      <c r="D11" s="28" t="s">
        <v>192</v>
      </c>
      <c r="E11" s="30" t="s">
        <v>200</v>
      </c>
      <c r="F11" s="30" t="s">
        <v>196</v>
      </c>
      <c r="G11" s="30" t="s">
        <v>201</v>
      </c>
    </row>
    <row r="12" spans="1:7" ht="34.5" customHeight="1" x14ac:dyDescent="0.2">
      <c r="A12" s="30">
        <v>7</v>
      </c>
      <c r="B12" s="31" t="s">
        <v>198</v>
      </c>
      <c r="C12" s="30" t="s">
        <v>202</v>
      </c>
      <c r="D12" s="28" t="s">
        <v>183</v>
      </c>
      <c r="E12" s="30" t="s">
        <v>184</v>
      </c>
      <c r="F12" s="30" t="s">
        <v>196</v>
      </c>
      <c r="G12" s="30" t="s">
        <v>72</v>
      </c>
    </row>
    <row r="13" spans="1:7" ht="34.5" customHeight="1" x14ac:dyDescent="0.2">
      <c r="A13" s="30">
        <v>8</v>
      </c>
      <c r="B13" s="31" t="s">
        <v>198</v>
      </c>
      <c r="C13" s="30" t="s">
        <v>203</v>
      </c>
      <c r="D13" s="28" t="s">
        <v>183</v>
      </c>
      <c r="E13" s="30" t="s">
        <v>204</v>
      </c>
      <c r="F13" s="30" t="s">
        <v>196</v>
      </c>
      <c r="G13" s="30" t="s">
        <v>205</v>
      </c>
    </row>
    <row r="14" spans="1:7" ht="34.5" customHeight="1" x14ac:dyDescent="0.2">
      <c r="A14" s="30">
        <v>9</v>
      </c>
      <c r="B14" s="31" t="s">
        <v>198</v>
      </c>
      <c r="C14" s="30" t="s">
        <v>206</v>
      </c>
      <c r="D14" s="28" t="s">
        <v>192</v>
      </c>
      <c r="E14" s="30" t="s">
        <v>184</v>
      </c>
      <c r="F14" s="30" t="s">
        <v>196</v>
      </c>
      <c r="G14" s="30" t="s">
        <v>72</v>
      </c>
    </row>
    <row r="15" spans="1:7" ht="34.5" customHeight="1" x14ac:dyDescent="0.2">
      <c r="A15" s="28">
        <v>10</v>
      </c>
      <c r="B15" s="29" t="s">
        <v>181</v>
      </c>
      <c r="C15" s="28" t="s">
        <v>207</v>
      </c>
      <c r="D15" s="28" t="s">
        <v>183</v>
      </c>
      <c r="E15" s="28" t="s">
        <v>208</v>
      </c>
      <c r="F15" s="28" t="s">
        <v>209</v>
      </c>
      <c r="G15" s="28" t="s">
        <v>210</v>
      </c>
    </row>
    <row r="16" spans="1:7" ht="34.5" customHeight="1" x14ac:dyDescent="0.2">
      <c r="A16" s="28">
        <v>11</v>
      </c>
      <c r="B16" s="29" t="s">
        <v>181</v>
      </c>
      <c r="C16" s="28" t="s">
        <v>211</v>
      </c>
      <c r="D16" s="28" t="s">
        <v>188</v>
      </c>
      <c r="E16" s="28" t="s">
        <v>212</v>
      </c>
      <c r="F16" s="28" t="s">
        <v>213</v>
      </c>
      <c r="G16" s="28" t="s">
        <v>72</v>
      </c>
    </row>
    <row r="18" spans="1:7" ht="24.75" customHeight="1" x14ac:dyDescent="0.2">
      <c r="A18" s="213" t="s">
        <v>214</v>
      </c>
      <c r="B18" s="200"/>
      <c r="C18" s="200"/>
      <c r="D18" s="200"/>
      <c r="E18" s="200"/>
      <c r="F18" s="200"/>
      <c r="G18" s="201"/>
    </row>
    <row r="19" spans="1:7" ht="21.75" customHeight="1" x14ac:dyDescent="0.2">
      <c r="A19" s="27" t="s">
        <v>2</v>
      </c>
      <c r="B19" s="27" t="s">
        <v>176</v>
      </c>
      <c r="C19" s="27" t="s">
        <v>177</v>
      </c>
      <c r="D19" s="27" t="s">
        <v>104</v>
      </c>
      <c r="E19" s="27" t="s">
        <v>178</v>
      </c>
      <c r="F19" s="27" t="s">
        <v>179</v>
      </c>
      <c r="G19" s="27" t="s">
        <v>180</v>
      </c>
    </row>
    <row r="20" spans="1:7" ht="91.5" customHeight="1" x14ac:dyDescent="0.2">
      <c r="A20" s="28">
        <v>12</v>
      </c>
      <c r="B20" s="29" t="s">
        <v>181</v>
      </c>
      <c r="C20" s="28" t="s">
        <v>215</v>
      </c>
      <c r="D20" s="28" t="s">
        <v>188</v>
      </c>
      <c r="E20" s="28" t="s">
        <v>216</v>
      </c>
      <c r="F20" s="28" t="s">
        <v>217</v>
      </c>
      <c r="G20" s="28" t="s">
        <v>218</v>
      </c>
    </row>
    <row r="21" spans="1:7" ht="34.5" customHeight="1" x14ac:dyDescent="0.2">
      <c r="A21" s="30">
        <v>13</v>
      </c>
      <c r="B21" s="31" t="s">
        <v>198</v>
      </c>
      <c r="C21" s="30" t="s">
        <v>219</v>
      </c>
      <c r="D21" s="30" t="s">
        <v>188</v>
      </c>
      <c r="E21" s="30" t="s">
        <v>216</v>
      </c>
      <c r="F21" s="30" t="s">
        <v>220</v>
      </c>
      <c r="G21" s="30" t="s">
        <v>72</v>
      </c>
    </row>
    <row r="22" spans="1:7" ht="15.75" customHeight="1" x14ac:dyDescent="0.2"/>
    <row r="23" spans="1:7" ht="24.75" customHeight="1" x14ac:dyDescent="0.2">
      <c r="A23" s="213" t="s">
        <v>221</v>
      </c>
      <c r="B23" s="200"/>
      <c r="C23" s="200"/>
      <c r="D23" s="200"/>
      <c r="E23" s="200"/>
      <c r="F23" s="200"/>
      <c r="G23" s="201"/>
    </row>
    <row r="24" spans="1:7" ht="15.75" customHeight="1" x14ac:dyDescent="0.2"/>
    <row r="25" spans="1:7" ht="15.75" customHeight="1" x14ac:dyDescent="0.2">
      <c r="A25" s="214" t="s">
        <v>222</v>
      </c>
      <c r="B25" s="200"/>
      <c r="C25" s="200"/>
      <c r="D25" s="200"/>
      <c r="E25" s="200"/>
      <c r="F25" s="200"/>
      <c r="G25" s="201"/>
    </row>
    <row r="26" spans="1:7" ht="15.75" customHeight="1" x14ac:dyDescent="0.2">
      <c r="A26" s="27" t="s">
        <v>2</v>
      </c>
      <c r="B26" s="27"/>
      <c r="C26" s="27" t="s">
        <v>223</v>
      </c>
      <c r="D26" s="27" t="s">
        <v>104</v>
      </c>
      <c r="E26" s="27" t="s">
        <v>224</v>
      </c>
      <c r="F26" s="27" t="s">
        <v>225</v>
      </c>
      <c r="G26" s="27" t="s">
        <v>226</v>
      </c>
    </row>
    <row r="27" spans="1:7" ht="30" customHeight="1" x14ac:dyDescent="0.2">
      <c r="A27" s="32" t="s">
        <v>227</v>
      </c>
      <c r="C27" s="30" t="s">
        <v>228</v>
      </c>
      <c r="D27" s="30" t="s">
        <v>229</v>
      </c>
      <c r="E27" s="22"/>
      <c r="F27" s="33" t="s">
        <v>72</v>
      </c>
      <c r="G27" s="34" t="s">
        <v>230</v>
      </c>
    </row>
    <row r="28" spans="1:7" ht="30" customHeight="1" x14ac:dyDescent="0.2">
      <c r="A28" s="32" t="s">
        <v>231</v>
      </c>
      <c r="C28" s="30" t="s">
        <v>232</v>
      </c>
      <c r="D28" s="30" t="s">
        <v>229</v>
      </c>
      <c r="E28" s="22"/>
      <c r="F28" s="33" t="s">
        <v>72</v>
      </c>
      <c r="G28" s="34" t="s">
        <v>233</v>
      </c>
    </row>
    <row r="29" spans="1:7" ht="30" customHeight="1" x14ac:dyDescent="0.2">
      <c r="A29" s="32" t="s">
        <v>234</v>
      </c>
      <c r="C29" s="30" t="s">
        <v>235</v>
      </c>
      <c r="D29" s="30" t="s">
        <v>229</v>
      </c>
      <c r="E29" s="22"/>
      <c r="F29" s="33" t="s">
        <v>72</v>
      </c>
      <c r="G29" s="34" t="s">
        <v>236</v>
      </c>
    </row>
    <row r="30" spans="1:7" ht="30" customHeight="1" x14ac:dyDescent="0.2">
      <c r="A30" s="32" t="s">
        <v>237</v>
      </c>
      <c r="C30" s="30" t="s">
        <v>20</v>
      </c>
      <c r="D30" s="30" t="s">
        <v>238</v>
      </c>
      <c r="E30" s="22"/>
      <c r="F30" s="33" t="s">
        <v>72</v>
      </c>
      <c r="G30" s="34" t="s">
        <v>239</v>
      </c>
    </row>
    <row r="31" spans="1:7" ht="30" customHeight="1" x14ac:dyDescent="0.2">
      <c r="A31" s="32" t="s">
        <v>240</v>
      </c>
      <c r="C31" s="30" t="s">
        <v>24</v>
      </c>
      <c r="D31" s="30" t="s">
        <v>188</v>
      </c>
      <c r="E31" s="22"/>
      <c r="F31" s="33" t="s">
        <v>72</v>
      </c>
      <c r="G31" s="34" t="s">
        <v>241</v>
      </c>
    </row>
    <row r="32" spans="1:7" ht="30" customHeight="1" x14ac:dyDescent="0.2">
      <c r="A32" s="32" t="s">
        <v>242</v>
      </c>
      <c r="C32" s="30" t="s">
        <v>28</v>
      </c>
      <c r="D32" s="30" t="s">
        <v>188</v>
      </c>
      <c r="E32" s="22"/>
      <c r="F32" s="33" t="s">
        <v>72</v>
      </c>
      <c r="G32" s="34" t="s">
        <v>243</v>
      </c>
    </row>
    <row r="33" spans="1:7" ht="30" customHeight="1" x14ac:dyDescent="0.2">
      <c r="A33" s="32" t="s">
        <v>244</v>
      </c>
      <c r="C33" s="30" t="s">
        <v>32</v>
      </c>
      <c r="D33" s="30" t="s">
        <v>188</v>
      </c>
      <c r="E33" s="22"/>
      <c r="F33" s="33" t="s">
        <v>72</v>
      </c>
      <c r="G33" s="34"/>
    </row>
    <row r="34" spans="1:7" ht="30" customHeight="1" x14ac:dyDescent="0.2">
      <c r="A34" s="32" t="s">
        <v>245</v>
      </c>
      <c r="C34" s="30" t="s">
        <v>246</v>
      </c>
      <c r="D34" s="30" t="s">
        <v>188</v>
      </c>
      <c r="E34" s="22"/>
      <c r="F34" s="33" t="s">
        <v>72</v>
      </c>
      <c r="G34" s="34" t="s">
        <v>247</v>
      </c>
    </row>
    <row r="35" spans="1:7" ht="30" customHeight="1" x14ac:dyDescent="0.2">
      <c r="A35" s="32" t="s">
        <v>248</v>
      </c>
      <c r="C35" s="30" t="s">
        <v>40</v>
      </c>
      <c r="D35" s="30" t="s">
        <v>229</v>
      </c>
      <c r="E35" s="22"/>
      <c r="F35" s="33" t="s">
        <v>72</v>
      </c>
      <c r="G35" s="34"/>
    </row>
    <row r="36" spans="1:7" ht="30" customHeight="1" x14ac:dyDescent="0.2">
      <c r="A36" s="32" t="s">
        <v>249</v>
      </c>
      <c r="C36" s="30" t="s">
        <v>44</v>
      </c>
      <c r="D36" s="30" t="s">
        <v>250</v>
      </c>
      <c r="E36" s="22"/>
      <c r="F36" s="33" t="s">
        <v>72</v>
      </c>
      <c r="G36" s="34"/>
    </row>
    <row r="37" spans="1:7" ht="30" customHeight="1" x14ac:dyDescent="0.2">
      <c r="A37" s="32" t="s">
        <v>251</v>
      </c>
      <c r="C37" s="30" t="s">
        <v>252</v>
      </c>
      <c r="D37" s="30" t="s">
        <v>188</v>
      </c>
      <c r="E37" s="22"/>
      <c r="F37" s="33" t="s">
        <v>72</v>
      </c>
      <c r="G37" s="34" t="s">
        <v>253</v>
      </c>
    </row>
    <row r="38" spans="1:7" ht="30" customHeight="1" x14ac:dyDescent="0.2">
      <c r="A38" s="32" t="s">
        <v>254</v>
      </c>
      <c r="C38" s="30" t="s">
        <v>52</v>
      </c>
      <c r="D38" s="30" t="s">
        <v>250</v>
      </c>
      <c r="E38" s="22"/>
      <c r="F38" s="33" t="s">
        <v>72</v>
      </c>
      <c r="G38" s="34"/>
    </row>
    <row r="39" spans="1:7" ht="30" customHeight="1" x14ac:dyDescent="0.2">
      <c r="A39" s="32" t="s">
        <v>255</v>
      </c>
      <c r="C39" s="30" t="s">
        <v>256</v>
      </c>
      <c r="D39" s="30" t="s">
        <v>229</v>
      </c>
      <c r="E39" s="22"/>
      <c r="F39" s="33" t="s">
        <v>72</v>
      </c>
      <c r="G39" s="34" t="s">
        <v>257</v>
      </c>
    </row>
    <row r="40" spans="1:7" ht="30" customHeight="1" x14ac:dyDescent="0.2">
      <c r="A40" s="32" t="s">
        <v>258</v>
      </c>
      <c r="C40" s="30" t="s">
        <v>259</v>
      </c>
      <c r="D40" s="30" t="s">
        <v>250</v>
      </c>
      <c r="E40" s="22"/>
      <c r="F40" s="33" t="s">
        <v>72</v>
      </c>
      <c r="G40" s="34" t="s">
        <v>260</v>
      </c>
    </row>
    <row r="41" spans="1:7" ht="30" customHeight="1" x14ac:dyDescent="0.2">
      <c r="A41" s="32" t="s">
        <v>261</v>
      </c>
      <c r="C41" s="30" t="s">
        <v>64</v>
      </c>
      <c r="D41" s="30" t="s">
        <v>250</v>
      </c>
      <c r="E41" s="22"/>
      <c r="F41" s="33" t="s">
        <v>72</v>
      </c>
      <c r="G41" s="34" t="s">
        <v>262</v>
      </c>
    </row>
    <row r="42" spans="1:7" ht="15.75" customHeight="1" x14ac:dyDescent="0.2"/>
    <row r="43" spans="1:7" ht="15.75" customHeight="1" x14ac:dyDescent="0.2">
      <c r="A43" s="214" t="s">
        <v>263</v>
      </c>
      <c r="B43" s="200"/>
      <c r="C43" s="200"/>
      <c r="D43" s="200"/>
      <c r="E43" s="200"/>
      <c r="F43" s="200"/>
      <c r="G43" s="201"/>
    </row>
    <row r="44" spans="1:7" ht="15.75" customHeight="1" x14ac:dyDescent="0.2">
      <c r="A44" s="27" t="s">
        <v>2</v>
      </c>
      <c r="B44" s="27"/>
      <c r="C44" s="27" t="s">
        <v>264</v>
      </c>
      <c r="D44" s="27" t="s">
        <v>104</v>
      </c>
      <c r="E44" s="27" t="s">
        <v>265</v>
      </c>
      <c r="F44" s="27" t="s">
        <v>225</v>
      </c>
      <c r="G44" s="27" t="s">
        <v>266</v>
      </c>
    </row>
    <row r="45" spans="1:7" ht="30" customHeight="1" x14ac:dyDescent="0.2">
      <c r="A45" s="32" t="s">
        <v>267</v>
      </c>
      <c r="C45" s="30" t="s">
        <v>67</v>
      </c>
      <c r="D45" s="30" t="s">
        <v>188</v>
      </c>
      <c r="E45" s="22"/>
      <c r="F45" s="33" t="s">
        <v>72</v>
      </c>
      <c r="G45" s="34" t="s">
        <v>268</v>
      </c>
    </row>
    <row r="46" spans="1:7" ht="30" customHeight="1" x14ac:dyDescent="0.2">
      <c r="A46" s="32" t="s">
        <v>269</v>
      </c>
      <c r="C46" s="30" t="s">
        <v>70</v>
      </c>
      <c r="D46" s="30" t="s">
        <v>188</v>
      </c>
      <c r="E46" s="22"/>
      <c r="F46" s="33" t="s">
        <v>72</v>
      </c>
      <c r="G46" s="34"/>
    </row>
    <row r="47" spans="1:7" ht="30" customHeight="1" x14ac:dyDescent="0.2">
      <c r="A47" s="32" t="s">
        <v>270</v>
      </c>
      <c r="C47" s="30" t="s">
        <v>73</v>
      </c>
      <c r="D47" s="30" t="s">
        <v>188</v>
      </c>
      <c r="E47" s="22"/>
      <c r="F47" s="33" t="s">
        <v>72</v>
      </c>
      <c r="G47" s="34" t="s">
        <v>271</v>
      </c>
    </row>
    <row r="48" spans="1:7" ht="30" customHeight="1" x14ac:dyDescent="0.2">
      <c r="A48" s="32" t="s">
        <v>272</v>
      </c>
      <c r="C48" s="30" t="s">
        <v>75</v>
      </c>
      <c r="D48" s="30" t="s">
        <v>188</v>
      </c>
      <c r="E48" s="22"/>
      <c r="F48" s="33" t="s">
        <v>72</v>
      </c>
      <c r="G48" s="34" t="s">
        <v>273</v>
      </c>
    </row>
    <row r="49" spans="1:7" ht="30" customHeight="1" x14ac:dyDescent="0.2">
      <c r="A49" s="32" t="s">
        <v>274</v>
      </c>
      <c r="C49" s="30" t="s">
        <v>77</v>
      </c>
      <c r="D49" s="30" t="s">
        <v>188</v>
      </c>
      <c r="E49" s="22"/>
      <c r="F49" s="33" t="s">
        <v>72</v>
      </c>
      <c r="G49" s="34" t="s">
        <v>275</v>
      </c>
    </row>
    <row r="50" spans="1:7" ht="30" customHeight="1" x14ac:dyDescent="0.2">
      <c r="A50" s="32" t="s">
        <v>276</v>
      </c>
      <c r="C50" s="30" t="s">
        <v>79</v>
      </c>
      <c r="D50" s="30" t="s">
        <v>188</v>
      </c>
      <c r="E50" s="22"/>
      <c r="F50" s="33" t="s">
        <v>72</v>
      </c>
      <c r="G50" s="34" t="s">
        <v>277</v>
      </c>
    </row>
    <row r="51" spans="1:7" ht="30" customHeight="1" x14ac:dyDescent="0.2">
      <c r="A51" s="32" t="s">
        <v>278</v>
      </c>
      <c r="C51" s="30" t="s">
        <v>82</v>
      </c>
      <c r="D51" s="30" t="s">
        <v>188</v>
      </c>
      <c r="E51" s="22"/>
      <c r="F51" s="33" t="s">
        <v>72</v>
      </c>
      <c r="G51" s="34"/>
    </row>
    <row r="52" spans="1:7" ht="30" customHeight="1" x14ac:dyDescent="0.2">
      <c r="A52" s="32" t="s">
        <v>279</v>
      </c>
      <c r="C52" s="30" t="s">
        <v>280</v>
      </c>
      <c r="D52" s="30" t="s">
        <v>188</v>
      </c>
      <c r="E52" s="22"/>
      <c r="F52" s="33" t="s">
        <v>72</v>
      </c>
      <c r="G52" s="34" t="s">
        <v>281</v>
      </c>
    </row>
    <row r="53" spans="1:7" ht="30" customHeight="1" x14ac:dyDescent="0.2">
      <c r="A53" s="32" t="s">
        <v>282</v>
      </c>
      <c r="C53" s="30" t="s">
        <v>87</v>
      </c>
      <c r="D53" s="30" t="s">
        <v>188</v>
      </c>
      <c r="E53" s="22"/>
      <c r="F53" s="33" t="s">
        <v>72</v>
      </c>
      <c r="G53" s="34"/>
    </row>
    <row r="54" spans="1:7" ht="30" customHeight="1" x14ac:dyDescent="0.2">
      <c r="A54" s="32" t="s">
        <v>283</v>
      </c>
      <c r="C54" s="30" t="s">
        <v>284</v>
      </c>
      <c r="D54" s="30" t="s">
        <v>188</v>
      </c>
      <c r="E54" s="22"/>
      <c r="F54" s="33" t="s">
        <v>72</v>
      </c>
      <c r="G54" s="34" t="s">
        <v>285</v>
      </c>
    </row>
    <row r="55" spans="1:7" ht="30" customHeight="1" x14ac:dyDescent="0.2">
      <c r="A55" s="32" t="s">
        <v>286</v>
      </c>
      <c r="C55" s="30" t="s">
        <v>287</v>
      </c>
      <c r="D55" s="30" t="s">
        <v>188</v>
      </c>
      <c r="E55" s="22"/>
      <c r="F55" s="33" t="s">
        <v>72</v>
      </c>
      <c r="G55" s="34" t="s">
        <v>288</v>
      </c>
    </row>
    <row r="56" spans="1:7" ht="30" customHeight="1" x14ac:dyDescent="0.2">
      <c r="A56" s="32" t="s">
        <v>289</v>
      </c>
      <c r="C56" s="30" t="s">
        <v>290</v>
      </c>
      <c r="D56" s="30" t="s">
        <v>188</v>
      </c>
      <c r="E56" s="22"/>
      <c r="F56" s="33" t="s">
        <v>72</v>
      </c>
      <c r="G56" s="34" t="s">
        <v>291</v>
      </c>
    </row>
    <row r="57" spans="1:7" ht="30" customHeight="1" x14ac:dyDescent="0.2">
      <c r="A57" s="32" t="s">
        <v>292</v>
      </c>
      <c r="C57" s="30" t="s">
        <v>96</v>
      </c>
      <c r="D57" s="30" t="s">
        <v>188</v>
      </c>
      <c r="E57" s="22"/>
      <c r="F57" s="33" t="s">
        <v>72</v>
      </c>
      <c r="G57" s="34" t="s">
        <v>293</v>
      </c>
    </row>
    <row r="58" spans="1:7" ht="15.75" customHeight="1" x14ac:dyDescent="0.2"/>
    <row r="59" spans="1:7" ht="24.75" customHeight="1" x14ac:dyDescent="0.2">
      <c r="A59" s="213" t="s">
        <v>294</v>
      </c>
      <c r="B59" s="200"/>
      <c r="C59" s="200"/>
      <c r="D59" s="200"/>
      <c r="E59" s="200"/>
      <c r="F59" s="200"/>
      <c r="G59" s="201"/>
    </row>
    <row r="60" spans="1:7" ht="21.75" customHeight="1" x14ac:dyDescent="0.2">
      <c r="A60" s="27" t="s">
        <v>2</v>
      </c>
      <c r="B60" s="27" t="s">
        <v>176</v>
      </c>
      <c r="C60" s="27" t="s">
        <v>295</v>
      </c>
      <c r="D60" s="27" t="s">
        <v>104</v>
      </c>
      <c r="E60" s="27" t="s">
        <v>178</v>
      </c>
      <c r="F60" s="27" t="s">
        <v>179</v>
      </c>
      <c r="G60" s="27" t="s">
        <v>180</v>
      </c>
    </row>
    <row r="61" spans="1:7" ht="39.75" customHeight="1" x14ac:dyDescent="0.2">
      <c r="A61" s="35">
        <v>14</v>
      </c>
      <c r="B61" s="36" t="s">
        <v>181</v>
      </c>
      <c r="C61" s="28" t="s">
        <v>296</v>
      </c>
      <c r="D61" s="30" t="s">
        <v>229</v>
      </c>
      <c r="E61" s="30" t="s">
        <v>184</v>
      </c>
      <c r="F61" s="37" t="s">
        <v>297</v>
      </c>
      <c r="G61" s="30" t="s">
        <v>298</v>
      </c>
    </row>
    <row r="62" spans="1:7" ht="39.75" customHeight="1" x14ac:dyDescent="0.2">
      <c r="A62" s="35">
        <v>15</v>
      </c>
      <c r="B62" s="36" t="s">
        <v>181</v>
      </c>
      <c r="C62" s="28" t="s">
        <v>299</v>
      </c>
      <c r="D62" s="30" t="s">
        <v>229</v>
      </c>
      <c r="E62" s="30" t="s">
        <v>184</v>
      </c>
      <c r="F62" s="37" t="s">
        <v>297</v>
      </c>
      <c r="G62" s="30" t="s">
        <v>300</v>
      </c>
    </row>
    <row r="63" spans="1:7" ht="39.75" customHeight="1" x14ac:dyDescent="0.2">
      <c r="A63" s="35">
        <v>16</v>
      </c>
      <c r="B63" s="36" t="s">
        <v>181</v>
      </c>
      <c r="C63" s="28" t="s">
        <v>301</v>
      </c>
      <c r="D63" s="30" t="s">
        <v>229</v>
      </c>
      <c r="E63" s="30" t="s">
        <v>184</v>
      </c>
      <c r="F63" s="37" t="s">
        <v>297</v>
      </c>
      <c r="G63" s="30" t="s">
        <v>302</v>
      </c>
    </row>
    <row r="64" spans="1:7" ht="39.75" customHeight="1" x14ac:dyDescent="0.2">
      <c r="A64" s="35">
        <v>17</v>
      </c>
      <c r="B64" s="36" t="s">
        <v>181</v>
      </c>
      <c r="C64" s="28" t="s">
        <v>303</v>
      </c>
      <c r="D64" s="30" t="s">
        <v>229</v>
      </c>
      <c r="E64" s="30" t="s">
        <v>304</v>
      </c>
      <c r="F64" s="37" t="s">
        <v>297</v>
      </c>
      <c r="G64" s="30" t="s">
        <v>305</v>
      </c>
    </row>
    <row r="65" spans="1:7" ht="39.75" customHeight="1" x14ac:dyDescent="0.2">
      <c r="A65" s="35">
        <v>18</v>
      </c>
      <c r="B65" s="36" t="s">
        <v>181</v>
      </c>
      <c r="C65" s="28" t="s">
        <v>306</v>
      </c>
      <c r="D65" s="30" t="s">
        <v>229</v>
      </c>
      <c r="E65" s="30" t="s">
        <v>184</v>
      </c>
      <c r="F65" s="37" t="s">
        <v>297</v>
      </c>
      <c r="G65" s="30" t="s">
        <v>307</v>
      </c>
    </row>
    <row r="66" spans="1:7" ht="39.75" customHeight="1" x14ac:dyDescent="0.2">
      <c r="A66" s="35">
        <v>19</v>
      </c>
      <c r="B66" s="36" t="s">
        <v>181</v>
      </c>
      <c r="C66" s="28" t="s">
        <v>308</v>
      </c>
      <c r="D66" s="30" t="s">
        <v>188</v>
      </c>
      <c r="E66" s="30" t="s">
        <v>309</v>
      </c>
      <c r="F66" s="37" t="s">
        <v>297</v>
      </c>
      <c r="G66" s="30" t="s">
        <v>310</v>
      </c>
    </row>
    <row r="67" spans="1:7" ht="39.75" customHeight="1" x14ac:dyDescent="0.2">
      <c r="A67" s="37">
        <v>20</v>
      </c>
      <c r="B67" s="38" t="s">
        <v>198</v>
      </c>
      <c r="C67" s="30" t="s">
        <v>311</v>
      </c>
      <c r="D67" s="30" t="s">
        <v>188</v>
      </c>
      <c r="E67" s="30" t="s">
        <v>312</v>
      </c>
      <c r="F67" s="37" t="s">
        <v>313</v>
      </c>
      <c r="G67" s="30" t="s">
        <v>314</v>
      </c>
    </row>
    <row r="68" spans="1:7" ht="15.75" customHeight="1" x14ac:dyDescent="0.2"/>
    <row r="69" spans="1:7" ht="15.75" customHeight="1" x14ac:dyDescent="0.2"/>
    <row r="70" spans="1:7" ht="15.75" customHeight="1" x14ac:dyDescent="0.2"/>
    <row r="71" spans="1:7" ht="15.75" customHeight="1" x14ac:dyDescent="0.2">
      <c r="A71" s="39" t="s">
        <v>315</v>
      </c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25:G25"/>
    <mergeCell ref="A43:G43"/>
    <mergeCell ref="A59:G59"/>
    <mergeCell ref="A1:G1"/>
    <mergeCell ref="A2:G2"/>
    <mergeCell ref="A4:G4"/>
    <mergeCell ref="A18:G18"/>
    <mergeCell ref="A23:G23"/>
  </mergeCells>
  <pageMargins left="0.75" right="0.75" top="1" bottom="1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showGridLines="0" workbookViewId="0">
      <selection activeCell="B36" sqref="B36"/>
    </sheetView>
  </sheetViews>
  <sheetFormatPr baseColWidth="10" defaultColWidth="14.5" defaultRowHeight="15" customHeight="1" x14ac:dyDescent="0.2"/>
  <cols>
    <col min="1" max="1" width="42" customWidth="1"/>
    <col min="2" max="2" width="16" customWidth="1"/>
    <col min="3" max="3" width="63" customWidth="1"/>
    <col min="4" max="4" width="16" customWidth="1"/>
    <col min="5" max="5" width="55" customWidth="1"/>
    <col min="6" max="6" width="12" customWidth="1"/>
    <col min="7" max="7" width="60" customWidth="1"/>
    <col min="8" max="26" width="8.6640625" customWidth="1"/>
  </cols>
  <sheetData>
    <row r="1" spans="1:7" ht="17.25" customHeight="1" x14ac:dyDescent="0.2">
      <c r="A1" s="40" t="s">
        <v>316</v>
      </c>
    </row>
    <row r="2" spans="1:7" ht="15" customHeight="1" x14ac:dyDescent="0.2">
      <c r="A2" s="26" t="s">
        <v>317</v>
      </c>
    </row>
    <row r="3" spans="1:7" ht="15" customHeight="1" x14ac:dyDescent="0.2">
      <c r="B3" s="41" t="s">
        <v>318</v>
      </c>
      <c r="C3" s="42" t="s">
        <v>319</v>
      </c>
      <c r="D3" s="43" t="s">
        <v>320</v>
      </c>
      <c r="E3" s="43" t="s">
        <v>321</v>
      </c>
    </row>
    <row r="5" spans="1:7" ht="15" customHeight="1" x14ac:dyDescent="0.2">
      <c r="A5" s="44" t="s">
        <v>322</v>
      </c>
    </row>
    <row r="6" spans="1:7" ht="15" customHeight="1" x14ac:dyDescent="0.2">
      <c r="A6" s="45" t="s">
        <v>323</v>
      </c>
      <c r="B6" s="46">
        <v>3000000</v>
      </c>
      <c r="C6" s="26" t="s">
        <v>324</v>
      </c>
      <c r="D6" s="46">
        <v>3000000</v>
      </c>
      <c r="E6" s="47" t="s">
        <v>325</v>
      </c>
      <c r="F6" s="48" t="s">
        <v>326</v>
      </c>
    </row>
    <row r="7" spans="1:7" ht="15" customHeight="1" x14ac:dyDescent="0.2">
      <c r="A7" s="45" t="s">
        <v>327</v>
      </c>
      <c r="B7" s="49">
        <v>11</v>
      </c>
      <c r="C7" s="26" t="s">
        <v>328</v>
      </c>
      <c r="D7" s="49">
        <v>11</v>
      </c>
      <c r="E7" s="47" t="s">
        <v>329</v>
      </c>
      <c r="F7" s="50" t="s">
        <v>330</v>
      </c>
    </row>
    <row r="8" spans="1:7" ht="15" customHeight="1" x14ac:dyDescent="0.2">
      <c r="A8" s="45" t="s">
        <v>331</v>
      </c>
      <c r="B8" s="49">
        <v>40000</v>
      </c>
      <c r="C8" s="26" t="s">
        <v>332</v>
      </c>
      <c r="D8" s="26" t="s">
        <v>333</v>
      </c>
      <c r="E8" s="47" t="s">
        <v>334</v>
      </c>
      <c r="F8" s="50"/>
    </row>
    <row r="9" spans="1:7" ht="15" customHeight="1" x14ac:dyDescent="0.2">
      <c r="A9" s="45" t="s">
        <v>335</v>
      </c>
      <c r="B9" s="51">
        <v>0.35</v>
      </c>
      <c r="C9" s="26" t="s">
        <v>336</v>
      </c>
      <c r="D9" s="49">
        <v>0.35</v>
      </c>
      <c r="E9" s="47" t="s">
        <v>337</v>
      </c>
      <c r="F9" s="48" t="s">
        <v>338</v>
      </c>
      <c r="G9" s="48" t="s">
        <v>339</v>
      </c>
    </row>
    <row r="10" spans="1:7" ht="15" customHeight="1" x14ac:dyDescent="0.2">
      <c r="A10" s="45" t="s">
        <v>340</v>
      </c>
      <c r="B10" s="49" t="s">
        <v>341</v>
      </c>
      <c r="C10" s="26" t="s">
        <v>342</v>
      </c>
      <c r="D10" s="49" t="s">
        <v>341</v>
      </c>
      <c r="E10" s="47" t="s">
        <v>343</v>
      </c>
    </row>
    <row r="12" spans="1:7" ht="15" customHeight="1" x14ac:dyDescent="0.2">
      <c r="A12" s="44" t="s">
        <v>344</v>
      </c>
    </row>
    <row r="13" spans="1:7" ht="15" customHeight="1" x14ac:dyDescent="0.2">
      <c r="A13" s="52" t="s">
        <v>345</v>
      </c>
      <c r="B13" s="52" t="s">
        <v>346</v>
      </c>
      <c r="C13" s="52" t="s">
        <v>347</v>
      </c>
      <c r="D13" s="52" t="s">
        <v>348</v>
      </c>
      <c r="E13" s="52" t="s">
        <v>349</v>
      </c>
    </row>
    <row r="14" spans="1:7" ht="15" customHeight="1" x14ac:dyDescent="0.2">
      <c r="A14" s="49">
        <v>1</v>
      </c>
      <c r="B14" s="53">
        <v>0.105</v>
      </c>
      <c r="C14" s="54">
        <v>0.1</v>
      </c>
      <c r="D14" s="55">
        <v>9.5000000000000001E-2</v>
      </c>
      <c r="E14" s="47" t="s">
        <v>350</v>
      </c>
      <c r="G14" s="56">
        <f t="shared" ref="G14:G18" si="0">-PMT((B14/12),(12*A14),(C14*B$6))</f>
        <v>26444.580868273802</v>
      </c>
    </row>
    <row r="15" spans="1:7" ht="15" customHeight="1" x14ac:dyDescent="0.2">
      <c r="A15" s="49">
        <v>2</v>
      </c>
      <c r="B15" s="53">
        <v>0.115</v>
      </c>
      <c r="C15" s="54">
        <v>0.25</v>
      </c>
      <c r="D15" s="55">
        <v>0.105</v>
      </c>
      <c r="E15" s="47">
        <v>2.7</v>
      </c>
      <c r="G15" s="56">
        <f t="shared" si="0"/>
        <v>35130.2364740095</v>
      </c>
    </row>
    <row r="16" spans="1:7" ht="15" customHeight="1" x14ac:dyDescent="0.2">
      <c r="A16" s="49">
        <v>3</v>
      </c>
      <c r="B16" s="53">
        <v>0.125</v>
      </c>
      <c r="C16" s="54">
        <v>0.4</v>
      </c>
      <c r="D16" s="55">
        <v>0.115</v>
      </c>
      <c r="E16" s="47">
        <v>2.7</v>
      </c>
      <c r="G16" s="56">
        <f t="shared" si="0"/>
        <v>40144.35069205983</v>
      </c>
    </row>
    <row r="17" spans="1:7" ht="15" customHeight="1" x14ac:dyDescent="0.2">
      <c r="A17" s="49">
        <v>4</v>
      </c>
      <c r="B17" s="53">
        <v>0.13500000000000001</v>
      </c>
      <c r="C17" s="54">
        <v>0.15</v>
      </c>
      <c r="D17" s="55">
        <v>0.125</v>
      </c>
      <c r="E17" s="47">
        <v>2.7</v>
      </c>
      <c r="G17" s="56">
        <f t="shared" si="0"/>
        <v>12184.345329097569</v>
      </c>
    </row>
    <row r="18" spans="1:7" ht="15" customHeight="1" x14ac:dyDescent="0.2">
      <c r="A18" s="49">
        <v>5</v>
      </c>
      <c r="B18" s="53">
        <v>0.14499999999999999</v>
      </c>
      <c r="C18" s="54">
        <v>0.1</v>
      </c>
      <c r="D18" s="55">
        <v>0.13500000000000001</v>
      </c>
      <c r="E18" s="47" t="s">
        <v>351</v>
      </c>
      <c r="G18" s="56">
        <f t="shared" si="0"/>
        <v>7058.4843242574207</v>
      </c>
    </row>
    <row r="19" spans="1:7" ht="15" customHeight="1" x14ac:dyDescent="0.2">
      <c r="A19" s="49"/>
      <c r="B19" s="55"/>
      <c r="C19" s="51"/>
      <c r="D19" s="55"/>
      <c r="E19" s="47"/>
      <c r="G19" s="57">
        <f>SUM(G14:G18)</f>
        <v>120961.99768769814</v>
      </c>
    </row>
    <row r="20" spans="1:7" ht="15" customHeight="1" x14ac:dyDescent="0.2">
      <c r="A20" s="42" t="s">
        <v>352</v>
      </c>
      <c r="B20" s="58">
        <f>A14*C14+A15*C15+A16*C16+A17*C17+A18*C18</f>
        <v>2.9000000000000004</v>
      </c>
      <c r="G20" s="59">
        <f>G19*12</f>
        <v>1451543.9722523778</v>
      </c>
    </row>
    <row r="21" spans="1:7" ht="15" customHeight="1" x14ac:dyDescent="0.2">
      <c r="A21" s="42" t="s">
        <v>353</v>
      </c>
      <c r="B21" s="60">
        <f>B14*C14+B15*C15+B16*C16+B17*C17+B18*C18</f>
        <v>0.124</v>
      </c>
    </row>
    <row r="22" spans="1:7" ht="15" customHeight="1" x14ac:dyDescent="0.2">
      <c r="A22" s="45" t="s">
        <v>354</v>
      </c>
      <c r="B22" s="60">
        <f>1/B20</f>
        <v>0.34482758620689652</v>
      </c>
    </row>
    <row r="23" spans="1:7" ht="15" customHeight="1" x14ac:dyDescent="0.2">
      <c r="A23" s="45" t="s">
        <v>355</v>
      </c>
      <c r="B23" s="51">
        <v>1</v>
      </c>
    </row>
    <row r="24" spans="1:7" ht="15" customHeight="1" x14ac:dyDescent="0.2">
      <c r="A24" s="42" t="s">
        <v>356</v>
      </c>
      <c r="B24" s="60">
        <f>B21*B23</f>
        <v>0.124</v>
      </c>
      <c r="C24" s="48">
        <f>B24*0.7</f>
        <v>8.6799999999999988E-2</v>
      </c>
    </row>
    <row r="25" spans="1:7" ht="15.75" customHeight="1" x14ac:dyDescent="0.2"/>
    <row r="26" spans="1:7" ht="15" customHeight="1" x14ac:dyDescent="0.2">
      <c r="A26" s="44" t="s">
        <v>357</v>
      </c>
    </row>
    <row r="27" spans="1:7" ht="15" customHeight="1" x14ac:dyDescent="0.2">
      <c r="A27" s="52" t="s">
        <v>102</v>
      </c>
      <c r="B27" s="52" t="s">
        <v>358</v>
      </c>
      <c r="C27" s="52" t="s">
        <v>359</v>
      </c>
      <c r="D27" s="52" t="s">
        <v>360</v>
      </c>
      <c r="E27" s="52" t="s">
        <v>361</v>
      </c>
    </row>
    <row r="28" spans="1:7" ht="15" customHeight="1" x14ac:dyDescent="0.2">
      <c r="A28" s="45" t="s">
        <v>362</v>
      </c>
      <c r="B28" s="61">
        <v>1.2E-2</v>
      </c>
      <c r="C28" s="48" t="s">
        <v>363</v>
      </c>
      <c r="D28" s="61">
        <v>1.2500000000000001E-2</v>
      </c>
      <c r="E28" s="47" t="s">
        <v>364</v>
      </c>
      <c r="F28" s="48" t="s">
        <v>365</v>
      </c>
      <c r="G28" s="48" t="s">
        <v>366</v>
      </c>
    </row>
    <row r="29" spans="1:7" ht="15" customHeight="1" x14ac:dyDescent="0.2">
      <c r="A29" s="45" t="s">
        <v>367</v>
      </c>
      <c r="B29" s="61">
        <v>2E-3</v>
      </c>
      <c r="C29" s="48" t="s">
        <v>368</v>
      </c>
      <c r="D29" s="61">
        <v>2E-3</v>
      </c>
      <c r="E29" s="47" t="s">
        <v>369</v>
      </c>
      <c r="F29" s="48" t="s">
        <v>370</v>
      </c>
      <c r="G29" s="48" t="s">
        <v>371</v>
      </c>
    </row>
    <row r="30" spans="1:7" ht="15" customHeight="1" x14ac:dyDescent="0.2">
      <c r="A30" s="45" t="s">
        <v>372</v>
      </c>
      <c r="B30" s="62">
        <v>0</v>
      </c>
      <c r="C30" s="48" t="s">
        <v>373</v>
      </c>
      <c r="D30" s="61">
        <v>0</v>
      </c>
      <c r="E30" s="47" t="s">
        <v>374</v>
      </c>
      <c r="F30" s="48" t="s">
        <v>375</v>
      </c>
      <c r="G30" s="48" t="s">
        <v>376</v>
      </c>
    </row>
    <row r="31" spans="1:7" ht="15" customHeight="1" x14ac:dyDescent="0.2">
      <c r="A31" s="42" t="s">
        <v>377</v>
      </c>
      <c r="B31" s="62">
        <v>1.2500000000000001E-2</v>
      </c>
      <c r="C31" s="48" t="s">
        <v>378</v>
      </c>
      <c r="D31" s="61">
        <v>0.01</v>
      </c>
      <c r="E31" s="47" t="s">
        <v>379</v>
      </c>
      <c r="F31" s="48" t="s">
        <v>380</v>
      </c>
      <c r="G31" s="48" t="s">
        <v>381</v>
      </c>
    </row>
    <row r="32" spans="1:7" ht="15" customHeight="1" x14ac:dyDescent="0.2">
      <c r="A32" s="45" t="s">
        <v>382</v>
      </c>
      <c r="B32" s="63">
        <v>0.01</v>
      </c>
      <c r="C32" s="48" t="s">
        <v>383</v>
      </c>
      <c r="D32" s="61">
        <v>7.0000000000000001E-3</v>
      </c>
      <c r="E32" s="47" t="s">
        <v>384</v>
      </c>
      <c r="F32" s="48" t="s">
        <v>380</v>
      </c>
      <c r="G32" s="48" t="s">
        <v>385</v>
      </c>
    </row>
    <row r="33" spans="1:7" ht="15" customHeight="1" x14ac:dyDescent="0.2">
      <c r="A33" s="64" t="s">
        <v>113</v>
      </c>
      <c r="B33" s="65">
        <v>0.1</v>
      </c>
      <c r="C33" s="66" t="s">
        <v>386</v>
      </c>
      <c r="D33" s="67">
        <v>0</v>
      </c>
      <c r="E33" s="68" t="s">
        <v>387</v>
      </c>
    </row>
    <row r="34" spans="1:7" ht="15" customHeight="1" x14ac:dyDescent="0.2">
      <c r="A34" s="64" t="s">
        <v>388</v>
      </c>
      <c r="B34" s="65">
        <v>0.06</v>
      </c>
      <c r="C34" s="66" t="s">
        <v>389</v>
      </c>
      <c r="D34" s="69">
        <v>0</v>
      </c>
      <c r="E34" s="68" t="s">
        <v>390</v>
      </c>
    </row>
    <row r="35" spans="1:7" ht="15" customHeight="1" x14ac:dyDescent="0.2">
      <c r="A35" s="45" t="s">
        <v>391</v>
      </c>
      <c r="B35" s="55">
        <v>5.3999999999999999E-2</v>
      </c>
      <c r="C35" s="48" t="s">
        <v>392</v>
      </c>
      <c r="D35" s="55">
        <v>5.3999999999999999E-2</v>
      </c>
      <c r="E35" s="47" t="s">
        <v>393</v>
      </c>
      <c r="F35" s="48" t="s">
        <v>394</v>
      </c>
      <c r="G35" s="48" t="s">
        <v>395</v>
      </c>
    </row>
    <row r="36" spans="1:7" ht="15" customHeight="1" x14ac:dyDescent="0.2">
      <c r="A36" s="45" t="s">
        <v>396</v>
      </c>
      <c r="B36" s="61">
        <v>1.4999999999999999E-2</v>
      </c>
      <c r="C36" s="48" t="s">
        <v>397</v>
      </c>
      <c r="D36" s="61">
        <v>1.4999999999999999E-2</v>
      </c>
      <c r="E36" s="47" t="s">
        <v>398</v>
      </c>
      <c r="F36" s="48">
        <v>10.4</v>
      </c>
    </row>
    <row r="37" spans="1:7" ht="15" customHeight="1" x14ac:dyDescent="0.2">
      <c r="A37" s="45" t="s">
        <v>399</v>
      </c>
      <c r="B37" s="61">
        <v>2.5000000000000001E-3</v>
      </c>
      <c r="C37" s="48" t="s">
        <v>400</v>
      </c>
      <c r="D37" s="61">
        <v>2.5000000000000001E-3</v>
      </c>
      <c r="E37" s="47" t="s">
        <v>401</v>
      </c>
      <c r="F37" s="48">
        <v>10.4</v>
      </c>
    </row>
    <row r="38" spans="1:7" ht="15" customHeight="1" x14ac:dyDescent="0.2">
      <c r="A38" s="45" t="s">
        <v>402</v>
      </c>
      <c r="B38" s="51">
        <v>0.05</v>
      </c>
      <c r="C38" s="48" t="s">
        <v>403</v>
      </c>
      <c r="D38" s="51">
        <v>0.05</v>
      </c>
      <c r="E38" s="47" t="s">
        <v>404</v>
      </c>
      <c r="F38" s="48" t="s">
        <v>405</v>
      </c>
      <c r="G38" s="48" t="s">
        <v>406</v>
      </c>
    </row>
    <row r="39" spans="1:7" ht="15" customHeight="1" x14ac:dyDescent="0.2">
      <c r="A39" s="45" t="s">
        <v>407</v>
      </c>
      <c r="B39" s="51">
        <v>0.21</v>
      </c>
      <c r="D39" s="51">
        <v>0.21</v>
      </c>
    </row>
    <row r="40" spans="1:7" ht="15" customHeight="1" x14ac:dyDescent="0.2">
      <c r="A40" s="48" t="s">
        <v>408</v>
      </c>
      <c r="B40" s="66">
        <v>21600</v>
      </c>
      <c r="C40" s="48" t="s">
        <v>409</v>
      </c>
      <c r="D40" s="48">
        <v>21600</v>
      </c>
      <c r="E40" s="48" t="s">
        <v>410</v>
      </c>
    </row>
    <row r="41" spans="1:7" ht="15" customHeight="1" x14ac:dyDescent="0.2">
      <c r="A41" s="44" t="s">
        <v>411</v>
      </c>
    </row>
    <row r="42" spans="1:7" ht="15" customHeight="1" x14ac:dyDescent="0.2">
      <c r="A42" s="45" t="s">
        <v>412</v>
      </c>
      <c r="B42" s="70">
        <v>10000</v>
      </c>
      <c r="C42" s="26" t="s">
        <v>413</v>
      </c>
    </row>
    <row r="43" spans="1:7" ht="15" customHeight="1" x14ac:dyDescent="0.2">
      <c r="A43" s="45" t="s">
        <v>414</v>
      </c>
      <c r="B43" s="70">
        <v>10000</v>
      </c>
      <c r="C43" s="26" t="s">
        <v>413</v>
      </c>
    </row>
    <row r="44" spans="1:7" ht="15" customHeight="1" x14ac:dyDescent="0.2">
      <c r="A44" s="45" t="s">
        <v>415</v>
      </c>
      <c r="B44" s="70">
        <v>12100</v>
      </c>
      <c r="C44" s="26" t="s">
        <v>416</v>
      </c>
    </row>
    <row r="45" spans="1:7" ht="15" customHeight="1" x14ac:dyDescent="0.2">
      <c r="A45" s="45" t="s">
        <v>417</v>
      </c>
      <c r="B45" s="70">
        <v>12000</v>
      </c>
      <c r="C45" s="26" t="s">
        <v>413</v>
      </c>
    </row>
    <row r="46" spans="1:7" ht="15" customHeight="1" x14ac:dyDescent="0.2">
      <c r="A46" s="45" t="s">
        <v>418</v>
      </c>
      <c r="B46" s="70">
        <v>12000</v>
      </c>
      <c r="C46" s="26" t="s">
        <v>413</v>
      </c>
      <c r="D46" s="48" t="s">
        <v>419</v>
      </c>
      <c r="E46" s="71">
        <f>B46/3000000</f>
        <v>4.0000000000000001E-3</v>
      </c>
    </row>
    <row r="47" spans="1:7" ht="15" customHeight="1" x14ac:dyDescent="0.2">
      <c r="A47" s="45" t="s">
        <v>420</v>
      </c>
      <c r="B47" s="70">
        <v>6000</v>
      </c>
      <c r="C47" s="26" t="s">
        <v>413</v>
      </c>
    </row>
    <row r="48" spans="1:7" ht="15" customHeight="1" x14ac:dyDescent="0.2">
      <c r="A48" s="45" t="s">
        <v>421</v>
      </c>
      <c r="B48" s="70">
        <v>6000</v>
      </c>
      <c r="C48" s="26" t="s">
        <v>413</v>
      </c>
    </row>
    <row r="49" spans="1:7" ht="15.75" customHeight="1" x14ac:dyDescent="0.2"/>
    <row r="50" spans="1:7" ht="15" customHeight="1" x14ac:dyDescent="0.2">
      <c r="A50" s="44" t="s">
        <v>422</v>
      </c>
    </row>
    <row r="51" spans="1:7" ht="15" customHeight="1" x14ac:dyDescent="0.2">
      <c r="A51" s="45" t="s">
        <v>423</v>
      </c>
      <c r="B51" s="49">
        <v>1</v>
      </c>
      <c r="C51" s="48" t="s">
        <v>424</v>
      </c>
      <c r="D51" s="49">
        <v>1</v>
      </c>
      <c r="E51" s="47" t="s">
        <v>425</v>
      </c>
      <c r="F51" s="48" t="s">
        <v>426</v>
      </c>
      <c r="G51" s="48" t="s">
        <v>427</v>
      </c>
    </row>
    <row r="52" spans="1:7" ht="15" customHeight="1" x14ac:dyDescent="0.2">
      <c r="A52" s="45" t="s">
        <v>428</v>
      </c>
      <c r="B52" s="67">
        <v>0.5</v>
      </c>
      <c r="C52" s="48" t="s">
        <v>429</v>
      </c>
    </row>
    <row r="53" spans="1:7" ht="15" customHeight="1" x14ac:dyDescent="0.2">
      <c r="A53" s="45" t="s">
        <v>430</v>
      </c>
      <c r="B53" s="69">
        <v>3</v>
      </c>
      <c r="C53" s="48" t="s">
        <v>431</v>
      </c>
    </row>
    <row r="54" spans="1:7" ht="15" customHeight="1" x14ac:dyDescent="0.2">
      <c r="A54" s="45" t="s">
        <v>432</v>
      </c>
      <c r="B54" s="72">
        <v>0.08</v>
      </c>
      <c r="C54" s="48" t="s">
        <v>433</v>
      </c>
    </row>
    <row r="55" spans="1:7" ht="15.75" customHeight="1" x14ac:dyDescent="0.2"/>
    <row r="56" spans="1:7" ht="15" customHeight="1" x14ac:dyDescent="0.2">
      <c r="A56" s="73" t="s">
        <v>434</v>
      </c>
    </row>
    <row r="57" spans="1:7" ht="15" customHeight="1" x14ac:dyDescent="0.2">
      <c r="A57" s="45" t="s">
        <v>435</v>
      </c>
      <c r="B57" s="74">
        <v>50000</v>
      </c>
      <c r="C57" s="48" t="s">
        <v>436</v>
      </c>
      <c r="D57" s="49">
        <v>3</v>
      </c>
      <c r="E57" s="47" t="s">
        <v>437</v>
      </c>
      <c r="F57" s="48" t="s">
        <v>438</v>
      </c>
      <c r="G57" s="48" t="s">
        <v>439</v>
      </c>
    </row>
    <row r="58" spans="1:7" ht="15" customHeight="1" x14ac:dyDescent="0.2">
      <c r="A58" s="45" t="s">
        <v>440</v>
      </c>
      <c r="B58" s="65">
        <v>0.2</v>
      </c>
      <c r="C58" s="48" t="s">
        <v>441</v>
      </c>
      <c r="D58" s="51">
        <v>0.2</v>
      </c>
      <c r="E58" s="47" t="s">
        <v>442</v>
      </c>
      <c r="F58" s="48" t="s">
        <v>438</v>
      </c>
      <c r="G58" s="48" t="s">
        <v>443</v>
      </c>
    </row>
    <row r="59" spans="1:7" ht="15" customHeight="1" x14ac:dyDescent="0.2">
      <c r="A59" s="45" t="s">
        <v>444</v>
      </c>
      <c r="B59" s="75">
        <v>0</v>
      </c>
      <c r="C59" s="48" t="s">
        <v>445</v>
      </c>
      <c r="D59" s="51">
        <v>0.05</v>
      </c>
      <c r="E59" s="68" t="s">
        <v>446</v>
      </c>
      <c r="F59" s="48" t="s">
        <v>438</v>
      </c>
      <c r="G59" s="48" t="s">
        <v>447</v>
      </c>
    </row>
    <row r="60" spans="1:7" ht="15" customHeight="1" x14ac:dyDescent="0.2">
      <c r="A60" s="45" t="s">
        <v>448</v>
      </c>
      <c r="B60" s="65">
        <v>0</v>
      </c>
      <c r="C60" s="48" t="s">
        <v>449</v>
      </c>
    </row>
    <row r="61" spans="1:7" ht="15.75" customHeight="1" x14ac:dyDescent="0.2">
      <c r="A61" s="48" t="s">
        <v>450</v>
      </c>
      <c r="B61" s="48">
        <v>1.2E-2</v>
      </c>
      <c r="C61" s="48" t="s">
        <v>451</v>
      </c>
    </row>
    <row r="62" spans="1:7" ht="15" customHeight="1" x14ac:dyDescent="0.2">
      <c r="A62" s="44" t="s">
        <v>452</v>
      </c>
    </row>
    <row r="63" spans="1:7" ht="15" customHeight="1" x14ac:dyDescent="0.2">
      <c r="A63" s="45" t="s">
        <v>453</v>
      </c>
      <c r="B63" s="51">
        <v>0.15</v>
      </c>
      <c r="C63" s="48" t="s">
        <v>454</v>
      </c>
      <c r="F63" s="48" t="s">
        <v>455</v>
      </c>
      <c r="G63" s="48" t="s">
        <v>456</v>
      </c>
    </row>
    <row r="64" spans="1:7" ht="15" customHeight="1" x14ac:dyDescent="0.2">
      <c r="A64" s="45" t="s">
        <v>457</v>
      </c>
      <c r="B64" s="51">
        <v>0.15</v>
      </c>
      <c r="C64" s="48" t="s">
        <v>458</v>
      </c>
    </row>
    <row r="65" spans="1:7" ht="15" customHeight="1" x14ac:dyDescent="0.2">
      <c r="A65" s="45" t="s">
        <v>459</v>
      </c>
      <c r="C65" s="26" t="s">
        <v>460</v>
      </c>
    </row>
    <row r="66" spans="1:7" ht="15" customHeight="1" x14ac:dyDescent="0.2">
      <c r="A66" s="45" t="s">
        <v>461</v>
      </c>
      <c r="C66" s="26" t="s">
        <v>462</v>
      </c>
    </row>
    <row r="67" spans="1:7" ht="15.75" customHeight="1" x14ac:dyDescent="0.2"/>
    <row r="68" spans="1:7" ht="15" customHeight="1" x14ac:dyDescent="0.2">
      <c r="A68" s="44" t="s">
        <v>463</v>
      </c>
    </row>
    <row r="69" spans="1:7" ht="15" customHeight="1" x14ac:dyDescent="0.2">
      <c r="A69" s="45" t="s">
        <v>464</v>
      </c>
      <c r="B69" s="55">
        <v>0.09</v>
      </c>
      <c r="F69" s="48" t="s">
        <v>465</v>
      </c>
      <c r="G69" s="48" t="s">
        <v>466</v>
      </c>
    </row>
    <row r="70" spans="1:7" ht="15" customHeight="1" x14ac:dyDescent="0.2">
      <c r="A70" s="45" t="s">
        <v>467</v>
      </c>
      <c r="B70" s="49">
        <v>11</v>
      </c>
      <c r="C70" s="48" t="s">
        <v>468</v>
      </c>
    </row>
    <row r="71" spans="1:7" ht="15.75" customHeight="1" x14ac:dyDescent="0.2"/>
    <row r="72" spans="1:7" ht="15" customHeight="1" x14ac:dyDescent="0.2">
      <c r="A72" s="42" t="s">
        <v>469</v>
      </c>
    </row>
    <row r="73" spans="1:7" ht="15" customHeight="1" x14ac:dyDescent="0.2">
      <c r="A73" s="76" t="s">
        <v>470</v>
      </c>
      <c r="B73" s="55">
        <v>0.05</v>
      </c>
      <c r="C73" s="48" t="s">
        <v>471</v>
      </c>
    </row>
    <row r="74" spans="1:7" ht="15" customHeight="1" x14ac:dyDescent="0.2">
      <c r="A74" s="77" t="s">
        <v>472</v>
      </c>
      <c r="B74" s="55">
        <f>B38</f>
        <v>0.05</v>
      </c>
      <c r="C74" s="48" t="s">
        <v>473</v>
      </c>
    </row>
    <row r="75" spans="1:7" ht="15" customHeight="1" x14ac:dyDescent="0.2">
      <c r="A75" s="77" t="s">
        <v>474</v>
      </c>
      <c r="B75" s="55">
        <f>B73-B74</f>
        <v>0</v>
      </c>
      <c r="C75" s="48" t="s">
        <v>475</v>
      </c>
    </row>
    <row r="76" spans="1:7" ht="15" customHeight="1" x14ac:dyDescent="0.2">
      <c r="A76" s="77" t="s">
        <v>476</v>
      </c>
      <c r="B76" s="55">
        <v>0.21</v>
      </c>
      <c r="C76" s="48" t="s">
        <v>477</v>
      </c>
    </row>
    <row r="77" spans="1:7" ht="15" customHeight="1" x14ac:dyDescent="0.2">
      <c r="A77" s="77" t="s">
        <v>478</v>
      </c>
      <c r="B77" s="77" t="s">
        <v>479</v>
      </c>
    </row>
    <row r="78" spans="1:7" ht="15" customHeight="1" x14ac:dyDescent="0.2">
      <c r="A78" s="77" t="s">
        <v>480</v>
      </c>
      <c r="B78" s="77" t="s">
        <v>481</v>
      </c>
    </row>
    <row r="79" spans="1:7" ht="15" customHeight="1" x14ac:dyDescent="0.2">
      <c r="A79" s="77" t="s">
        <v>482</v>
      </c>
      <c r="B79" s="77" t="s">
        <v>483</v>
      </c>
    </row>
    <row r="80" spans="1:7" ht="15" customHeight="1" x14ac:dyDescent="0.2">
      <c r="A80" s="77" t="s">
        <v>484</v>
      </c>
      <c r="B80" s="77" t="s">
        <v>485</v>
      </c>
    </row>
    <row r="81" spans="1:2" ht="15" customHeight="1" x14ac:dyDescent="0.2">
      <c r="A81" s="77" t="s">
        <v>486</v>
      </c>
      <c r="B81" s="77" t="s">
        <v>487</v>
      </c>
    </row>
    <row r="82" spans="1:2" ht="15" customHeight="1" x14ac:dyDescent="0.2">
      <c r="A82" s="77" t="s">
        <v>488</v>
      </c>
      <c r="B82" s="77" t="s">
        <v>489</v>
      </c>
    </row>
    <row r="83" spans="1:2" ht="15" customHeight="1" x14ac:dyDescent="0.2">
      <c r="A83" s="77" t="s">
        <v>490</v>
      </c>
      <c r="B83" s="77" t="s">
        <v>491</v>
      </c>
    </row>
    <row r="84" spans="1:2" ht="15" customHeight="1" x14ac:dyDescent="0.2">
      <c r="A84" s="77" t="s">
        <v>492</v>
      </c>
      <c r="B84" s="77" t="s">
        <v>493</v>
      </c>
    </row>
    <row r="85" spans="1:2" ht="15" customHeight="1" x14ac:dyDescent="0.2">
      <c r="A85" s="77" t="s">
        <v>494</v>
      </c>
      <c r="B85" s="77" t="s">
        <v>495</v>
      </c>
    </row>
    <row r="86" spans="1:2" ht="15" customHeight="1" x14ac:dyDescent="0.2">
      <c r="A86" s="77" t="s">
        <v>496</v>
      </c>
      <c r="B86" s="77" t="s">
        <v>497</v>
      </c>
    </row>
    <row r="87" spans="1:2" ht="15" customHeight="1" x14ac:dyDescent="0.2">
      <c r="A87" s="77" t="s">
        <v>498</v>
      </c>
      <c r="B87" s="77" t="s">
        <v>499</v>
      </c>
    </row>
    <row r="88" spans="1:2" ht="15" customHeight="1" x14ac:dyDescent="0.2">
      <c r="A88" s="77" t="s">
        <v>500</v>
      </c>
      <c r="B88" s="77" t="s">
        <v>501</v>
      </c>
    </row>
    <row r="89" spans="1:2" ht="15" customHeight="1" x14ac:dyDescent="0.2">
      <c r="A89" s="77" t="s">
        <v>502</v>
      </c>
      <c r="B89" s="77" t="s">
        <v>503</v>
      </c>
    </row>
    <row r="90" spans="1:2" ht="15" customHeight="1" x14ac:dyDescent="0.2">
      <c r="A90" s="77" t="s">
        <v>119</v>
      </c>
      <c r="B90" s="77" t="s">
        <v>504</v>
      </c>
    </row>
    <row r="91" spans="1:2" ht="15" customHeight="1" x14ac:dyDescent="0.2">
      <c r="A91" s="77" t="s">
        <v>505</v>
      </c>
      <c r="B91" s="77" t="s">
        <v>506</v>
      </c>
    </row>
    <row r="92" spans="1:2" ht="15" customHeight="1" x14ac:dyDescent="0.2">
      <c r="A92" s="77" t="s">
        <v>407</v>
      </c>
      <c r="B92" s="77" t="s">
        <v>507</v>
      </c>
    </row>
    <row r="93" spans="1:2" ht="15" customHeight="1" x14ac:dyDescent="0.2">
      <c r="A93" s="77" t="s">
        <v>508</v>
      </c>
      <c r="B93" s="77" t="s">
        <v>509</v>
      </c>
    </row>
    <row r="94" spans="1:2" ht="15" customHeight="1" x14ac:dyDescent="0.2">
      <c r="A94" s="77" t="s">
        <v>510</v>
      </c>
      <c r="B94" s="77" t="s">
        <v>511</v>
      </c>
    </row>
    <row r="95" spans="1:2" ht="15" customHeight="1" x14ac:dyDescent="0.2">
      <c r="A95" s="77" t="s">
        <v>512</v>
      </c>
      <c r="B95" s="77" t="s">
        <v>513</v>
      </c>
    </row>
    <row r="96" spans="1:2" ht="15" customHeight="1" x14ac:dyDescent="0.2">
      <c r="A96" s="77" t="s">
        <v>514</v>
      </c>
      <c r="B96" s="77" t="s">
        <v>515</v>
      </c>
    </row>
    <row r="97" spans="1:2" ht="15" customHeight="1" x14ac:dyDescent="0.2">
      <c r="A97" s="77" t="s">
        <v>516</v>
      </c>
      <c r="B97" s="77" t="s">
        <v>517</v>
      </c>
    </row>
    <row r="98" spans="1:2" ht="15" customHeight="1" x14ac:dyDescent="0.2">
      <c r="A98" s="77" t="s">
        <v>518</v>
      </c>
      <c r="B98" s="77" t="s">
        <v>519</v>
      </c>
    </row>
    <row r="99" spans="1:2" ht="15" customHeight="1" x14ac:dyDescent="0.2">
      <c r="A99" s="77" t="s">
        <v>520</v>
      </c>
      <c r="B99" s="77" t="s">
        <v>521</v>
      </c>
    </row>
    <row r="100" spans="1:2" ht="15" customHeight="1" x14ac:dyDescent="0.2">
      <c r="A100" s="77" t="s">
        <v>522</v>
      </c>
      <c r="B100" s="77" t="s">
        <v>523</v>
      </c>
    </row>
    <row r="101" spans="1:2" ht="15" customHeight="1" x14ac:dyDescent="0.2">
      <c r="A101" s="77" t="s">
        <v>524</v>
      </c>
      <c r="B101" s="77" t="s">
        <v>525</v>
      </c>
    </row>
    <row r="102" spans="1:2" ht="15" customHeight="1" x14ac:dyDescent="0.2">
      <c r="A102" s="77" t="s">
        <v>526</v>
      </c>
      <c r="B102" s="77" t="s">
        <v>527</v>
      </c>
    </row>
    <row r="103" spans="1:2" ht="15" customHeight="1" x14ac:dyDescent="0.2">
      <c r="A103" s="77" t="s">
        <v>528</v>
      </c>
      <c r="B103" s="77" t="s">
        <v>529</v>
      </c>
    </row>
    <row r="104" spans="1:2" ht="15.75" customHeight="1" x14ac:dyDescent="0.2"/>
    <row r="105" spans="1:2" ht="15.75" customHeight="1" x14ac:dyDescent="0.2">
      <c r="A105" s="73" t="s">
        <v>530</v>
      </c>
    </row>
    <row r="106" spans="1:2" ht="15.75" customHeight="1" x14ac:dyDescent="0.2">
      <c r="A106" s="48" t="s">
        <v>531</v>
      </c>
      <c r="B106" s="48" t="s">
        <v>532</v>
      </c>
    </row>
    <row r="107" spans="1:2" ht="15.75" customHeight="1" x14ac:dyDescent="0.2">
      <c r="A107" s="48" t="s">
        <v>533</v>
      </c>
      <c r="B107" s="48" t="s">
        <v>534</v>
      </c>
    </row>
    <row r="108" spans="1:2" ht="15.75" customHeight="1" x14ac:dyDescent="0.2">
      <c r="A108" s="48" t="s">
        <v>535</v>
      </c>
      <c r="B108" s="48" t="s">
        <v>536</v>
      </c>
    </row>
    <row r="109" spans="1:2" ht="15.75" customHeight="1" x14ac:dyDescent="0.2">
      <c r="A109" s="48" t="s">
        <v>107</v>
      </c>
      <c r="B109" s="48" t="s">
        <v>537</v>
      </c>
    </row>
    <row r="110" spans="1:2" ht="15.75" customHeight="1" x14ac:dyDescent="0.2">
      <c r="A110" s="48" t="s">
        <v>538</v>
      </c>
      <c r="B110" s="48" t="s">
        <v>539</v>
      </c>
    </row>
    <row r="111" spans="1:2" ht="15.75" customHeight="1" x14ac:dyDescent="0.2">
      <c r="A111" s="48" t="s">
        <v>540</v>
      </c>
      <c r="B111" s="48" t="s">
        <v>121</v>
      </c>
    </row>
    <row r="112" spans="1:2" ht="15.75" customHeight="1" x14ac:dyDescent="0.2">
      <c r="A112" s="48" t="s">
        <v>541</v>
      </c>
      <c r="B112" s="48" t="s">
        <v>542</v>
      </c>
    </row>
    <row r="113" spans="1:3" ht="15.75" customHeight="1" x14ac:dyDescent="0.2">
      <c r="A113" s="48" t="s">
        <v>543</v>
      </c>
      <c r="B113" s="48" t="s">
        <v>544</v>
      </c>
    </row>
    <row r="114" spans="1:3" ht="15.75" customHeight="1" x14ac:dyDescent="0.2">
      <c r="A114" s="48" t="s">
        <v>545</v>
      </c>
      <c r="B114" s="48" t="s">
        <v>546</v>
      </c>
    </row>
    <row r="115" spans="1:3" ht="15.75" customHeight="1" x14ac:dyDescent="0.2">
      <c r="A115" s="48" t="s">
        <v>547</v>
      </c>
      <c r="B115" s="48" t="s">
        <v>548</v>
      </c>
    </row>
    <row r="116" spans="1:3" ht="15.75" customHeight="1" x14ac:dyDescent="0.2">
      <c r="A116" s="48" t="s">
        <v>549</v>
      </c>
      <c r="B116" s="48" t="s">
        <v>550</v>
      </c>
    </row>
    <row r="117" spans="1:3" ht="15.75" customHeight="1" x14ac:dyDescent="0.2">
      <c r="A117" s="48" t="s">
        <v>551</v>
      </c>
      <c r="B117" s="48">
        <v>6250</v>
      </c>
      <c r="C117" s="48" t="s">
        <v>552</v>
      </c>
    </row>
    <row r="118" spans="1:3" ht="15.75" customHeight="1" x14ac:dyDescent="0.2"/>
    <row r="119" spans="1:3" ht="15.75" customHeight="1" x14ac:dyDescent="0.2"/>
    <row r="120" spans="1:3" ht="15.75" customHeight="1" x14ac:dyDescent="0.2"/>
    <row r="121" spans="1:3" ht="15.75" customHeight="1" x14ac:dyDescent="0.2"/>
    <row r="122" spans="1:3" ht="15.75" customHeight="1" x14ac:dyDescent="0.2"/>
    <row r="123" spans="1:3" ht="15.75" customHeight="1" x14ac:dyDescent="0.2"/>
    <row r="124" spans="1:3" ht="15.75" customHeight="1" x14ac:dyDescent="0.2"/>
    <row r="125" spans="1:3" ht="15.75" customHeight="1" x14ac:dyDescent="0.2"/>
    <row r="126" spans="1:3" ht="15.75" customHeight="1" x14ac:dyDescent="0.2"/>
    <row r="127" spans="1:3" ht="15.75" customHeight="1" x14ac:dyDescent="0.2"/>
    <row r="128" spans="1:3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3"/>
  <sheetViews>
    <sheetView showGridLines="0" tabSelected="1" workbookViewId="0">
      <pane ySplit="3" topLeftCell="A8" activePane="bottomLeft" state="frozen"/>
      <selection pane="bottomLeft" activeCell="B36" sqref="B36"/>
    </sheetView>
  </sheetViews>
  <sheetFormatPr baseColWidth="10" defaultColWidth="14.5" defaultRowHeight="15" customHeight="1" x14ac:dyDescent="0.2"/>
  <cols>
    <col min="1" max="1" width="50" customWidth="1"/>
    <col min="2" max="8" width="15" customWidth="1"/>
    <col min="9" max="9" width="29.6640625" customWidth="1"/>
    <col min="10" max="26" width="8.6640625" customWidth="1"/>
  </cols>
  <sheetData>
    <row r="1" spans="1:7" ht="15.75" customHeight="1" x14ac:dyDescent="0.2">
      <c r="A1" s="78" t="s">
        <v>553</v>
      </c>
      <c r="B1" s="79"/>
      <c r="C1" s="79"/>
      <c r="D1" s="79"/>
      <c r="E1" s="79"/>
      <c r="F1" s="79"/>
      <c r="G1" s="79"/>
    </row>
    <row r="2" spans="1:7" x14ac:dyDescent="0.2">
      <c r="B2" s="79"/>
      <c r="C2" s="79"/>
      <c r="D2" s="79"/>
      <c r="E2" s="79"/>
      <c r="F2" s="79"/>
      <c r="G2" s="79"/>
    </row>
    <row r="3" spans="1:7" ht="15" customHeight="1" x14ac:dyDescent="0.2">
      <c r="A3" s="42" t="s">
        <v>554</v>
      </c>
      <c r="B3" s="80">
        <v>2026</v>
      </c>
      <c r="C3" s="80">
        <v>2027</v>
      </c>
      <c r="D3" s="80">
        <v>2028</v>
      </c>
      <c r="E3" s="80">
        <v>2029</v>
      </c>
      <c r="F3" s="80">
        <v>2030</v>
      </c>
      <c r="G3" s="80" t="s">
        <v>555</v>
      </c>
    </row>
    <row r="4" spans="1:7" ht="15" customHeight="1" x14ac:dyDescent="0.2">
      <c r="A4" s="44" t="s">
        <v>556</v>
      </c>
      <c r="B4" s="81">
        <v>0.9</v>
      </c>
      <c r="C4" s="81">
        <v>1</v>
      </c>
      <c r="D4" s="81">
        <v>1</v>
      </c>
      <c r="E4" s="81">
        <v>1</v>
      </c>
      <c r="F4" s="81">
        <v>1</v>
      </c>
      <c r="G4" s="79"/>
    </row>
    <row r="5" spans="1:7" ht="15" customHeight="1" x14ac:dyDescent="0.2">
      <c r="A5" s="48" t="s">
        <v>557</v>
      </c>
      <c r="B5" s="82">
        <f>B47*(1-SUPUESTOS!$B$36-SUPUESTOS!$B$37)+B14</f>
        <v>2947500</v>
      </c>
      <c r="C5" s="83">
        <f t="shared" ref="C5:F5" si="0">B9+B42+C14-B14</f>
        <v>3187809.8731527096</v>
      </c>
      <c r="D5" s="83">
        <f t="shared" si="0"/>
        <v>4985016.4856611677</v>
      </c>
      <c r="E5" s="83">
        <f t="shared" si="0"/>
        <v>5237747.0035789264</v>
      </c>
      <c r="F5" s="83">
        <f t="shared" si="0"/>
        <v>5467012.8260392705</v>
      </c>
      <c r="G5" s="84"/>
    </row>
    <row r="6" spans="1:7" ht="15" customHeight="1" x14ac:dyDescent="0.2">
      <c r="A6" s="48" t="s">
        <v>558</v>
      </c>
      <c r="B6" s="82">
        <f>B5*SUPUESTOS!$B$22</f>
        <v>1016379.3103448275</v>
      </c>
      <c r="C6" s="82">
        <f>C5*SUPUESTOS!$B$22</f>
        <v>1099244.7838457618</v>
      </c>
      <c r="D6" s="82">
        <f>D5*SUPUESTOS!$B$22</f>
        <v>1718971.2019521266</v>
      </c>
      <c r="E6" s="82">
        <f>E5*SUPUESTOS!$B$22</f>
        <v>1806119.6564065262</v>
      </c>
      <c r="F6" s="82">
        <f>F5*SUPUESTOS!$B$22</f>
        <v>1885176.8365652654</v>
      </c>
      <c r="G6" s="84"/>
    </row>
    <row r="7" spans="1:7" ht="15" customHeight="1" x14ac:dyDescent="0.2">
      <c r="A7" s="48" t="s">
        <v>559</v>
      </c>
      <c r="B7" s="85">
        <v>1</v>
      </c>
      <c r="C7" s="85">
        <v>1</v>
      </c>
      <c r="D7" s="85">
        <v>1</v>
      </c>
      <c r="E7" s="85">
        <v>1</v>
      </c>
      <c r="F7" s="85">
        <v>0</v>
      </c>
      <c r="G7" s="79"/>
    </row>
    <row r="8" spans="1:7" ht="15" customHeight="1" x14ac:dyDescent="0.2">
      <c r="A8" s="48" t="s">
        <v>560</v>
      </c>
      <c r="B8" s="83">
        <f>IF(B7=1,B6*SUPUESTOS!$B$23,0)</f>
        <v>1016379.3103448275</v>
      </c>
      <c r="C8" s="83">
        <f>IF(C7=1,C6*SUPUESTOS!$B$23,0)</f>
        <v>1099244.7838457618</v>
      </c>
      <c r="D8" s="83">
        <f>IF(D7=1,D6*SUPUESTOS!$B$23,0)</f>
        <v>1718971.2019521266</v>
      </c>
      <c r="E8" s="83">
        <f>IF(E7=1,E6*SUPUESTOS!$B$23,0)</f>
        <v>1806119.6564065262</v>
      </c>
      <c r="F8" s="83">
        <f>IF(F7=1,F6*SUPUESTOS!$B$23,0)</f>
        <v>0</v>
      </c>
      <c r="G8" s="84"/>
    </row>
    <row r="9" spans="1:7" ht="15" customHeight="1" x14ac:dyDescent="0.2">
      <c r="A9" s="48" t="s">
        <v>561</v>
      </c>
      <c r="B9" s="83">
        <f t="shared" ref="B9:F9" si="1">B5-B6+B8</f>
        <v>2947500</v>
      </c>
      <c r="C9" s="83">
        <f t="shared" si="1"/>
        <v>3187809.8731527096</v>
      </c>
      <c r="D9" s="83">
        <f t="shared" si="1"/>
        <v>4985016.4856611677</v>
      </c>
      <c r="E9" s="83">
        <f t="shared" si="1"/>
        <v>5237747.0035789264</v>
      </c>
      <c r="F9" s="83">
        <f t="shared" si="1"/>
        <v>3581835.9894740051</v>
      </c>
      <c r="G9" s="84"/>
    </row>
    <row r="10" spans="1:7" ht="15" customHeight="1" x14ac:dyDescent="0.2">
      <c r="A10" s="48" t="s">
        <v>562</v>
      </c>
      <c r="B10" s="84">
        <f>B5+B8</f>
        <v>3963879.3103448274</v>
      </c>
      <c r="C10" s="84">
        <f t="shared" ref="C10:F10" si="2">C8+MAX(0,C5-B9)</f>
        <v>1339554.6569984714</v>
      </c>
      <c r="D10" s="84">
        <f t="shared" si="2"/>
        <v>3516177.8144605849</v>
      </c>
      <c r="E10" s="84">
        <f t="shared" si="2"/>
        <v>2058850.174324285</v>
      </c>
      <c r="F10" s="84">
        <f t="shared" si="2"/>
        <v>229265.82246034406</v>
      </c>
      <c r="G10" s="84">
        <f>SUM(B10:F10)</f>
        <v>11107727.778588513</v>
      </c>
    </row>
    <row r="11" spans="1:7" x14ac:dyDescent="0.2">
      <c r="B11" s="86"/>
      <c r="C11" s="86"/>
      <c r="D11" s="86"/>
      <c r="E11" s="86"/>
      <c r="F11" s="86"/>
      <c r="G11" s="79"/>
    </row>
    <row r="12" spans="1:7" ht="15" customHeight="1" x14ac:dyDescent="0.2">
      <c r="A12" s="87" t="s">
        <v>563</v>
      </c>
      <c r="B12" s="79"/>
      <c r="C12" s="79"/>
      <c r="D12" s="79"/>
      <c r="E12" s="79"/>
      <c r="F12" s="79"/>
      <c r="G12" s="79"/>
    </row>
    <row r="13" spans="1:7" ht="15" customHeight="1" x14ac:dyDescent="0.2">
      <c r="A13" s="48" t="s">
        <v>564</v>
      </c>
      <c r="B13" s="88">
        <v>0</v>
      </c>
      <c r="C13" s="88">
        <v>0</v>
      </c>
      <c r="D13" s="88">
        <v>1</v>
      </c>
      <c r="E13" s="88">
        <v>0</v>
      </c>
      <c r="F13" s="88">
        <v>0</v>
      </c>
      <c r="G13" s="79">
        <v>0</v>
      </c>
    </row>
    <row r="14" spans="1:7" ht="15" customHeight="1" x14ac:dyDescent="0.2">
      <c r="A14" s="48" t="s">
        <v>565</v>
      </c>
      <c r="B14" s="83">
        <f>IF(B13=1, B47*SUPUESTOS!$B$52, 0)</f>
        <v>0</v>
      </c>
      <c r="C14" s="83">
        <f>IF(C13=1, C47*SUPUESTOS!$B$52, B14)</f>
        <v>0</v>
      </c>
      <c r="D14" s="83">
        <f>IF(D13=1, D47*SUPUESTOS!$B$52, C14)</f>
        <v>1679172.161887056</v>
      </c>
      <c r="E14" s="83">
        <f>IF(E13=1, E47*SUPUESTOS!$B$52, D14)</f>
        <v>1679172.161887056</v>
      </c>
      <c r="F14" s="83">
        <f>IF(F13=1, F47*SUPUESTOS!$B$52, E14)</f>
        <v>1679172.161887056</v>
      </c>
      <c r="G14" s="84"/>
    </row>
    <row r="15" spans="1:7" ht="15" customHeight="1" x14ac:dyDescent="0.2">
      <c r="A15" s="48" t="s">
        <v>566</v>
      </c>
      <c r="B15" s="89">
        <f t="shared" ref="B15:F15" si="3">B5</f>
        <v>2947500</v>
      </c>
      <c r="C15" s="89">
        <f t="shared" si="3"/>
        <v>3187809.8731527096</v>
      </c>
      <c r="D15" s="89">
        <f t="shared" si="3"/>
        <v>4985016.4856611677</v>
      </c>
      <c r="E15" s="89">
        <f t="shared" si="3"/>
        <v>5237747.0035789264</v>
      </c>
      <c r="F15" s="89">
        <f t="shared" si="3"/>
        <v>5467012.8260392705</v>
      </c>
      <c r="G15" s="84"/>
    </row>
    <row r="16" spans="1:7" ht="15" customHeight="1" x14ac:dyDescent="0.2">
      <c r="A16" s="48" t="s">
        <v>567</v>
      </c>
      <c r="B16" s="90">
        <f t="shared" ref="B16:F16" si="4">IF(B5&gt;0,B14/B5,0)</f>
        <v>0</v>
      </c>
      <c r="C16" s="90">
        <f t="shared" si="4"/>
        <v>0</v>
      </c>
      <c r="D16" s="90">
        <f t="shared" si="4"/>
        <v>0.3368438533186407</v>
      </c>
      <c r="E16" s="90">
        <f t="shared" si="4"/>
        <v>0.3205905441289329</v>
      </c>
      <c r="F16" s="90">
        <f t="shared" si="4"/>
        <v>0.30714619030875384</v>
      </c>
      <c r="G16" s="79"/>
    </row>
    <row r="17" spans="1:7" x14ac:dyDescent="0.2">
      <c r="B17" s="91"/>
      <c r="C17" s="91"/>
      <c r="D17" s="79"/>
      <c r="E17" s="79"/>
      <c r="F17" s="79"/>
      <c r="G17" s="79"/>
    </row>
    <row r="18" spans="1:7" ht="15" customHeight="1" x14ac:dyDescent="0.2">
      <c r="A18" s="44" t="s">
        <v>568</v>
      </c>
      <c r="B18" s="91"/>
      <c r="C18" s="91"/>
      <c r="D18" s="79"/>
      <c r="E18" s="79"/>
      <c r="F18" s="79"/>
      <c r="G18" s="79"/>
    </row>
    <row r="19" spans="1:7" ht="15" customHeight="1" x14ac:dyDescent="0.2">
      <c r="A19" s="48" t="s">
        <v>569</v>
      </c>
      <c r="B19" s="82">
        <f>((B5+B9)/2)*SUPUESTOS!$B$24*B4</f>
        <v>328941</v>
      </c>
      <c r="C19" s="82">
        <f>((C5+C9)/2)*SUPUESTOS!$B$24*C4</f>
        <v>395288.424270936</v>
      </c>
      <c r="D19" s="82">
        <f>((D5+D9)/2)*SUPUESTOS!$B$24*D4</f>
        <v>618142.0442219848</v>
      </c>
      <c r="E19" s="82">
        <f>((E5+E9)/2)*SUPUESTOS!$B$24*E4</f>
        <v>649480.62844378687</v>
      </c>
      <c r="F19" s="82">
        <f>((F5+F9)/2)*SUPUESTOS!$B$24*F4</f>
        <v>561028.62656182307</v>
      </c>
      <c r="G19" s="84">
        <f t="shared" ref="G19:G21" si="5">SUM(B19:F19)</f>
        <v>2552880.7234985307</v>
      </c>
    </row>
    <row r="20" spans="1:7" ht="15" customHeight="1" x14ac:dyDescent="0.2">
      <c r="A20" s="48" t="s">
        <v>570</v>
      </c>
      <c r="B20" s="82">
        <f>(B10/(1+SUPUESTOS!$B$38))*SUPUESTOS!$B$38</f>
        <v>188756.15763546797</v>
      </c>
      <c r="C20" s="82">
        <f>(C10/(1+SUPUESTOS!$B$38))*SUPUESTOS!$B$38</f>
        <v>63788.316999927214</v>
      </c>
      <c r="D20" s="82">
        <f>(D10/(1+SUPUESTOS!$B$38))*SUPUESTOS!$B$38</f>
        <v>167437.03878383737</v>
      </c>
      <c r="E20" s="82">
        <f>(E10/(1+SUPUESTOS!$B$38))*SUPUESTOS!$B$38</f>
        <v>98040.484491632611</v>
      </c>
      <c r="F20" s="82">
        <f>(F10/(1+SUPUESTOS!$B$38))*SUPUESTOS!$B$38</f>
        <v>10917.420117159241</v>
      </c>
      <c r="G20" s="84">
        <f t="shared" si="5"/>
        <v>528939.41802802437</v>
      </c>
    </row>
    <row r="21" spans="1:7" ht="15" customHeight="1" x14ac:dyDescent="0.2">
      <c r="A21" s="42" t="s">
        <v>571</v>
      </c>
      <c r="B21" s="84">
        <f t="shared" ref="B21:F21" si="6">B19+B20</f>
        <v>517697.15763546794</v>
      </c>
      <c r="C21" s="84">
        <f t="shared" si="6"/>
        <v>459076.74127086322</v>
      </c>
      <c r="D21" s="84">
        <f t="shared" si="6"/>
        <v>785579.08300582215</v>
      </c>
      <c r="E21" s="84">
        <f t="shared" si="6"/>
        <v>747521.11293541943</v>
      </c>
      <c r="F21" s="84">
        <f t="shared" si="6"/>
        <v>571946.04667898233</v>
      </c>
      <c r="G21" s="84">
        <f t="shared" si="5"/>
        <v>3081820.1415265552</v>
      </c>
    </row>
    <row r="22" spans="1:7" ht="15.75" customHeight="1" x14ac:dyDescent="0.2">
      <c r="B22" s="79"/>
      <c r="C22" s="79"/>
      <c r="D22" s="79"/>
      <c r="E22" s="79"/>
      <c r="F22" s="79"/>
      <c r="G22" s="79"/>
    </row>
    <row r="23" spans="1:7" ht="15" customHeight="1" x14ac:dyDescent="0.2">
      <c r="A23" s="44" t="s">
        <v>572</v>
      </c>
      <c r="B23" s="79"/>
      <c r="C23" s="79"/>
      <c r="D23" s="79"/>
      <c r="E23" s="79"/>
      <c r="F23" s="79"/>
      <c r="G23" s="79"/>
    </row>
    <row r="24" spans="1:7" ht="15" customHeight="1" x14ac:dyDescent="0.2">
      <c r="A24" s="48" t="s">
        <v>573</v>
      </c>
      <c r="B24" s="84">
        <f>B47*SUPUESTOS!$B$28</f>
        <v>36000</v>
      </c>
      <c r="C24" s="84">
        <f>C47*SUPUESTOS!$B$28</f>
        <v>38883.718477832517</v>
      </c>
      <c r="D24" s="84">
        <f>D47*SUPUESTOS!$B$28</f>
        <v>40300.131885289346</v>
      </c>
      <c r="E24" s="84">
        <f>E47*SUPUESTOS!$B$28</f>
        <v>43332.898100302453</v>
      </c>
      <c r="F24" s="84">
        <f>F47*SUPUESTOS!$B$28</f>
        <v>46084.087969826571</v>
      </c>
      <c r="G24" s="84">
        <f t="shared" ref="G24:G32" si="7">SUM(B24:F24)</f>
        <v>204600.83643325089</v>
      </c>
    </row>
    <row r="25" spans="1:7" ht="15" customHeight="1" x14ac:dyDescent="0.2">
      <c r="A25" s="48" t="s">
        <v>574</v>
      </c>
      <c r="B25" s="84">
        <f>MAX(B47*SUPUESTOS!$B$29,SUPUESTOS!$B$40)+10000</f>
        <v>31600</v>
      </c>
      <c r="C25" s="84">
        <f>MAX(C47*SUPUESTOS!$B$29,SUPUESTOS!$B$40)</f>
        <v>21600</v>
      </c>
      <c r="D25" s="84">
        <f>MAX(D47*SUPUESTOS!$B$29,SUPUESTOS!$B$40)</f>
        <v>21600</v>
      </c>
      <c r="E25" s="84">
        <f>MAX(E47*SUPUESTOS!$B$29,SUPUESTOS!$B$40)</f>
        <v>21600</v>
      </c>
      <c r="F25" s="84">
        <f>MAX(F47*SUPUESTOS!$B$29,SUPUESTOS!$B$40)</f>
        <v>21600</v>
      </c>
      <c r="G25" s="84">
        <f t="shared" si="7"/>
        <v>118000</v>
      </c>
    </row>
    <row r="26" spans="1:7" ht="15" customHeight="1" x14ac:dyDescent="0.2">
      <c r="A26" s="66" t="s">
        <v>575</v>
      </c>
      <c r="B26" s="92">
        <f>B47*SUPUESTOS!$B$30</f>
        <v>0</v>
      </c>
      <c r="C26" s="92">
        <f>C47*SUPUESTOS!$B$30</f>
        <v>0</v>
      </c>
      <c r="D26" s="92">
        <f>D47*SUPUESTOS!$B$30</f>
        <v>0</v>
      </c>
      <c r="E26" s="92">
        <f>E47*SUPUESTOS!$B$30</f>
        <v>0</v>
      </c>
      <c r="F26" s="92">
        <f>F47*SUPUESTOS!$B$30</f>
        <v>0</v>
      </c>
      <c r="G26" s="92">
        <f t="shared" si="7"/>
        <v>0</v>
      </c>
    </row>
    <row r="27" spans="1:7" ht="15" customHeight="1" x14ac:dyDescent="0.2">
      <c r="A27" s="66" t="s">
        <v>576</v>
      </c>
      <c r="B27" s="92">
        <f>B10*(SUPUESTOS!$B$31)</f>
        <v>49548.491379310348</v>
      </c>
      <c r="C27" s="92">
        <f>C10*(SUPUESTOS!$B$31)</f>
        <v>16744.433212480893</v>
      </c>
      <c r="D27" s="92">
        <f>D10*(SUPUESTOS!$B$31)</f>
        <v>43952.222680757317</v>
      </c>
      <c r="E27" s="92">
        <f>E10*(SUPUESTOS!$B$31)</f>
        <v>25735.627179053565</v>
      </c>
      <c r="F27" s="92">
        <f>F10*(SUPUESTOS!$B$31)</f>
        <v>2865.8227807543008</v>
      </c>
      <c r="G27" s="92">
        <f t="shared" si="7"/>
        <v>138846.59723235641</v>
      </c>
    </row>
    <row r="28" spans="1:7" ht="15" customHeight="1" x14ac:dyDescent="0.2">
      <c r="A28" s="48" t="s">
        <v>577</v>
      </c>
      <c r="B28" s="84">
        <f>SUPUESTOS!$B$42+SUPUESTOS!$B$43+SUPUESTOS!$B$44+SUPUESTOS!$B$45+SUPUESTOS!$B$46+SUPUESTOS!$B$47+SUPUESTOS!$B$48</f>
        <v>68100</v>
      </c>
      <c r="C28" s="84">
        <f>SUPUESTOS!$B$42+SUPUESTOS!$B$43+SUPUESTOS!$B$45+SUPUESTOS!$B$46+SUPUESTOS!$B$47+SUPUESTOS!$B$48</f>
        <v>56000</v>
      </c>
      <c r="D28" s="84">
        <f>SUPUESTOS!$B$42+SUPUESTOS!$B$43+SUPUESTOS!$B$45+SUPUESTOS!$B$46+SUPUESTOS!$B$47+SUPUESTOS!$B$48</f>
        <v>56000</v>
      </c>
      <c r="E28" s="84">
        <f>SUPUESTOS!$B$42+SUPUESTOS!$B$43+SUPUESTOS!$B$45+SUPUESTOS!$B$46+SUPUESTOS!$B$47+SUPUESTOS!$B$48</f>
        <v>56000</v>
      </c>
      <c r="F28" s="84">
        <f>SUPUESTOS!$B$42+SUPUESTOS!$B$43+SUPUESTOS!$B$45+SUPUESTOS!$B$46+SUPUESTOS!$B$47+SUPUESTOS!$B$48</f>
        <v>56000</v>
      </c>
      <c r="G28" s="84">
        <f t="shared" si="7"/>
        <v>292100</v>
      </c>
    </row>
    <row r="29" spans="1:7" ht="15" customHeight="1" x14ac:dyDescent="0.2">
      <c r="A29" s="48" t="s">
        <v>578</v>
      </c>
      <c r="B29" s="84">
        <f>(SUPUESTOS!$B$6+B45)*(SUPUESTOS!$B$36+SUPUESTOS!$B$37)</f>
        <v>52499.999999999993</v>
      </c>
      <c r="C29" s="84">
        <f>C45*(SUPUESTOS!$B$36+SUPUESTOS!$B$37)</f>
        <v>0</v>
      </c>
      <c r="D29" s="84">
        <f>D45*(SUPUESTOS!$B$36+SUPUESTOS!$B$37)</f>
        <v>0</v>
      </c>
      <c r="E29" s="84">
        <f>E45*(SUPUESTOS!$B$36+SUPUESTOS!$B$37)</f>
        <v>0</v>
      </c>
      <c r="F29" s="84">
        <f>F45*(SUPUESTOS!$B$36+SUPUESTOS!$B$37)</f>
        <v>0</v>
      </c>
      <c r="G29" s="84">
        <f t="shared" si="7"/>
        <v>52499.999999999993</v>
      </c>
    </row>
    <row r="30" spans="1:7" ht="15" customHeight="1" x14ac:dyDescent="0.2">
      <c r="A30" s="66" t="s">
        <v>579</v>
      </c>
      <c r="B30" s="84">
        <f>B20*SUPUESTOS!$B$39</f>
        <v>39638.793103448275</v>
      </c>
      <c r="C30" s="84">
        <f>C20*SUPUESTOS!$B$39</f>
        <v>13395.546569984714</v>
      </c>
      <c r="D30" s="84">
        <f>D20*SUPUESTOS!$B$39</f>
        <v>35161.778144605843</v>
      </c>
      <c r="E30" s="84">
        <f>E20*SUPUESTOS!$B$39</f>
        <v>20588.501743242847</v>
      </c>
      <c r="F30" s="84">
        <f>F20*SUPUESTOS!$B$39</f>
        <v>2292.6582246034404</v>
      </c>
      <c r="G30" s="84">
        <f t="shared" si="7"/>
        <v>111077.2777858851</v>
      </c>
    </row>
    <row r="31" spans="1:7" ht="15" customHeight="1" x14ac:dyDescent="0.2">
      <c r="A31" s="93" t="s">
        <v>580</v>
      </c>
      <c r="B31" s="84">
        <f>B14*SUPUESTOS!$B$54</f>
        <v>0</v>
      </c>
      <c r="C31" s="84">
        <f>C14*SUPUESTOS!$B$54</f>
        <v>0</v>
      </c>
      <c r="D31" s="84">
        <f>D14*SUPUESTOS!$B$54</f>
        <v>134333.77295096449</v>
      </c>
      <c r="E31" s="84">
        <f>E14*SUPUESTOS!$B$54</f>
        <v>134333.77295096449</v>
      </c>
      <c r="F31" s="84">
        <f>F14*SUPUESTOS!$B$54</f>
        <v>134333.77295096449</v>
      </c>
      <c r="G31" s="84">
        <f t="shared" si="7"/>
        <v>403001.31885289343</v>
      </c>
    </row>
    <row r="32" spans="1:7" ht="15" customHeight="1" x14ac:dyDescent="0.2">
      <c r="A32" s="42" t="s">
        <v>581</v>
      </c>
      <c r="B32" s="84">
        <f t="shared" ref="B32:F32" si="8">B24+B25+B26+B27+B28+B29+B30+B31+B34</f>
        <v>277387.28448275861</v>
      </c>
      <c r="C32" s="84">
        <f t="shared" si="8"/>
        <v>146623.69826029814</v>
      </c>
      <c r="D32" s="84">
        <f t="shared" si="8"/>
        <v>331347.905661617</v>
      </c>
      <c r="E32" s="84">
        <f t="shared" si="8"/>
        <v>301590.79997356335</v>
      </c>
      <c r="F32" s="84">
        <f t="shared" si="8"/>
        <v>337045.3348317403</v>
      </c>
      <c r="G32" s="84">
        <f t="shared" si="7"/>
        <v>1393995.0232099772</v>
      </c>
    </row>
    <row r="33" spans="1:26" ht="15" customHeight="1" x14ac:dyDescent="0.2">
      <c r="A33" s="94" t="s">
        <v>582</v>
      </c>
      <c r="B33" s="95">
        <f>'RESULTADOS ASESOR TCMC (5Y)'!B14</f>
        <v>6030.9873152709279</v>
      </c>
      <c r="C33" s="95">
        <f>'RESULTADOS ASESOR TCMC (5Y)'!C14</f>
        <v>11803.445062140254</v>
      </c>
      <c r="D33" s="95">
        <f>'RESULTADOS ASESOR TCMC (5Y)'!D14</f>
        <v>25273.051791775852</v>
      </c>
      <c r="E33" s="95">
        <f>'RESULTADOS ASESOR TCMC (5Y)'!E14</f>
        <v>22926.582246034381</v>
      </c>
      <c r="F33" s="95">
        <f>'RESULTADOS ASESOR TCMC (5Y)'!F14</f>
        <v>7834.9264903700741</v>
      </c>
      <c r="G33" s="95">
        <f>'RESULTADOS ASESOR TCMC (5Y)'!G14</f>
        <v>73868.992905591484</v>
      </c>
    </row>
    <row r="34" spans="1:26" ht="15" customHeight="1" x14ac:dyDescent="0.2">
      <c r="A34" s="96" t="s">
        <v>583</v>
      </c>
      <c r="B34" s="97">
        <f>'RESULTADOS ASESOR TCMC (5Y)'!B18</f>
        <v>0</v>
      </c>
      <c r="C34" s="97">
        <f>'RESULTADOS ASESOR TCMC (5Y)'!C18</f>
        <v>0</v>
      </c>
      <c r="D34" s="97">
        <f>'RESULTADOS ASESOR TCMC (5Y)'!D18</f>
        <v>0</v>
      </c>
      <c r="E34" s="97">
        <f>'RESULTADOS ASESOR TCMC (5Y)'!E18</f>
        <v>0</v>
      </c>
      <c r="F34" s="97">
        <f>'RESULTADOS ASESOR TCMC (5Y)'!F18</f>
        <v>73868.992905591484</v>
      </c>
      <c r="G34" s="97">
        <f>'RESULTADOS ASESOR TCMC (5Y)'!G18</f>
        <v>73868.992905591484</v>
      </c>
    </row>
    <row r="35" spans="1:26" ht="15" customHeight="1" x14ac:dyDescent="0.2">
      <c r="A35" s="44"/>
      <c r="B35" s="98">
        <f t="shared" ref="B35:F35" si="9">(B32-B31)/B48</f>
        <v>8.5605172141413235E-2</v>
      </c>
      <c r="C35" s="99">
        <f t="shared" si="9"/>
        <v>4.1270330084012777E-2</v>
      </c>
      <c r="D35" s="99">
        <f t="shared" si="9"/>
        <v>5.1674814742124757E-2</v>
      </c>
      <c r="E35" s="99">
        <f t="shared" si="9"/>
        <v>4.1226722827980872E-2</v>
      </c>
      <c r="F35" s="99">
        <f t="shared" si="9"/>
        <v>4.9742222160045833E-2</v>
      </c>
      <c r="G35" s="99"/>
      <c r="Z35" s="99"/>
    </row>
    <row r="36" spans="1:26" ht="15" customHeight="1" x14ac:dyDescent="0.2">
      <c r="A36" s="216" t="str">
        <f>CONCATENATE("SPONSOR SI &gt; ",SUPUESTOS!B35*100,"%")</f>
        <v>SPONSOR SI &gt; 5.4%</v>
      </c>
      <c r="B36" s="84">
        <f>IF(B35&gt;SUPUESTOS!$B$35,(B48*SUPUESTOS!$B$35)-B32,0)</f>
        <v>-102410.55133251229</v>
      </c>
      <c r="C36" s="84">
        <f>IF(C35&gt;SUPUESTOS!$B$35,(C48*SUPUESTOS!$B$35)-C32,0)</f>
        <v>0</v>
      </c>
      <c r="D36" s="84">
        <f>IF(D35&gt;SUPUESTOS!$B$35,(D48*SUPUESTOS!$B$35)-D32,0)</f>
        <v>0</v>
      </c>
      <c r="E36" s="84">
        <f>IF(E35&gt;SUPUESTOS!$B$35,(E48*SUPUESTOS!$B$35)-E32,0)</f>
        <v>0</v>
      </c>
      <c r="F36" s="84">
        <f>IF(F35&gt;SUPUESTOS!$B$35,(F48*SUPUESTOS!$B$35)-F32,0)</f>
        <v>0</v>
      </c>
      <c r="G36" s="79"/>
    </row>
    <row r="37" spans="1:26" ht="15" customHeight="1" x14ac:dyDescent="0.2">
      <c r="A37" s="44"/>
      <c r="B37" s="79"/>
      <c r="C37" s="79"/>
      <c r="D37" s="79"/>
      <c r="E37" s="79"/>
      <c r="F37" s="79"/>
      <c r="G37" s="79"/>
    </row>
    <row r="38" spans="1:26" ht="15" customHeight="1" x14ac:dyDescent="0.2">
      <c r="A38" s="44" t="s">
        <v>584</v>
      </c>
      <c r="B38" s="79"/>
      <c r="C38" s="79"/>
      <c r="D38" s="79"/>
      <c r="E38" s="79"/>
      <c r="F38" s="79"/>
      <c r="G38" s="79"/>
    </row>
    <row r="39" spans="1:26" ht="15" customHeight="1" x14ac:dyDescent="0.2">
      <c r="A39" s="42" t="s">
        <v>585</v>
      </c>
      <c r="B39" s="84">
        <f t="shared" ref="B39:F39" si="10">B21-B32</f>
        <v>240309.87315270933</v>
      </c>
      <c r="C39" s="84">
        <f t="shared" si="10"/>
        <v>312453.0430105651</v>
      </c>
      <c r="D39" s="84">
        <f t="shared" si="10"/>
        <v>454231.17734420515</v>
      </c>
      <c r="E39" s="84">
        <f t="shared" si="10"/>
        <v>445930.31296185608</v>
      </c>
      <c r="F39" s="84">
        <f t="shared" si="10"/>
        <v>234900.71184724203</v>
      </c>
      <c r="G39" s="84">
        <f>SUM(B39:F39)</f>
        <v>1687825.1183165777</v>
      </c>
    </row>
    <row r="40" spans="1:26" ht="15" customHeight="1" x14ac:dyDescent="0.2">
      <c r="A40" s="48" t="s">
        <v>586</v>
      </c>
      <c r="B40" s="100">
        <f t="shared" ref="B40:F40" si="11">IF(B47&gt;0,B39/B47,0)</f>
        <v>8.0103291050903108E-2</v>
      </c>
      <c r="C40" s="100">
        <f t="shared" si="11"/>
        <v>9.6426902130369113E-2</v>
      </c>
      <c r="D40" s="100">
        <f t="shared" si="11"/>
        <v>0.13525449851245139</v>
      </c>
      <c r="E40" s="100">
        <f t="shared" si="11"/>
        <v>0.12348963466869814</v>
      </c>
      <c r="F40" s="100">
        <f t="shared" si="11"/>
        <v>6.1166634002011958E-2</v>
      </c>
      <c r="G40" s="79"/>
    </row>
    <row r="41" spans="1:26" ht="15" customHeight="1" x14ac:dyDescent="0.2">
      <c r="A41" s="48" t="s">
        <v>587</v>
      </c>
      <c r="B41" s="84">
        <f t="shared" ref="B41:F41" si="12">B79</f>
        <v>0</v>
      </c>
      <c r="C41" s="84">
        <f t="shared" si="12"/>
        <v>194418.59238916257</v>
      </c>
      <c r="D41" s="84">
        <f t="shared" si="12"/>
        <v>201500.65942644671</v>
      </c>
      <c r="E41" s="84">
        <f t="shared" si="12"/>
        <v>216664.49050151222</v>
      </c>
      <c r="F41" s="84">
        <f t="shared" si="12"/>
        <v>0</v>
      </c>
      <c r="G41" s="84">
        <f t="shared" ref="G41:G42" si="13">SUM(B41:F41)</f>
        <v>612583.74231712148</v>
      </c>
    </row>
    <row r="42" spans="1:26" ht="15" customHeight="1" x14ac:dyDescent="0.2">
      <c r="A42" s="48" t="s">
        <v>588</v>
      </c>
      <c r="B42" s="84">
        <f t="shared" ref="B42:F42" si="14">B39-B41</f>
        <v>240309.87315270933</v>
      </c>
      <c r="C42" s="84">
        <f t="shared" si="14"/>
        <v>118034.45062140253</v>
      </c>
      <c r="D42" s="84">
        <f t="shared" si="14"/>
        <v>252730.51791775844</v>
      </c>
      <c r="E42" s="84">
        <f t="shared" si="14"/>
        <v>229265.82246034386</v>
      </c>
      <c r="F42" s="84">
        <f t="shared" si="14"/>
        <v>234900.71184724203</v>
      </c>
      <c r="G42" s="84">
        <f t="shared" si="13"/>
        <v>1075241.375999456</v>
      </c>
    </row>
    <row r="43" spans="1:26" ht="15.75" customHeight="1" x14ac:dyDescent="0.2">
      <c r="B43" s="79"/>
      <c r="C43" s="79"/>
      <c r="D43" s="79"/>
      <c r="E43" s="79"/>
      <c r="F43" s="79"/>
      <c r="G43" s="79"/>
    </row>
    <row r="44" spans="1:26" ht="15" customHeight="1" x14ac:dyDescent="0.2">
      <c r="A44" s="44" t="s">
        <v>589</v>
      </c>
      <c r="B44" s="79"/>
      <c r="C44" s="79"/>
      <c r="D44" s="79"/>
      <c r="E44" s="79"/>
      <c r="F44" s="79"/>
      <c r="G44" s="79"/>
    </row>
    <row r="45" spans="1:26" ht="15" customHeight="1" x14ac:dyDescent="0.2">
      <c r="A45" s="42" t="s">
        <v>590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91">
        <f>SUM(B45:F45)</f>
        <v>0</v>
      </c>
    </row>
    <row r="46" spans="1:26" ht="15" customHeight="1" x14ac:dyDescent="0.2">
      <c r="A46" s="48" t="s">
        <v>591</v>
      </c>
      <c r="B46" s="79"/>
      <c r="C46" s="79"/>
      <c r="D46" s="79"/>
      <c r="E46" s="79"/>
      <c r="F46" s="79"/>
      <c r="G46" s="79"/>
    </row>
    <row r="47" spans="1:26" ht="15" customHeight="1" x14ac:dyDescent="0.2">
      <c r="A47" s="48" t="s">
        <v>592</v>
      </c>
      <c r="B47" s="82">
        <f>SUPUESTOS!$B$6+B45</f>
        <v>3000000</v>
      </c>
      <c r="C47" s="84">
        <f t="shared" ref="C47:F47" si="15">B48-B41+C45</f>
        <v>3240309.8731527096</v>
      </c>
      <c r="D47" s="84">
        <f t="shared" si="15"/>
        <v>3358344.3237741119</v>
      </c>
      <c r="E47" s="84">
        <f t="shared" si="15"/>
        <v>3611074.8416918707</v>
      </c>
      <c r="F47" s="84">
        <f t="shared" si="15"/>
        <v>3840340.6641522143</v>
      </c>
      <c r="G47" s="84"/>
    </row>
    <row r="48" spans="1:26" ht="15" customHeight="1" x14ac:dyDescent="0.2">
      <c r="A48" s="48" t="s">
        <v>593</v>
      </c>
      <c r="B48" s="84">
        <f t="shared" ref="B48:F48" si="16">B47+B39</f>
        <v>3240309.8731527096</v>
      </c>
      <c r="C48" s="84">
        <f t="shared" si="16"/>
        <v>3552762.9161632746</v>
      </c>
      <c r="D48" s="84">
        <f t="shared" si="16"/>
        <v>3812575.5011183172</v>
      </c>
      <c r="E48" s="84">
        <f t="shared" si="16"/>
        <v>4057005.1546537266</v>
      </c>
      <c r="F48" s="84">
        <f t="shared" si="16"/>
        <v>4075241.3759994563</v>
      </c>
      <c r="G48" s="84"/>
    </row>
    <row r="49" spans="1:9" ht="15" customHeight="1" x14ac:dyDescent="0.2">
      <c r="B49" s="79"/>
      <c r="C49" s="84"/>
      <c r="D49" s="84"/>
      <c r="E49" s="84"/>
      <c r="F49" s="79"/>
      <c r="G49" s="79"/>
    </row>
    <row r="50" spans="1:9" ht="15" customHeight="1" x14ac:dyDescent="0.2">
      <c r="A50" s="73" t="s">
        <v>594</v>
      </c>
      <c r="B50" s="79"/>
      <c r="C50" s="79"/>
      <c r="D50" s="79"/>
      <c r="E50" s="79"/>
      <c r="F50" s="79"/>
      <c r="G50" s="79"/>
    </row>
    <row r="51" spans="1:9" ht="15" customHeight="1" x14ac:dyDescent="0.2">
      <c r="A51" s="48" t="s">
        <v>595</v>
      </c>
      <c r="B51" s="84"/>
      <c r="C51" s="84"/>
      <c r="D51" s="84"/>
      <c r="E51" s="84"/>
      <c r="F51" s="84">
        <f>IF(F7=0,F6,0)</f>
        <v>1885176.8365652654</v>
      </c>
      <c r="G51" s="84"/>
    </row>
    <row r="52" spans="1:9" ht="15" customHeight="1" x14ac:dyDescent="0.2">
      <c r="A52" s="48" t="s">
        <v>596</v>
      </c>
      <c r="B52" s="84"/>
      <c r="C52" s="84"/>
      <c r="D52" s="84"/>
      <c r="E52" s="84"/>
      <c r="F52" s="84">
        <f>F9</f>
        <v>3581835.9894740051</v>
      </c>
      <c r="G52" s="84"/>
    </row>
    <row r="53" spans="1:9" ht="15" customHeight="1" x14ac:dyDescent="0.2">
      <c r="A53" s="48" t="s">
        <v>597</v>
      </c>
      <c r="B53" s="84"/>
      <c r="C53" s="84"/>
      <c r="D53" s="84"/>
      <c r="E53" s="84"/>
      <c r="F53" s="84">
        <f>F52/(1+SUPUESTOS!$B$69)</f>
        <v>3286088.0637376192</v>
      </c>
      <c r="G53" s="84"/>
    </row>
    <row r="54" spans="1:9" ht="15" customHeight="1" x14ac:dyDescent="0.2">
      <c r="A54" s="48" t="s">
        <v>598</v>
      </c>
      <c r="B54" s="84"/>
      <c r="C54" s="84"/>
      <c r="D54" s="84"/>
      <c r="E54" s="84"/>
      <c r="F54" s="84">
        <f>F14</f>
        <v>1679172.161887056</v>
      </c>
      <c r="G54" s="84"/>
    </row>
    <row r="55" spans="1:9" ht="15" customHeight="1" x14ac:dyDescent="0.2">
      <c r="A55" s="42" t="s">
        <v>599</v>
      </c>
      <c r="B55" s="84"/>
      <c r="C55" s="84"/>
      <c r="D55" s="84"/>
      <c r="E55" s="84"/>
      <c r="F55" s="84">
        <f>F51+F53-F54</f>
        <v>3492092.7384158289</v>
      </c>
      <c r="G55" s="84"/>
    </row>
    <row r="56" spans="1:9" ht="15.75" customHeight="1" x14ac:dyDescent="0.2">
      <c r="B56" s="79"/>
      <c r="C56" s="79"/>
      <c r="D56" s="79"/>
      <c r="E56" s="79"/>
      <c r="F56" s="79"/>
      <c r="G56" s="79"/>
    </row>
    <row r="57" spans="1:9" ht="15" customHeight="1" x14ac:dyDescent="0.2">
      <c r="A57" s="44" t="s">
        <v>600</v>
      </c>
      <c r="B57" s="79"/>
      <c r="C57" s="79"/>
      <c r="D57" s="79"/>
      <c r="E57" s="79"/>
      <c r="F57" s="79"/>
      <c r="G57" s="79"/>
    </row>
    <row r="58" spans="1:9" ht="15" customHeight="1" x14ac:dyDescent="0.2">
      <c r="A58" s="48" t="s">
        <v>601</v>
      </c>
      <c r="B58" s="84">
        <f t="shared" ref="B58:F58" si="17">B82</f>
        <v>0</v>
      </c>
      <c r="C58" s="84">
        <f t="shared" si="17"/>
        <v>194418.59238916257</v>
      </c>
      <c r="D58" s="84">
        <f t="shared" si="17"/>
        <v>201500.65942644671</v>
      </c>
      <c r="E58" s="84">
        <f t="shared" si="17"/>
        <v>216664.49050151222</v>
      </c>
      <c r="F58" s="84">
        <f t="shared" si="17"/>
        <v>0</v>
      </c>
      <c r="G58" s="84">
        <f t="shared" ref="G58:G59" si="18">SUM(B58:F58)</f>
        <v>612583.74231712148</v>
      </c>
    </row>
    <row r="59" spans="1:9" ht="15" customHeight="1" x14ac:dyDescent="0.2">
      <c r="A59" s="48" t="s">
        <v>602</v>
      </c>
      <c r="B59" s="84">
        <v>0</v>
      </c>
      <c r="C59" s="84">
        <v>0</v>
      </c>
      <c r="D59" s="84">
        <v>0</v>
      </c>
      <c r="E59" s="84">
        <v>0</v>
      </c>
      <c r="F59" s="84">
        <f>F55</f>
        <v>3492092.7384158289</v>
      </c>
      <c r="G59" s="84">
        <f t="shared" si="18"/>
        <v>3492092.7384158289</v>
      </c>
    </row>
    <row r="60" spans="1:9" ht="15" customHeight="1" x14ac:dyDescent="0.2">
      <c r="A60" s="42" t="s">
        <v>603</v>
      </c>
      <c r="B60" s="84">
        <f t="shared" ref="B60:G60" si="19">B58+B59</f>
        <v>0</v>
      </c>
      <c r="C60" s="84">
        <f t="shared" si="19"/>
        <v>194418.59238916257</v>
      </c>
      <c r="D60" s="84">
        <f t="shared" si="19"/>
        <v>201500.65942644671</v>
      </c>
      <c r="E60" s="84">
        <f t="shared" si="19"/>
        <v>216664.49050151222</v>
      </c>
      <c r="F60" s="84">
        <f t="shared" si="19"/>
        <v>3492092.7384158289</v>
      </c>
      <c r="G60" s="84">
        <f t="shared" si="19"/>
        <v>4104676.4807329504</v>
      </c>
    </row>
    <row r="61" spans="1:9" ht="15" customHeight="1" x14ac:dyDescent="0.2">
      <c r="A61" s="48" t="s">
        <v>604</v>
      </c>
      <c r="B61" s="84">
        <f>B60</f>
        <v>0</v>
      </c>
      <c r="C61" s="84">
        <f t="shared" ref="C61:F61" si="20">B61+C60</f>
        <v>194418.59238916257</v>
      </c>
      <c r="D61" s="84">
        <f t="shared" si="20"/>
        <v>395919.25181560928</v>
      </c>
      <c r="E61" s="84">
        <f t="shared" si="20"/>
        <v>612583.74231712148</v>
      </c>
      <c r="F61" s="84">
        <f t="shared" si="20"/>
        <v>4104676.4807329504</v>
      </c>
      <c r="G61" s="84"/>
    </row>
    <row r="62" spans="1:9" ht="15.75" customHeight="1" x14ac:dyDescent="0.2">
      <c r="B62" s="79"/>
      <c r="C62" s="79"/>
      <c r="D62" s="79"/>
      <c r="E62" s="79"/>
      <c r="F62" s="79"/>
      <c r="G62" s="79"/>
    </row>
    <row r="63" spans="1:9" ht="15" customHeight="1" x14ac:dyDescent="0.2">
      <c r="A63" s="44" t="s">
        <v>605</v>
      </c>
      <c r="B63" s="79"/>
      <c r="C63" s="79"/>
      <c r="D63" s="79"/>
      <c r="E63" s="79"/>
      <c r="F63" s="79"/>
      <c r="G63" s="79"/>
    </row>
    <row r="64" spans="1:9" ht="15" customHeight="1" x14ac:dyDescent="0.2">
      <c r="A64" s="48" t="s">
        <v>606</v>
      </c>
      <c r="B64" s="102">
        <f>-SUPUESTOS!$B$6-B45+B60</f>
        <v>-3000000</v>
      </c>
      <c r="C64" s="102">
        <f t="shared" ref="C64:E64" si="21">C60-C45</f>
        <v>194418.59238916257</v>
      </c>
      <c r="D64" s="102">
        <f t="shared" si="21"/>
        <v>201500.65942644671</v>
      </c>
      <c r="E64" s="102">
        <f t="shared" si="21"/>
        <v>216664.49050151222</v>
      </c>
      <c r="F64" s="103">
        <f>-F45+F60</f>
        <v>3492092.7384158289</v>
      </c>
      <c r="G64" s="102"/>
      <c r="H64" s="104"/>
      <c r="I64" s="105" t="s">
        <v>607</v>
      </c>
    </row>
    <row r="65" spans="1:7" ht="15" customHeight="1" x14ac:dyDescent="0.2">
      <c r="A65" s="106" t="s">
        <v>608</v>
      </c>
      <c r="B65" s="107">
        <f>IFERROR(IRR(B64:G64),"-")</f>
        <v>8.8919693347931039E-2</v>
      </c>
      <c r="C65" s="79"/>
      <c r="D65" s="79"/>
      <c r="E65" s="79"/>
      <c r="F65" s="79"/>
      <c r="G65" s="79"/>
    </row>
    <row r="66" spans="1:7" ht="15" customHeight="1" x14ac:dyDescent="0.2">
      <c r="A66" s="48" t="s">
        <v>609</v>
      </c>
      <c r="B66" s="108">
        <f>IF((SUPUESTOS!$B$6+G45)&gt;0,G60/(SUPUESTOS!$B$6+G45),0)</f>
        <v>1.3682254935776501</v>
      </c>
      <c r="C66" s="79"/>
      <c r="D66" s="79"/>
      <c r="E66" s="79"/>
      <c r="F66" s="79"/>
      <c r="G66" s="79"/>
    </row>
    <row r="67" spans="1:7" ht="15" customHeight="1" x14ac:dyDescent="0.2">
      <c r="B67" s="84"/>
      <c r="C67" s="109"/>
      <c r="D67" s="109"/>
      <c r="E67" s="109"/>
      <c r="F67" s="109"/>
      <c r="G67" s="109"/>
    </row>
    <row r="68" spans="1:7" ht="15" customHeight="1" x14ac:dyDescent="0.2">
      <c r="A68" s="110" t="s">
        <v>610</v>
      </c>
      <c r="B68" s="79"/>
      <c r="C68" s="79"/>
      <c r="D68" s="79"/>
      <c r="E68" s="79"/>
      <c r="F68" s="79"/>
      <c r="G68" s="79"/>
    </row>
    <row r="69" spans="1:7" ht="15" customHeight="1" x14ac:dyDescent="0.2">
      <c r="A69" s="26" t="s">
        <v>611</v>
      </c>
      <c r="B69" s="79"/>
      <c r="C69" s="79"/>
      <c r="D69" s="79"/>
      <c r="E69" s="79"/>
      <c r="F69" s="79"/>
      <c r="G69" s="79"/>
    </row>
    <row r="70" spans="1:7" ht="15.75" customHeight="1" x14ac:dyDescent="0.2">
      <c r="B70" s="79"/>
      <c r="C70" s="79"/>
      <c r="D70" s="79"/>
      <c r="E70" s="79"/>
      <c r="F70" s="79"/>
      <c r="G70" s="79"/>
    </row>
    <row r="71" spans="1:7" ht="15.75" customHeight="1" x14ac:dyDescent="0.2">
      <c r="B71" s="79"/>
      <c r="C71" s="79"/>
      <c r="D71" s="79"/>
      <c r="E71" s="79"/>
      <c r="F71" s="79"/>
      <c r="G71" s="79"/>
    </row>
    <row r="72" spans="1:7" ht="15" customHeight="1" x14ac:dyDescent="0.2">
      <c r="A72" s="78" t="s">
        <v>612</v>
      </c>
      <c r="B72" s="79"/>
      <c r="C72" s="79"/>
      <c r="D72" s="79"/>
      <c r="E72" s="79"/>
      <c r="F72" s="79"/>
      <c r="G72" s="79"/>
    </row>
    <row r="73" spans="1:7" ht="15" customHeight="1" x14ac:dyDescent="0.2">
      <c r="A73" s="73" t="s">
        <v>102</v>
      </c>
      <c r="B73" s="80">
        <v>2026</v>
      </c>
      <c r="C73" s="80">
        <v>2027</v>
      </c>
      <c r="D73" s="80">
        <v>2028</v>
      </c>
      <c r="E73" s="80">
        <v>2029</v>
      </c>
      <c r="F73" s="80">
        <v>2030</v>
      </c>
      <c r="G73" s="80" t="s">
        <v>555</v>
      </c>
    </row>
    <row r="74" spans="1:7" ht="15" customHeight="1" x14ac:dyDescent="0.2">
      <c r="A74" s="73" t="s">
        <v>613</v>
      </c>
      <c r="B74" s="84">
        <f t="shared" ref="B74:F74" si="22">MIN(B75, B47)</f>
        <v>0</v>
      </c>
      <c r="C74" s="84">
        <f t="shared" si="22"/>
        <v>0</v>
      </c>
      <c r="D74" s="84">
        <f t="shared" si="22"/>
        <v>0</v>
      </c>
      <c r="E74" s="84">
        <f t="shared" si="22"/>
        <v>0</v>
      </c>
      <c r="F74" s="84">
        <f t="shared" si="22"/>
        <v>0</v>
      </c>
      <c r="G74" s="84">
        <f>SUM(B74:F74)</f>
        <v>0</v>
      </c>
    </row>
    <row r="75" spans="1:7" ht="15" customHeight="1" x14ac:dyDescent="0.2">
      <c r="A75" s="111" t="s">
        <v>614</v>
      </c>
      <c r="B75" s="112">
        <v>0</v>
      </c>
      <c r="C75" s="112">
        <v>0</v>
      </c>
      <c r="D75" s="112">
        <v>0</v>
      </c>
      <c r="E75" s="112">
        <v>0</v>
      </c>
      <c r="F75" s="112">
        <v>0</v>
      </c>
      <c r="G75" s="79"/>
    </row>
    <row r="76" spans="1:7" ht="15" customHeight="1" x14ac:dyDescent="0.2">
      <c r="A76" s="111" t="s">
        <v>615</v>
      </c>
      <c r="B76" s="113">
        <v>0</v>
      </c>
      <c r="C76" s="113">
        <v>0.06</v>
      </c>
      <c r="D76" s="113">
        <v>0.06</v>
      </c>
      <c r="E76" s="113">
        <v>0.06</v>
      </c>
      <c r="F76" s="79"/>
      <c r="G76" s="79"/>
    </row>
    <row r="77" spans="1:7" ht="15" customHeight="1" x14ac:dyDescent="0.2">
      <c r="A77" s="48" t="s">
        <v>616</v>
      </c>
      <c r="B77" s="84">
        <f>IF(1&gt;=SUPUESTOS!$B$58, B47*B76, 0)</f>
        <v>0</v>
      </c>
      <c r="C77" s="84">
        <f>IF(2&gt;=SUPUESTOS!$B$58, C47*C76, 0)</f>
        <v>194418.59238916257</v>
      </c>
      <c r="D77" s="84">
        <f>IF(3&gt;=SUPUESTOS!$B$58, D47*D76, 0)</f>
        <v>201500.65942644671</v>
      </c>
      <c r="E77" s="84">
        <f>IF(4&gt;=SUPUESTOS!$B$58, E47*E76, 0)</f>
        <v>216664.49050151222</v>
      </c>
      <c r="F77" s="84">
        <f>IF(5&gt;=SUPUESTOS!$B$58, F47*F76, 0)</f>
        <v>0</v>
      </c>
      <c r="G77" s="84">
        <f>SUM(B77:F77)</f>
        <v>612583.74231712148</v>
      </c>
    </row>
    <row r="78" spans="1:7" ht="15.75" customHeight="1" x14ac:dyDescent="0.2">
      <c r="B78" s="79"/>
      <c r="C78" s="79"/>
      <c r="D78" s="79"/>
      <c r="E78" s="79"/>
      <c r="F78" s="79"/>
      <c r="G78" s="79"/>
    </row>
    <row r="79" spans="1:7" ht="15" customHeight="1" x14ac:dyDescent="0.2">
      <c r="A79" s="73" t="s">
        <v>617</v>
      </c>
      <c r="B79" s="114">
        <f t="shared" ref="B79:F79" si="23">B74+B77</f>
        <v>0</v>
      </c>
      <c r="C79" s="114">
        <f t="shared" si="23"/>
        <v>194418.59238916257</v>
      </c>
      <c r="D79" s="114">
        <f t="shared" si="23"/>
        <v>201500.65942644671</v>
      </c>
      <c r="E79" s="114">
        <f t="shared" si="23"/>
        <v>216664.49050151222</v>
      </c>
      <c r="F79" s="114">
        <f t="shared" si="23"/>
        <v>0</v>
      </c>
      <c r="G79" s="114">
        <f>SUM(B79:F79)</f>
        <v>612583.74231712148</v>
      </c>
    </row>
    <row r="80" spans="1:7" ht="15" customHeight="1" x14ac:dyDescent="0.2">
      <c r="A80" s="48" t="s">
        <v>618</v>
      </c>
      <c r="B80" s="115">
        <f>SUPUESTOS!$B$59</f>
        <v>0</v>
      </c>
      <c r="C80" s="115">
        <f>SUPUESTOS!$B$59</f>
        <v>0</v>
      </c>
      <c r="D80" s="115">
        <f>SUPUESTOS!$B$59</f>
        <v>0</v>
      </c>
      <c r="E80" s="115">
        <f>SUPUESTOS!$B$59</f>
        <v>0</v>
      </c>
      <c r="F80" s="115">
        <f>SUPUESTOS!$B$59</f>
        <v>0</v>
      </c>
      <c r="G80" s="79"/>
    </row>
    <row r="81" spans="1:7" ht="15" customHeight="1" x14ac:dyDescent="0.2">
      <c r="A81" s="48" t="s">
        <v>619</v>
      </c>
      <c r="B81" s="84">
        <f t="shared" ref="B81:F81" si="24">B79*B80</f>
        <v>0</v>
      </c>
      <c r="C81" s="84">
        <f t="shared" si="24"/>
        <v>0</v>
      </c>
      <c r="D81" s="84">
        <f t="shared" si="24"/>
        <v>0</v>
      </c>
      <c r="E81" s="84">
        <f t="shared" si="24"/>
        <v>0</v>
      </c>
      <c r="F81" s="84">
        <f t="shared" si="24"/>
        <v>0</v>
      </c>
      <c r="G81" s="84">
        <f t="shared" ref="G81:G82" si="25">SUM(B81:F81)</f>
        <v>0</v>
      </c>
    </row>
    <row r="82" spans="1:7" ht="15" customHeight="1" x14ac:dyDescent="0.2">
      <c r="A82" s="73" t="s">
        <v>620</v>
      </c>
      <c r="B82" s="114">
        <f t="shared" ref="B82:F82" si="26">B79-B81</f>
        <v>0</v>
      </c>
      <c r="C82" s="114">
        <f t="shared" si="26"/>
        <v>194418.59238916257</v>
      </c>
      <c r="D82" s="114">
        <f t="shared" si="26"/>
        <v>201500.65942644671</v>
      </c>
      <c r="E82" s="114">
        <f t="shared" si="26"/>
        <v>216664.49050151222</v>
      </c>
      <c r="F82" s="114">
        <f t="shared" si="26"/>
        <v>0</v>
      </c>
      <c r="G82" s="114">
        <f t="shared" si="25"/>
        <v>612583.74231712148</v>
      </c>
    </row>
    <row r="83" spans="1:7" ht="15" customHeight="1" x14ac:dyDescent="0.2">
      <c r="A83" s="48" t="s">
        <v>621</v>
      </c>
      <c r="B83" s="84">
        <f t="shared" ref="B83:F83" si="27">B79</f>
        <v>0</v>
      </c>
      <c r="C83" s="84">
        <f t="shared" si="27"/>
        <v>194418.59238916257</v>
      </c>
      <c r="D83" s="84">
        <f t="shared" si="27"/>
        <v>201500.65942644671</v>
      </c>
      <c r="E83" s="84">
        <f t="shared" si="27"/>
        <v>216664.49050151222</v>
      </c>
      <c r="F83" s="84">
        <f t="shared" si="27"/>
        <v>0</v>
      </c>
      <c r="G83" s="79"/>
    </row>
    <row r="84" spans="1:7" ht="15" customHeight="1" x14ac:dyDescent="0.2">
      <c r="A84" s="48" t="s">
        <v>622</v>
      </c>
      <c r="B84" s="79"/>
      <c r="C84" s="79"/>
      <c r="D84" s="79"/>
      <c r="E84" s="79"/>
      <c r="F84" s="79"/>
      <c r="G84" s="79"/>
    </row>
    <row r="85" spans="1:7" ht="15.75" customHeight="1" x14ac:dyDescent="0.2">
      <c r="B85" s="79"/>
      <c r="C85" s="79"/>
      <c r="D85" s="79"/>
      <c r="E85" s="79"/>
      <c r="F85" s="79"/>
      <c r="G85" s="79"/>
    </row>
    <row r="86" spans="1:7" ht="15.75" customHeight="1" x14ac:dyDescent="0.2">
      <c r="B86" s="79"/>
      <c r="C86" s="79"/>
      <c r="D86" s="79"/>
      <c r="E86" s="79"/>
      <c r="F86" s="79"/>
      <c r="G86" s="79"/>
    </row>
    <row r="87" spans="1:7" ht="15.75" customHeight="1" x14ac:dyDescent="0.2">
      <c r="B87" s="79"/>
      <c r="C87" s="79"/>
      <c r="D87" s="79"/>
      <c r="E87" s="79"/>
      <c r="F87" s="79"/>
      <c r="G87" s="79"/>
    </row>
    <row r="88" spans="1:7" ht="15.75" customHeight="1" x14ac:dyDescent="0.2">
      <c r="B88" s="79"/>
      <c r="C88" s="79"/>
      <c r="D88" s="79"/>
      <c r="E88" s="79"/>
      <c r="F88" s="79"/>
      <c r="G88" s="79"/>
    </row>
    <row r="89" spans="1:7" ht="15.75" customHeight="1" x14ac:dyDescent="0.2">
      <c r="B89" s="79"/>
      <c r="C89" s="79"/>
      <c r="D89" s="79"/>
      <c r="E89" s="79"/>
      <c r="F89" s="79"/>
      <c r="G89" s="79"/>
    </row>
    <row r="90" spans="1:7" ht="15.75" customHeight="1" x14ac:dyDescent="0.2">
      <c r="B90" s="79"/>
      <c r="C90" s="79"/>
      <c r="D90" s="79"/>
      <c r="E90" s="79"/>
      <c r="F90" s="79"/>
      <c r="G90" s="79"/>
    </row>
    <row r="91" spans="1:7" ht="15.75" customHeight="1" x14ac:dyDescent="0.2">
      <c r="B91" s="79"/>
      <c r="C91" s="79"/>
      <c r="D91" s="79"/>
      <c r="E91" s="79"/>
      <c r="F91" s="79"/>
      <c r="G91" s="79"/>
    </row>
    <row r="92" spans="1:7" ht="15.75" customHeight="1" x14ac:dyDescent="0.2">
      <c r="B92" s="79"/>
      <c r="C92" s="79"/>
      <c r="D92" s="79"/>
      <c r="E92" s="79"/>
      <c r="F92" s="79"/>
      <c r="G92" s="79"/>
    </row>
    <row r="93" spans="1:7" ht="15.75" customHeight="1" x14ac:dyDescent="0.2">
      <c r="B93" s="79"/>
      <c r="C93" s="79"/>
      <c r="D93" s="79"/>
      <c r="E93" s="79"/>
      <c r="F93" s="79"/>
      <c r="G93" s="79"/>
    </row>
    <row r="94" spans="1:7" ht="15.75" customHeight="1" x14ac:dyDescent="0.2">
      <c r="B94" s="79"/>
      <c r="C94" s="79"/>
      <c r="D94" s="79"/>
      <c r="E94" s="79"/>
      <c r="F94" s="79"/>
      <c r="G94" s="79"/>
    </row>
    <row r="95" spans="1:7" ht="15.75" customHeight="1" x14ac:dyDescent="0.2">
      <c r="B95" s="79"/>
      <c r="C95" s="79"/>
      <c r="D95" s="79"/>
      <c r="E95" s="79"/>
      <c r="F95" s="79"/>
      <c r="G95" s="79"/>
    </row>
    <row r="96" spans="1:7" ht="15.75" customHeight="1" x14ac:dyDescent="0.2">
      <c r="B96" s="79"/>
      <c r="C96" s="79"/>
      <c r="D96" s="79"/>
      <c r="E96" s="79"/>
      <c r="F96" s="79"/>
      <c r="G96" s="79"/>
    </row>
    <row r="97" spans="2:7" ht="15.75" customHeight="1" x14ac:dyDescent="0.2">
      <c r="B97" s="79"/>
      <c r="C97" s="79"/>
      <c r="D97" s="79"/>
      <c r="E97" s="79"/>
      <c r="F97" s="79"/>
      <c r="G97" s="79"/>
    </row>
    <row r="98" spans="2:7" ht="15.75" customHeight="1" x14ac:dyDescent="0.2">
      <c r="B98" s="79"/>
      <c r="C98" s="79"/>
      <c r="D98" s="79"/>
      <c r="E98" s="79"/>
      <c r="F98" s="79"/>
      <c r="G98" s="79"/>
    </row>
    <row r="99" spans="2:7" ht="15.75" customHeight="1" x14ac:dyDescent="0.2">
      <c r="B99" s="79"/>
      <c r="C99" s="79"/>
      <c r="D99" s="79"/>
      <c r="E99" s="79"/>
      <c r="F99" s="79"/>
      <c r="G99" s="79"/>
    </row>
    <row r="100" spans="2:7" ht="15.75" customHeight="1" x14ac:dyDescent="0.2">
      <c r="B100" s="79"/>
      <c r="C100" s="79"/>
      <c r="D100" s="79"/>
      <c r="E100" s="79"/>
      <c r="F100" s="79"/>
      <c r="G100" s="79"/>
    </row>
    <row r="101" spans="2:7" ht="15.75" customHeight="1" x14ac:dyDescent="0.2">
      <c r="B101" s="79"/>
      <c r="C101" s="79"/>
      <c r="D101" s="79"/>
      <c r="E101" s="79"/>
      <c r="F101" s="79"/>
      <c r="G101" s="79"/>
    </row>
    <row r="102" spans="2:7" ht="15.75" customHeight="1" x14ac:dyDescent="0.2">
      <c r="B102" s="79"/>
      <c r="C102" s="79"/>
      <c r="D102" s="79"/>
      <c r="E102" s="79"/>
      <c r="F102" s="79"/>
      <c r="G102" s="79"/>
    </row>
    <row r="103" spans="2:7" ht="15.75" customHeight="1" x14ac:dyDescent="0.2">
      <c r="B103" s="79"/>
      <c r="C103" s="79"/>
      <c r="D103" s="79"/>
      <c r="E103" s="79"/>
      <c r="F103" s="79"/>
      <c r="G103" s="79"/>
    </row>
    <row r="104" spans="2:7" ht="15.75" customHeight="1" x14ac:dyDescent="0.2">
      <c r="B104" s="79"/>
      <c r="C104" s="79"/>
      <c r="D104" s="79"/>
      <c r="E104" s="79"/>
      <c r="F104" s="79"/>
      <c r="G104" s="79"/>
    </row>
    <row r="105" spans="2:7" ht="15.75" customHeight="1" x14ac:dyDescent="0.2">
      <c r="B105" s="79"/>
      <c r="C105" s="79"/>
      <c r="D105" s="79"/>
      <c r="E105" s="79"/>
      <c r="F105" s="79"/>
      <c r="G105" s="79"/>
    </row>
    <row r="106" spans="2:7" ht="15.75" customHeight="1" x14ac:dyDescent="0.2">
      <c r="B106" s="79"/>
      <c r="C106" s="79"/>
      <c r="D106" s="79"/>
      <c r="E106" s="79"/>
      <c r="F106" s="79"/>
      <c r="G106" s="79"/>
    </row>
    <row r="107" spans="2:7" ht="15.75" customHeight="1" x14ac:dyDescent="0.2">
      <c r="B107" s="79"/>
      <c r="C107" s="79"/>
      <c r="D107" s="79"/>
      <c r="E107" s="79"/>
      <c r="F107" s="79"/>
      <c r="G107" s="79"/>
    </row>
    <row r="108" spans="2:7" ht="15.75" customHeight="1" x14ac:dyDescent="0.2">
      <c r="B108" s="79"/>
      <c r="C108" s="79"/>
      <c r="D108" s="79"/>
      <c r="E108" s="79"/>
      <c r="F108" s="79"/>
      <c r="G108" s="79"/>
    </row>
    <row r="109" spans="2:7" ht="15.75" customHeight="1" x14ac:dyDescent="0.2">
      <c r="B109" s="79"/>
      <c r="C109" s="79"/>
      <c r="D109" s="79"/>
      <c r="E109" s="79"/>
      <c r="F109" s="79"/>
      <c r="G109" s="79"/>
    </row>
    <row r="110" spans="2:7" ht="15.75" customHeight="1" x14ac:dyDescent="0.2">
      <c r="B110" s="79"/>
      <c r="C110" s="79"/>
      <c r="D110" s="79"/>
      <c r="E110" s="79"/>
      <c r="F110" s="79"/>
      <c r="G110" s="79"/>
    </row>
    <row r="111" spans="2:7" ht="15.75" customHeight="1" x14ac:dyDescent="0.2">
      <c r="B111" s="79"/>
      <c r="C111" s="79"/>
      <c r="D111" s="79"/>
      <c r="E111" s="79"/>
      <c r="F111" s="79"/>
      <c r="G111" s="79"/>
    </row>
    <row r="112" spans="2:7" ht="15.75" customHeight="1" x14ac:dyDescent="0.2">
      <c r="B112" s="79"/>
      <c r="C112" s="79"/>
      <c r="D112" s="79"/>
      <c r="E112" s="79"/>
      <c r="F112" s="79"/>
      <c r="G112" s="79"/>
    </row>
    <row r="113" spans="2:7" ht="15.75" customHeight="1" x14ac:dyDescent="0.2">
      <c r="B113" s="79"/>
      <c r="C113" s="79"/>
      <c r="D113" s="79"/>
      <c r="E113" s="79"/>
      <c r="F113" s="79"/>
      <c r="G113" s="79"/>
    </row>
    <row r="114" spans="2:7" ht="15.75" customHeight="1" x14ac:dyDescent="0.2">
      <c r="B114" s="79"/>
      <c r="C114" s="79"/>
      <c r="D114" s="79"/>
      <c r="E114" s="79"/>
      <c r="F114" s="79"/>
      <c r="G114" s="79"/>
    </row>
    <row r="115" spans="2:7" ht="15.75" customHeight="1" x14ac:dyDescent="0.2">
      <c r="B115" s="79"/>
      <c r="C115" s="79"/>
      <c r="D115" s="79"/>
      <c r="E115" s="79"/>
      <c r="F115" s="79"/>
      <c r="G115" s="79"/>
    </row>
    <row r="116" spans="2:7" ht="15.75" customHeight="1" x14ac:dyDescent="0.2">
      <c r="B116" s="79"/>
      <c r="C116" s="79"/>
      <c r="D116" s="79"/>
      <c r="E116" s="79"/>
      <c r="F116" s="79"/>
      <c r="G116" s="79"/>
    </row>
    <row r="117" spans="2:7" ht="15.75" customHeight="1" x14ac:dyDescent="0.2">
      <c r="B117" s="79"/>
      <c r="C117" s="79"/>
      <c r="D117" s="79"/>
      <c r="E117" s="79"/>
      <c r="F117" s="79"/>
      <c r="G117" s="79"/>
    </row>
    <row r="118" spans="2:7" ht="15.75" customHeight="1" x14ac:dyDescent="0.2">
      <c r="B118" s="79"/>
      <c r="C118" s="79"/>
      <c r="D118" s="79"/>
      <c r="E118" s="79"/>
      <c r="F118" s="79"/>
      <c r="G118" s="79"/>
    </row>
    <row r="119" spans="2:7" ht="15.75" customHeight="1" x14ac:dyDescent="0.2">
      <c r="B119" s="79"/>
      <c r="C119" s="79"/>
      <c r="D119" s="79"/>
      <c r="E119" s="79"/>
      <c r="F119" s="79"/>
      <c r="G119" s="79"/>
    </row>
    <row r="120" spans="2:7" ht="15.75" customHeight="1" x14ac:dyDescent="0.2">
      <c r="B120" s="79"/>
      <c r="C120" s="79"/>
      <c r="D120" s="79"/>
      <c r="E120" s="79"/>
      <c r="F120" s="79"/>
      <c r="G120" s="79"/>
    </row>
    <row r="121" spans="2:7" ht="15.75" customHeight="1" x14ac:dyDescent="0.2">
      <c r="B121" s="79"/>
      <c r="C121" s="79"/>
      <c r="D121" s="79"/>
      <c r="E121" s="79"/>
      <c r="F121" s="79"/>
      <c r="G121" s="79"/>
    </row>
    <row r="122" spans="2:7" ht="15.75" customHeight="1" x14ac:dyDescent="0.2">
      <c r="B122" s="79"/>
      <c r="C122" s="79"/>
      <c r="D122" s="79"/>
      <c r="E122" s="79"/>
      <c r="F122" s="79"/>
      <c r="G122" s="79"/>
    </row>
    <row r="123" spans="2:7" ht="15.75" customHeight="1" x14ac:dyDescent="0.2">
      <c r="B123" s="79"/>
      <c r="C123" s="79"/>
      <c r="D123" s="79"/>
      <c r="E123" s="79"/>
      <c r="F123" s="79"/>
      <c r="G123" s="79"/>
    </row>
    <row r="124" spans="2:7" ht="15.75" customHeight="1" x14ac:dyDescent="0.2">
      <c r="B124" s="79"/>
      <c r="C124" s="79"/>
      <c r="D124" s="79"/>
      <c r="E124" s="79"/>
      <c r="F124" s="79"/>
      <c r="G124" s="79"/>
    </row>
    <row r="125" spans="2:7" ht="15.75" customHeight="1" x14ac:dyDescent="0.2">
      <c r="B125" s="79"/>
      <c r="C125" s="79"/>
      <c r="D125" s="79"/>
      <c r="E125" s="79"/>
      <c r="F125" s="79"/>
      <c r="G125" s="79"/>
    </row>
    <row r="126" spans="2:7" ht="15.75" customHeight="1" x14ac:dyDescent="0.2">
      <c r="B126" s="79"/>
      <c r="C126" s="79"/>
      <c r="D126" s="79"/>
      <c r="E126" s="79"/>
      <c r="F126" s="79"/>
      <c r="G126" s="79"/>
    </row>
    <row r="127" spans="2:7" ht="15.75" customHeight="1" x14ac:dyDescent="0.2">
      <c r="B127" s="79"/>
      <c r="C127" s="79"/>
      <c r="D127" s="79"/>
      <c r="E127" s="79"/>
      <c r="F127" s="79"/>
      <c r="G127" s="79"/>
    </row>
    <row r="128" spans="2:7" ht="15.75" customHeight="1" x14ac:dyDescent="0.2">
      <c r="B128" s="79"/>
      <c r="C128" s="79"/>
      <c r="D128" s="79"/>
      <c r="E128" s="79"/>
      <c r="F128" s="79"/>
      <c r="G128" s="79"/>
    </row>
    <row r="129" spans="2:7" ht="15.75" customHeight="1" x14ac:dyDescent="0.2">
      <c r="B129" s="79"/>
      <c r="C129" s="79"/>
      <c r="D129" s="79"/>
      <c r="E129" s="79"/>
      <c r="F129" s="79"/>
      <c r="G129" s="79"/>
    </row>
    <row r="130" spans="2:7" ht="15.75" customHeight="1" x14ac:dyDescent="0.2">
      <c r="B130" s="79"/>
      <c r="C130" s="79"/>
      <c r="D130" s="79"/>
      <c r="E130" s="79"/>
      <c r="F130" s="79"/>
      <c r="G130" s="79"/>
    </row>
    <row r="131" spans="2:7" ht="15.75" customHeight="1" x14ac:dyDescent="0.2">
      <c r="B131" s="79"/>
      <c r="C131" s="79"/>
      <c r="D131" s="79"/>
      <c r="E131" s="79"/>
      <c r="F131" s="79"/>
      <c r="G131" s="79"/>
    </row>
    <row r="132" spans="2:7" ht="15.75" customHeight="1" x14ac:dyDescent="0.2">
      <c r="B132" s="79"/>
      <c r="C132" s="79"/>
      <c r="D132" s="79"/>
      <c r="E132" s="79"/>
      <c r="F132" s="79"/>
      <c r="G132" s="79"/>
    </row>
    <row r="133" spans="2:7" ht="15.75" customHeight="1" x14ac:dyDescent="0.2">
      <c r="B133" s="79"/>
      <c r="C133" s="79"/>
      <c r="D133" s="79"/>
      <c r="E133" s="79"/>
      <c r="F133" s="79"/>
      <c r="G133" s="79"/>
    </row>
    <row r="134" spans="2:7" ht="15.75" customHeight="1" x14ac:dyDescent="0.2">
      <c r="B134" s="79"/>
      <c r="C134" s="79"/>
      <c r="D134" s="79"/>
      <c r="E134" s="79"/>
      <c r="F134" s="79"/>
      <c r="G134" s="79"/>
    </row>
    <row r="135" spans="2:7" ht="15.75" customHeight="1" x14ac:dyDescent="0.2">
      <c r="B135" s="79"/>
      <c r="C135" s="79"/>
      <c r="D135" s="79"/>
      <c r="E135" s="79"/>
      <c r="F135" s="79"/>
      <c r="G135" s="79"/>
    </row>
    <row r="136" spans="2:7" ht="15.75" customHeight="1" x14ac:dyDescent="0.2">
      <c r="B136" s="79"/>
      <c r="C136" s="79"/>
      <c r="D136" s="79"/>
      <c r="E136" s="79"/>
      <c r="F136" s="79"/>
      <c r="G136" s="79"/>
    </row>
    <row r="137" spans="2:7" ht="15.75" customHeight="1" x14ac:dyDescent="0.2">
      <c r="B137" s="79"/>
      <c r="C137" s="79"/>
      <c r="D137" s="79"/>
      <c r="E137" s="79"/>
      <c r="F137" s="79"/>
      <c r="G137" s="79"/>
    </row>
    <row r="138" spans="2:7" ht="15.75" customHeight="1" x14ac:dyDescent="0.2">
      <c r="B138" s="79"/>
      <c r="C138" s="79"/>
      <c r="D138" s="79"/>
      <c r="E138" s="79"/>
      <c r="F138" s="79"/>
      <c r="G138" s="79"/>
    </row>
    <row r="139" spans="2:7" ht="15.75" customHeight="1" x14ac:dyDescent="0.2">
      <c r="B139" s="79"/>
      <c r="C139" s="79"/>
      <c r="D139" s="79"/>
      <c r="E139" s="79"/>
      <c r="F139" s="79"/>
      <c r="G139" s="79"/>
    </row>
    <row r="140" spans="2:7" ht="15.75" customHeight="1" x14ac:dyDescent="0.2">
      <c r="B140" s="79"/>
      <c r="C140" s="79"/>
      <c r="D140" s="79"/>
      <c r="E140" s="79"/>
      <c r="F140" s="79"/>
      <c r="G140" s="79"/>
    </row>
    <row r="141" spans="2:7" ht="15.75" customHeight="1" x14ac:dyDescent="0.2">
      <c r="B141" s="79"/>
      <c r="C141" s="79"/>
      <c r="D141" s="79"/>
      <c r="E141" s="79"/>
      <c r="F141" s="79"/>
      <c r="G141" s="79"/>
    </row>
    <row r="142" spans="2:7" ht="15.75" customHeight="1" x14ac:dyDescent="0.2">
      <c r="B142" s="79"/>
      <c r="C142" s="79"/>
      <c r="D142" s="79"/>
      <c r="E142" s="79"/>
      <c r="F142" s="79"/>
      <c r="G142" s="79"/>
    </row>
    <row r="143" spans="2:7" ht="15.75" customHeight="1" x14ac:dyDescent="0.2">
      <c r="B143" s="79"/>
      <c r="C143" s="79"/>
      <c r="D143" s="79"/>
      <c r="E143" s="79"/>
      <c r="F143" s="79"/>
      <c r="G143" s="79"/>
    </row>
    <row r="144" spans="2:7" ht="15.75" customHeight="1" x14ac:dyDescent="0.2">
      <c r="B144" s="79"/>
      <c r="C144" s="79"/>
      <c r="D144" s="79"/>
      <c r="E144" s="79"/>
      <c r="F144" s="79"/>
      <c r="G144" s="79"/>
    </row>
    <row r="145" spans="2:7" ht="15.75" customHeight="1" x14ac:dyDescent="0.2">
      <c r="B145" s="79"/>
      <c r="C145" s="79"/>
      <c r="D145" s="79"/>
      <c r="E145" s="79"/>
      <c r="F145" s="79"/>
      <c r="G145" s="79"/>
    </row>
    <row r="146" spans="2:7" ht="15.75" customHeight="1" x14ac:dyDescent="0.2">
      <c r="B146" s="79"/>
      <c r="C146" s="79"/>
      <c r="D146" s="79"/>
      <c r="E146" s="79"/>
      <c r="F146" s="79"/>
      <c r="G146" s="79"/>
    </row>
    <row r="147" spans="2:7" ht="15.75" customHeight="1" x14ac:dyDescent="0.2">
      <c r="B147" s="79"/>
      <c r="C147" s="79"/>
      <c r="D147" s="79"/>
      <c r="E147" s="79"/>
      <c r="F147" s="79"/>
      <c r="G147" s="79"/>
    </row>
    <row r="148" spans="2:7" ht="15.75" customHeight="1" x14ac:dyDescent="0.2">
      <c r="B148" s="79"/>
      <c r="C148" s="79"/>
      <c r="D148" s="79"/>
      <c r="E148" s="79"/>
      <c r="F148" s="79"/>
      <c r="G148" s="79"/>
    </row>
    <row r="149" spans="2:7" ht="15.75" customHeight="1" x14ac:dyDescent="0.2">
      <c r="B149" s="79"/>
      <c r="C149" s="79"/>
      <c r="D149" s="79"/>
      <c r="E149" s="79"/>
      <c r="F149" s="79"/>
      <c r="G149" s="79"/>
    </row>
    <row r="150" spans="2:7" ht="15.75" customHeight="1" x14ac:dyDescent="0.2">
      <c r="B150" s="79"/>
      <c r="C150" s="79"/>
      <c r="D150" s="79"/>
      <c r="E150" s="79"/>
      <c r="F150" s="79"/>
      <c r="G150" s="79"/>
    </row>
    <row r="151" spans="2:7" ht="15.75" customHeight="1" x14ac:dyDescent="0.2">
      <c r="B151" s="79"/>
      <c r="C151" s="79"/>
      <c r="D151" s="79"/>
      <c r="E151" s="79"/>
      <c r="F151" s="79"/>
      <c r="G151" s="79"/>
    </row>
    <row r="152" spans="2:7" ht="15.75" customHeight="1" x14ac:dyDescent="0.2">
      <c r="B152" s="79"/>
      <c r="C152" s="79"/>
      <c r="D152" s="79"/>
      <c r="E152" s="79"/>
      <c r="F152" s="79"/>
      <c r="G152" s="79"/>
    </row>
    <row r="153" spans="2:7" ht="15.75" customHeight="1" x14ac:dyDescent="0.2">
      <c r="B153" s="79"/>
      <c r="C153" s="79"/>
      <c r="D153" s="79"/>
      <c r="E153" s="79"/>
      <c r="F153" s="79"/>
      <c r="G153" s="79"/>
    </row>
    <row r="154" spans="2:7" ht="15.75" customHeight="1" x14ac:dyDescent="0.2">
      <c r="B154" s="79"/>
      <c r="C154" s="79"/>
      <c r="D154" s="79"/>
      <c r="E154" s="79"/>
      <c r="F154" s="79"/>
      <c r="G154" s="79"/>
    </row>
    <row r="155" spans="2:7" ht="15.75" customHeight="1" x14ac:dyDescent="0.2">
      <c r="B155" s="79"/>
      <c r="C155" s="79"/>
      <c r="D155" s="79"/>
      <c r="E155" s="79"/>
      <c r="F155" s="79"/>
      <c r="G155" s="79"/>
    </row>
    <row r="156" spans="2:7" ht="15.75" customHeight="1" x14ac:dyDescent="0.2">
      <c r="B156" s="79"/>
      <c r="C156" s="79"/>
      <c r="D156" s="79"/>
      <c r="E156" s="79"/>
      <c r="F156" s="79"/>
      <c r="G156" s="79"/>
    </row>
    <row r="157" spans="2:7" ht="15.75" customHeight="1" x14ac:dyDescent="0.2">
      <c r="B157" s="79"/>
      <c r="C157" s="79"/>
      <c r="D157" s="79"/>
      <c r="E157" s="79"/>
      <c r="F157" s="79"/>
      <c r="G157" s="79"/>
    </row>
    <row r="158" spans="2:7" ht="15.75" customHeight="1" x14ac:dyDescent="0.2">
      <c r="B158" s="79"/>
      <c r="C158" s="79"/>
      <c r="D158" s="79"/>
      <c r="E158" s="79"/>
      <c r="F158" s="79"/>
      <c r="G158" s="79"/>
    </row>
    <row r="159" spans="2:7" ht="15.75" customHeight="1" x14ac:dyDescent="0.2">
      <c r="B159" s="79"/>
      <c r="C159" s="79"/>
      <c r="D159" s="79"/>
      <c r="E159" s="79"/>
      <c r="F159" s="79"/>
      <c r="G159" s="79"/>
    </row>
    <row r="160" spans="2:7" ht="15.75" customHeight="1" x14ac:dyDescent="0.2">
      <c r="B160" s="79"/>
      <c r="C160" s="79"/>
      <c r="D160" s="79"/>
      <c r="E160" s="79"/>
      <c r="F160" s="79"/>
      <c r="G160" s="79"/>
    </row>
    <row r="161" spans="2:7" ht="15.75" customHeight="1" x14ac:dyDescent="0.2">
      <c r="B161" s="79"/>
      <c r="C161" s="79"/>
      <c r="D161" s="79"/>
      <c r="E161" s="79"/>
      <c r="F161" s="79"/>
      <c r="G161" s="79"/>
    </row>
    <row r="162" spans="2:7" ht="15.75" customHeight="1" x14ac:dyDescent="0.2">
      <c r="B162" s="79"/>
      <c r="C162" s="79"/>
      <c r="D162" s="79"/>
      <c r="E162" s="79"/>
      <c r="F162" s="79"/>
      <c r="G162" s="79"/>
    </row>
    <row r="163" spans="2:7" ht="15.75" customHeight="1" x14ac:dyDescent="0.2">
      <c r="B163" s="79"/>
      <c r="C163" s="79"/>
      <c r="D163" s="79"/>
      <c r="E163" s="79"/>
      <c r="F163" s="79"/>
      <c r="G163" s="79"/>
    </row>
    <row r="164" spans="2:7" ht="15.75" customHeight="1" x14ac:dyDescent="0.2">
      <c r="B164" s="79"/>
      <c r="C164" s="79"/>
      <c r="D164" s="79"/>
      <c r="E164" s="79"/>
      <c r="F164" s="79"/>
      <c r="G164" s="79"/>
    </row>
    <row r="165" spans="2:7" ht="15.75" customHeight="1" x14ac:dyDescent="0.2">
      <c r="B165" s="79"/>
      <c r="C165" s="79"/>
      <c r="D165" s="79"/>
      <c r="E165" s="79"/>
      <c r="F165" s="79"/>
      <c r="G165" s="79"/>
    </row>
    <row r="166" spans="2:7" ht="15.75" customHeight="1" x14ac:dyDescent="0.2">
      <c r="B166" s="79"/>
      <c r="C166" s="79"/>
      <c r="D166" s="79"/>
      <c r="E166" s="79"/>
      <c r="F166" s="79"/>
      <c r="G166" s="79"/>
    </row>
    <row r="167" spans="2:7" ht="15.75" customHeight="1" x14ac:dyDescent="0.2">
      <c r="B167" s="79"/>
      <c r="C167" s="79"/>
      <c r="D167" s="79"/>
      <c r="E167" s="79"/>
      <c r="F167" s="79"/>
      <c r="G167" s="79"/>
    </row>
    <row r="168" spans="2:7" ht="15.75" customHeight="1" x14ac:dyDescent="0.2">
      <c r="B168" s="79"/>
      <c r="C168" s="79"/>
      <c r="D168" s="79"/>
      <c r="E168" s="79"/>
      <c r="F168" s="79"/>
      <c r="G168" s="79"/>
    </row>
    <row r="169" spans="2:7" ht="15.75" customHeight="1" x14ac:dyDescent="0.2">
      <c r="B169" s="79"/>
      <c r="C169" s="79"/>
      <c r="D169" s="79"/>
      <c r="E169" s="79"/>
      <c r="F169" s="79"/>
      <c r="G169" s="79"/>
    </row>
    <row r="170" spans="2:7" ht="15.75" customHeight="1" x14ac:dyDescent="0.2">
      <c r="B170" s="79"/>
      <c r="C170" s="79"/>
      <c r="D170" s="79"/>
      <c r="E170" s="79"/>
      <c r="F170" s="79"/>
      <c r="G170" s="79"/>
    </row>
    <row r="171" spans="2:7" ht="15.75" customHeight="1" x14ac:dyDescent="0.2">
      <c r="B171" s="79"/>
      <c r="C171" s="79"/>
      <c r="D171" s="79"/>
      <c r="E171" s="79"/>
      <c r="F171" s="79"/>
      <c r="G171" s="79"/>
    </row>
    <row r="172" spans="2:7" ht="15.75" customHeight="1" x14ac:dyDescent="0.2">
      <c r="B172" s="79"/>
      <c r="C172" s="79"/>
      <c r="D172" s="79"/>
      <c r="E172" s="79"/>
      <c r="F172" s="79"/>
      <c r="G172" s="79"/>
    </row>
    <row r="173" spans="2:7" ht="15.75" customHeight="1" x14ac:dyDescent="0.2">
      <c r="B173" s="79"/>
      <c r="C173" s="79"/>
      <c r="D173" s="79"/>
      <c r="E173" s="79"/>
      <c r="F173" s="79"/>
      <c r="G173" s="79"/>
    </row>
    <row r="174" spans="2:7" ht="15.75" customHeight="1" x14ac:dyDescent="0.2">
      <c r="B174" s="79"/>
      <c r="C174" s="79"/>
      <c r="D174" s="79"/>
      <c r="E174" s="79"/>
      <c r="F174" s="79"/>
      <c r="G174" s="79"/>
    </row>
    <row r="175" spans="2:7" ht="15.75" customHeight="1" x14ac:dyDescent="0.2">
      <c r="B175" s="79"/>
      <c r="C175" s="79"/>
      <c r="D175" s="79"/>
      <c r="E175" s="79"/>
      <c r="F175" s="79"/>
      <c r="G175" s="79"/>
    </row>
    <row r="176" spans="2:7" ht="15.75" customHeight="1" x14ac:dyDescent="0.2">
      <c r="B176" s="79"/>
      <c r="C176" s="79"/>
      <c r="D176" s="79"/>
      <c r="E176" s="79"/>
      <c r="F176" s="79"/>
      <c r="G176" s="79"/>
    </row>
    <row r="177" spans="2:7" ht="15.75" customHeight="1" x14ac:dyDescent="0.2">
      <c r="B177" s="79"/>
      <c r="C177" s="79"/>
      <c r="D177" s="79"/>
      <c r="E177" s="79"/>
      <c r="F177" s="79"/>
      <c r="G177" s="79"/>
    </row>
    <row r="178" spans="2:7" ht="15.75" customHeight="1" x14ac:dyDescent="0.2">
      <c r="B178" s="79"/>
      <c r="C178" s="79"/>
      <c r="D178" s="79"/>
      <c r="E178" s="79"/>
      <c r="F178" s="79"/>
      <c r="G178" s="79"/>
    </row>
    <row r="179" spans="2:7" ht="15.75" customHeight="1" x14ac:dyDescent="0.2">
      <c r="B179" s="79"/>
      <c r="C179" s="79"/>
      <c r="D179" s="79"/>
      <c r="E179" s="79"/>
      <c r="F179" s="79"/>
      <c r="G179" s="79"/>
    </row>
    <row r="180" spans="2:7" ht="15.75" customHeight="1" x14ac:dyDescent="0.2">
      <c r="B180" s="79"/>
      <c r="C180" s="79"/>
      <c r="D180" s="79"/>
      <c r="E180" s="79"/>
      <c r="F180" s="79"/>
      <c r="G180" s="79"/>
    </row>
    <row r="181" spans="2:7" ht="15.75" customHeight="1" x14ac:dyDescent="0.2">
      <c r="B181" s="79"/>
      <c r="C181" s="79"/>
      <c r="D181" s="79"/>
      <c r="E181" s="79"/>
      <c r="F181" s="79"/>
      <c r="G181" s="79"/>
    </row>
    <row r="182" spans="2:7" ht="15.75" customHeight="1" x14ac:dyDescent="0.2">
      <c r="B182" s="79"/>
      <c r="C182" s="79"/>
      <c r="D182" s="79"/>
      <c r="E182" s="79"/>
      <c r="F182" s="79"/>
      <c r="G182" s="79"/>
    </row>
    <row r="183" spans="2:7" ht="15.75" customHeight="1" x14ac:dyDescent="0.2">
      <c r="B183" s="79"/>
      <c r="C183" s="79"/>
      <c r="D183" s="79"/>
      <c r="E183" s="79"/>
      <c r="F183" s="79"/>
      <c r="G183" s="79"/>
    </row>
    <row r="184" spans="2:7" ht="15.75" customHeight="1" x14ac:dyDescent="0.2">
      <c r="B184" s="79"/>
      <c r="C184" s="79"/>
      <c r="D184" s="79"/>
      <c r="E184" s="79"/>
      <c r="F184" s="79"/>
      <c r="G184" s="79"/>
    </row>
    <row r="185" spans="2:7" ht="15.75" customHeight="1" x14ac:dyDescent="0.2">
      <c r="B185" s="79"/>
      <c r="C185" s="79"/>
      <c r="D185" s="79"/>
      <c r="E185" s="79"/>
      <c r="F185" s="79"/>
      <c r="G185" s="79"/>
    </row>
    <row r="186" spans="2:7" ht="15.75" customHeight="1" x14ac:dyDescent="0.2">
      <c r="B186" s="79"/>
      <c r="C186" s="79"/>
      <c r="D186" s="79"/>
      <c r="E186" s="79"/>
      <c r="F186" s="79"/>
      <c r="G186" s="79"/>
    </row>
    <row r="187" spans="2:7" ht="15.75" customHeight="1" x14ac:dyDescent="0.2">
      <c r="B187" s="79"/>
      <c r="C187" s="79"/>
      <c r="D187" s="79"/>
      <c r="E187" s="79"/>
      <c r="F187" s="79"/>
      <c r="G187" s="79"/>
    </row>
    <row r="188" spans="2:7" ht="15.75" customHeight="1" x14ac:dyDescent="0.2">
      <c r="B188" s="79"/>
      <c r="C188" s="79"/>
      <c r="D188" s="79"/>
      <c r="E188" s="79"/>
      <c r="F188" s="79"/>
      <c r="G188" s="79"/>
    </row>
    <row r="189" spans="2:7" ht="15.75" customHeight="1" x14ac:dyDescent="0.2">
      <c r="B189" s="79"/>
      <c r="C189" s="79"/>
      <c r="D189" s="79"/>
      <c r="E189" s="79"/>
      <c r="F189" s="79"/>
      <c r="G189" s="79"/>
    </row>
    <row r="190" spans="2:7" ht="15.75" customHeight="1" x14ac:dyDescent="0.2">
      <c r="B190" s="79"/>
      <c r="C190" s="79"/>
      <c r="D190" s="79"/>
      <c r="E190" s="79"/>
      <c r="F190" s="79"/>
      <c r="G190" s="79"/>
    </row>
    <row r="191" spans="2:7" ht="15.75" customHeight="1" x14ac:dyDescent="0.2">
      <c r="B191" s="79"/>
      <c r="C191" s="79"/>
      <c r="D191" s="79"/>
      <c r="E191" s="79"/>
      <c r="F191" s="79"/>
      <c r="G191" s="79"/>
    </row>
    <row r="192" spans="2:7" ht="15.75" customHeight="1" x14ac:dyDescent="0.2">
      <c r="B192" s="79"/>
      <c r="C192" s="79"/>
      <c r="D192" s="79"/>
      <c r="E192" s="79"/>
      <c r="F192" s="79"/>
      <c r="G192" s="79"/>
    </row>
    <row r="193" spans="2:7" ht="15.75" customHeight="1" x14ac:dyDescent="0.2">
      <c r="B193" s="79"/>
      <c r="C193" s="79"/>
      <c r="D193" s="79"/>
      <c r="E193" s="79"/>
      <c r="F193" s="79"/>
      <c r="G193" s="79"/>
    </row>
    <row r="194" spans="2:7" ht="15.75" customHeight="1" x14ac:dyDescent="0.2">
      <c r="B194" s="79"/>
      <c r="C194" s="79"/>
      <c r="D194" s="79"/>
      <c r="E194" s="79"/>
      <c r="F194" s="79"/>
      <c r="G194" s="79"/>
    </row>
    <row r="195" spans="2:7" ht="15.75" customHeight="1" x14ac:dyDescent="0.2">
      <c r="B195" s="79"/>
      <c r="C195" s="79"/>
      <c r="D195" s="79"/>
      <c r="E195" s="79"/>
      <c r="F195" s="79"/>
      <c r="G195" s="79"/>
    </row>
    <row r="196" spans="2:7" ht="15.75" customHeight="1" x14ac:dyDescent="0.2">
      <c r="B196" s="79"/>
      <c r="C196" s="79"/>
      <c r="D196" s="79"/>
      <c r="E196" s="79"/>
      <c r="F196" s="79"/>
      <c r="G196" s="79"/>
    </row>
    <row r="197" spans="2:7" ht="15.75" customHeight="1" x14ac:dyDescent="0.2">
      <c r="B197" s="79"/>
      <c r="C197" s="79"/>
      <c r="D197" s="79"/>
      <c r="E197" s="79"/>
      <c r="F197" s="79"/>
      <c r="G197" s="79"/>
    </row>
    <row r="198" spans="2:7" ht="15.75" customHeight="1" x14ac:dyDescent="0.2">
      <c r="B198" s="79"/>
      <c r="C198" s="79"/>
      <c r="D198" s="79"/>
      <c r="E198" s="79"/>
      <c r="F198" s="79"/>
      <c r="G198" s="79"/>
    </row>
    <row r="199" spans="2:7" ht="15.75" customHeight="1" x14ac:dyDescent="0.2">
      <c r="B199" s="79"/>
      <c r="C199" s="79"/>
      <c r="D199" s="79"/>
      <c r="E199" s="79"/>
      <c r="F199" s="79"/>
      <c r="G199" s="79"/>
    </row>
    <row r="200" spans="2:7" ht="15.75" customHeight="1" x14ac:dyDescent="0.2">
      <c r="B200" s="79"/>
      <c r="C200" s="79"/>
      <c r="D200" s="79"/>
      <c r="E200" s="79"/>
      <c r="F200" s="79"/>
      <c r="G200" s="79"/>
    </row>
    <row r="201" spans="2:7" ht="15.75" customHeight="1" x14ac:dyDescent="0.2">
      <c r="B201" s="79"/>
      <c r="C201" s="79"/>
      <c r="D201" s="79"/>
      <c r="E201" s="79"/>
      <c r="F201" s="79"/>
      <c r="G201" s="79"/>
    </row>
    <row r="202" spans="2:7" ht="15.75" customHeight="1" x14ac:dyDescent="0.2">
      <c r="B202" s="79"/>
      <c r="C202" s="79"/>
      <c r="D202" s="79"/>
      <c r="E202" s="79"/>
      <c r="F202" s="79"/>
      <c r="G202" s="79"/>
    </row>
    <row r="203" spans="2:7" ht="15.75" customHeight="1" x14ac:dyDescent="0.2">
      <c r="B203" s="79"/>
      <c r="C203" s="79"/>
      <c r="D203" s="79"/>
      <c r="E203" s="79"/>
      <c r="F203" s="79"/>
      <c r="G203" s="79"/>
    </row>
    <row r="204" spans="2:7" ht="15.75" customHeight="1" x14ac:dyDescent="0.2">
      <c r="B204" s="79"/>
      <c r="C204" s="79"/>
      <c r="D204" s="79"/>
      <c r="E204" s="79"/>
      <c r="F204" s="79"/>
      <c r="G204" s="79"/>
    </row>
    <row r="205" spans="2:7" ht="15.75" customHeight="1" x14ac:dyDescent="0.2">
      <c r="B205" s="79"/>
      <c r="C205" s="79"/>
      <c r="D205" s="79"/>
      <c r="E205" s="79"/>
      <c r="F205" s="79"/>
      <c r="G205" s="79"/>
    </row>
    <row r="206" spans="2:7" ht="15.75" customHeight="1" x14ac:dyDescent="0.2">
      <c r="B206" s="79"/>
      <c r="C206" s="79"/>
      <c r="D206" s="79"/>
      <c r="E206" s="79"/>
      <c r="F206" s="79"/>
      <c r="G206" s="79"/>
    </row>
    <row r="207" spans="2:7" ht="15.75" customHeight="1" x14ac:dyDescent="0.2">
      <c r="B207" s="79"/>
      <c r="C207" s="79"/>
      <c r="D207" s="79"/>
      <c r="E207" s="79"/>
      <c r="F207" s="79"/>
      <c r="G207" s="79"/>
    </row>
    <row r="208" spans="2:7" ht="15.75" customHeight="1" x14ac:dyDescent="0.2">
      <c r="B208" s="79"/>
      <c r="C208" s="79"/>
      <c r="D208" s="79"/>
      <c r="E208" s="79"/>
      <c r="F208" s="79"/>
      <c r="G208" s="79"/>
    </row>
    <row r="209" spans="2:7" ht="15.75" customHeight="1" x14ac:dyDescent="0.2">
      <c r="B209" s="79"/>
      <c r="C209" s="79"/>
      <c r="D209" s="79"/>
      <c r="E209" s="79"/>
      <c r="F209" s="79"/>
      <c r="G209" s="79"/>
    </row>
    <row r="210" spans="2:7" ht="15.75" customHeight="1" x14ac:dyDescent="0.2">
      <c r="B210" s="79"/>
      <c r="C210" s="79"/>
      <c r="D210" s="79"/>
      <c r="E210" s="79"/>
      <c r="F210" s="79"/>
      <c r="G210" s="79"/>
    </row>
    <row r="211" spans="2:7" ht="15.75" customHeight="1" x14ac:dyDescent="0.2">
      <c r="B211" s="79"/>
      <c r="C211" s="79"/>
      <c r="D211" s="79"/>
      <c r="E211" s="79"/>
      <c r="F211" s="79"/>
      <c r="G211" s="79"/>
    </row>
    <row r="212" spans="2:7" ht="15.75" customHeight="1" x14ac:dyDescent="0.2">
      <c r="B212" s="79"/>
      <c r="C212" s="79"/>
      <c r="D212" s="79"/>
      <c r="E212" s="79"/>
      <c r="F212" s="79"/>
      <c r="G212" s="79"/>
    </row>
    <row r="213" spans="2:7" ht="15.75" customHeight="1" x14ac:dyDescent="0.2">
      <c r="B213" s="79"/>
      <c r="C213" s="79"/>
      <c r="D213" s="79"/>
      <c r="E213" s="79"/>
      <c r="F213" s="79"/>
      <c r="G213" s="79"/>
    </row>
    <row r="214" spans="2:7" ht="15.75" customHeight="1" x14ac:dyDescent="0.2">
      <c r="B214" s="79"/>
      <c r="C214" s="79"/>
      <c r="D214" s="79"/>
      <c r="E214" s="79"/>
      <c r="F214" s="79"/>
      <c r="G214" s="79"/>
    </row>
    <row r="215" spans="2:7" ht="15.75" customHeight="1" x14ac:dyDescent="0.2">
      <c r="B215" s="79"/>
      <c r="C215" s="79"/>
      <c r="D215" s="79"/>
      <c r="E215" s="79"/>
      <c r="F215" s="79"/>
      <c r="G215" s="79"/>
    </row>
    <row r="216" spans="2:7" ht="15.75" customHeight="1" x14ac:dyDescent="0.2">
      <c r="B216" s="79"/>
      <c r="C216" s="79"/>
      <c r="D216" s="79"/>
      <c r="E216" s="79"/>
      <c r="F216" s="79"/>
      <c r="G216" s="79"/>
    </row>
    <row r="217" spans="2:7" ht="15.75" customHeight="1" x14ac:dyDescent="0.2">
      <c r="B217" s="79"/>
      <c r="C217" s="79"/>
      <c r="D217" s="79"/>
      <c r="E217" s="79"/>
      <c r="F217" s="79"/>
      <c r="G217" s="79"/>
    </row>
    <row r="218" spans="2:7" ht="15.75" customHeight="1" x14ac:dyDescent="0.2">
      <c r="B218" s="79"/>
      <c r="C218" s="79"/>
      <c r="D218" s="79"/>
      <c r="E218" s="79"/>
      <c r="F218" s="79"/>
      <c r="G218" s="79"/>
    </row>
    <row r="219" spans="2:7" ht="15.75" customHeight="1" x14ac:dyDescent="0.2">
      <c r="B219" s="79"/>
      <c r="C219" s="79"/>
      <c r="D219" s="79"/>
      <c r="E219" s="79"/>
      <c r="F219" s="79"/>
      <c r="G219" s="79"/>
    </row>
    <row r="220" spans="2:7" ht="15.75" customHeight="1" x14ac:dyDescent="0.2">
      <c r="B220" s="79"/>
      <c r="C220" s="79"/>
      <c r="D220" s="79"/>
      <c r="E220" s="79"/>
      <c r="F220" s="79"/>
      <c r="G220" s="79"/>
    </row>
    <row r="221" spans="2:7" ht="15.75" customHeight="1" x14ac:dyDescent="0.2">
      <c r="B221" s="79"/>
      <c r="C221" s="79"/>
      <c r="D221" s="79"/>
      <c r="E221" s="79"/>
      <c r="F221" s="79"/>
      <c r="G221" s="79"/>
    </row>
    <row r="222" spans="2:7" ht="15.75" customHeight="1" x14ac:dyDescent="0.2">
      <c r="B222" s="79"/>
      <c r="C222" s="79"/>
      <c r="D222" s="79"/>
      <c r="E222" s="79"/>
      <c r="F222" s="79"/>
      <c r="G222" s="79"/>
    </row>
    <row r="223" spans="2:7" ht="15.75" customHeight="1" x14ac:dyDescent="0.2">
      <c r="B223" s="79"/>
      <c r="C223" s="79"/>
      <c r="D223" s="79"/>
      <c r="E223" s="79"/>
      <c r="F223" s="79"/>
      <c r="G223" s="79"/>
    </row>
    <row r="224" spans="2:7" ht="15.75" customHeight="1" x14ac:dyDescent="0.2">
      <c r="B224" s="79"/>
      <c r="C224" s="79"/>
      <c r="D224" s="79"/>
      <c r="E224" s="79"/>
      <c r="F224" s="79"/>
      <c r="G224" s="79"/>
    </row>
    <row r="225" spans="2:7" ht="15.75" customHeight="1" x14ac:dyDescent="0.2">
      <c r="B225" s="79"/>
      <c r="C225" s="79"/>
      <c r="D225" s="79"/>
      <c r="E225" s="79"/>
      <c r="F225" s="79"/>
      <c r="G225" s="79"/>
    </row>
    <row r="226" spans="2:7" ht="15.75" customHeight="1" x14ac:dyDescent="0.2">
      <c r="B226" s="79"/>
      <c r="C226" s="79"/>
      <c r="D226" s="79"/>
      <c r="E226" s="79"/>
      <c r="F226" s="79"/>
      <c r="G226" s="79"/>
    </row>
    <row r="227" spans="2:7" ht="15.75" customHeight="1" x14ac:dyDescent="0.2">
      <c r="B227" s="79"/>
      <c r="C227" s="79"/>
      <c r="D227" s="79"/>
      <c r="E227" s="79"/>
      <c r="F227" s="79"/>
      <c r="G227" s="79"/>
    </row>
    <row r="228" spans="2:7" ht="15.75" customHeight="1" x14ac:dyDescent="0.2">
      <c r="B228" s="79"/>
      <c r="C228" s="79"/>
      <c r="D228" s="79"/>
      <c r="E228" s="79"/>
      <c r="F228" s="79"/>
      <c r="G228" s="79"/>
    </row>
    <row r="229" spans="2:7" ht="15.75" customHeight="1" x14ac:dyDescent="0.2">
      <c r="B229" s="79"/>
      <c r="C229" s="79"/>
      <c r="D229" s="79"/>
      <c r="E229" s="79"/>
      <c r="F229" s="79"/>
      <c r="G229" s="79"/>
    </row>
    <row r="230" spans="2:7" ht="15.75" customHeight="1" x14ac:dyDescent="0.2">
      <c r="B230" s="79"/>
      <c r="C230" s="79"/>
      <c r="D230" s="79"/>
      <c r="E230" s="79"/>
      <c r="F230" s="79"/>
      <c r="G230" s="79"/>
    </row>
    <row r="231" spans="2:7" ht="15.75" customHeight="1" x14ac:dyDescent="0.2">
      <c r="B231" s="79"/>
      <c r="C231" s="79"/>
      <c r="D231" s="79"/>
      <c r="E231" s="79"/>
      <c r="F231" s="79"/>
      <c r="G231" s="79"/>
    </row>
    <row r="232" spans="2:7" ht="15.75" customHeight="1" x14ac:dyDescent="0.2">
      <c r="B232" s="79"/>
      <c r="C232" s="79"/>
      <c r="D232" s="79"/>
      <c r="E232" s="79"/>
      <c r="F232" s="79"/>
      <c r="G232" s="79"/>
    </row>
    <row r="233" spans="2:7" ht="15.75" customHeight="1" x14ac:dyDescent="0.2">
      <c r="B233" s="79"/>
      <c r="C233" s="79"/>
      <c r="D233" s="79"/>
      <c r="E233" s="79"/>
      <c r="F233" s="79"/>
      <c r="G233" s="79"/>
    </row>
    <row r="234" spans="2:7" ht="15.75" customHeight="1" x14ac:dyDescent="0.2">
      <c r="B234" s="79"/>
      <c r="C234" s="79"/>
      <c r="D234" s="79"/>
      <c r="E234" s="79"/>
      <c r="F234" s="79"/>
      <c r="G234" s="79"/>
    </row>
    <row r="235" spans="2:7" ht="15.75" customHeight="1" x14ac:dyDescent="0.2">
      <c r="B235" s="79"/>
      <c r="C235" s="79"/>
      <c r="D235" s="79"/>
      <c r="E235" s="79"/>
      <c r="F235" s="79"/>
      <c r="G235" s="79"/>
    </row>
    <row r="236" spans="2:7" ht="15.75" customHeight="1" x14ac:dyDescent="0.2">
      <c r="B236" s="79"/>
      <c r="C236" s="79"/>
      <c r="D236" s="79"/>
      <c r="E236" s="79"/>
      <c r="F236" s="79"/>
      <c r="G236" s="79"/>
    </row>
    <row r="237" spans="2:7" ht="15.75" customHeight="1" x14ac:dyDescent="0.2">
      <c r="B237" s="79"/>
      <c r="C237" s="79"/>
      <c r="D237" s="79"/>
      <c r="E237" s="79"/>
      <c r="F237" s="79"/>
      <c r="G237" s="79"/>
    </row>
    <row r="238" spans="2:7" ht="15.75" customHeight="1" x14ac:dyDescent="0.2">
      <c r="B238" s="79"/>
      <c r="C238" s="79"/>
      <c r="D238" s="79"/>
      <c r="E238" s="79"/>
      <c r="F238" s="79"/>
      <c r="G238" s="79"/>
    </row>
    <row r="239" spans="2:7" ht="15.75" customHeight="1" x14ac:dyDescent="0.2">
      <c r="B239" s="79"/>
      <c r="C239" s="79"/>
      <c r="D239" s="79"/>
      <c r="E239" s="79"/>
      <c r="F239" s="79"/>
      <c r="G239" s="79"/>
    </row>
    <row r="240" spans="2:7" ht="15.75" customHeight="1" x14ac:dyDescent="0.2">
      <c r="B240" s="79"/>
      <c r="C240" s="79"/>
      <c r="D240" s="79"/>
      <c r="E240" s="79"/>
      <c r="F240" s="79"/>
      <c r="G240" s="79"/>
    </row>
    <row r="241" spans="2:7" ht="15.75" customHeight="1" x14ac:dyDescent="0.2">
      <c r="B241" s="79"/>
      <c r="C241" s="79"/>
      <c r="D241" s="79"/>
      <c r="E241" s="79"/>
      <c r="F241" s="79"/>
      <c r="G241" s="79"/>
    </row>
    <row r="242" spans="2:7" ht="15.75" customHeight="1" x14ac:dyDescent="0.2">
      <c r="B242" s="79"/>
      <c r="C242" s="79"/>
      <c r="D242" s="79"/>
      <c r="E242" s="79"/>
      <c r="F242" s="79"/>
      <c r="G242" s="79"/>
    </row>
    <row r="243" spans="2:7" ht="15.75" customHeight="1" x14ac:dyDescent="0.2">
      <c r="B243" s="79"/>
      <c r="C243" s="79"/>
      <c r="D243" s="79"/>
      <c r="E243" s="79"/>
      <c r="F243" s="79"/>
      <c r="G243" s="79"/>
    </row>
    <row r="244" spans="2:7" ht="15.75" customHeight="1" x14ac:dyDescent="0.2">
      <c r="B244" s="79"/>
      <c r="C244" s="79"/>
      <c r="D244" s="79"/>
      <c r="E244" s="79"/>
      <c r="F244" s="79"/>
      <c r="G244" s="79"/>
    </row>
    <row r="245" spans="2:7" ht="15.75" customHeight="1" x14ac:dyDescent="0.2">
      <c r="B245" s="79"/>
      <c r="C245" s="79"/>
      <c r="D245" s="79"/>
      <c r="E245" s="79"/>
      <c r="F245" s="79"/>
      <c r="G245" s="79"/>
    </row>
    <row r="246" spans="2:7" ht="15.75" customHeight="1" x14ac:dyDescent="0.2">
      <c r="B246" s="79"/>
      <c r="C246" s="79"/>
      <c r="D246" s="79"/>
      <c r="E246" s="79"/>
      <c r="F246" s="79"/>
      <c r="G246" s="79"/>
    </row>
    <row r="247" spans="2:7" ht="15.75" customHeight="1" x14ac:dyDescent="0.2">
      <c r="B247" s="79"/>
      <c r="C247" s="79"/>
      <c r="D247" s="79"/>
      <c r="E247" s="79"/>
      <c r="F247" s="79"/>
      <c r="G247" s="79"/>
    </row>
    <row r="248" spans="2:7" ht="15.75" customHeight="1" x14ac:dyDescent="0.2">
      <c r="B248" s="79"/>
      <c r="C248" s="79"/>
      <c r="D248" s="79"/>
      <c r="E248" s="79"/>
      <c r="F248" s="79"/>
      <c r="G248" s="79"/>
    </row>
    <row r="249" spans="2:7" ht="15.75" customHeight="1" x14ac:dyDescent="0.2">
      <c r="B249" s="79"/>
      <c r="C249" s="79"/>
      <c r="D249" s="79"/>
      <c r="E249" s="79"/>
      <c r="F249" s="79"/>
      <c r="G249" s="79"/>
    </row>
    <row r="250" spans="2:7" ht="15.75" customHeight="1" x14ac:dyDescent="0.2">
      <c r="B250" s="79"/>
      <c r="C250" s="79"/>
      <c r="D250" s="79"/>
      <c r="E250" s="79"/>
      <c r="F250" s="79"/>
      <c r="G250" s="79"/>
    </row>
    <row r="251" spans="2:7" ht="15.75" customHeight="1" x14ac:dyDescent="0.2">
      <c r="B251" s="79"/>
      <c r="C251" s="79"/>
      <c r="D251" s="79"/>
      <c r="E251" s="79"/>
      <c r="F251" s="79"/>
      <c r="G251" s="79"/>
    </row>
    <row r="252" spans="2:7" ht="15.75" customHeight="1" x14ac:dyDescent="0.2">
      <c r="B252" s="79"/>
      <c r="C252" s="79"/>
      <c r="D252" s="79"/>
      <c r="E252" s="79"/>
      <c r="F252" s="79"/>
      <c r="G252" s="79"/>
    </row>
    <row r="253" spans="2:7" ht="15.75" customHeight="1" x14ac:dyDescent="0.2">
      <c r="B253" s="79"/>
      <c r="C253" s="79"/>
      <c r="D253" s="79"/>
      <c r="E253" s="79"/>
      <c r="F253" s="79"/>
      <c r="G253" s="79"/>
    </row>
    <row r="254" spans="2:7" ht="15.75" customHeight="1" x14ac:dyDescent="0.2">
      <c r="B254" s="79"/>
      <c r="C254" s="79"/>
      <c r="D254" s="79"/>
      <c r="E254" s="79"/>
      <c r="F254" s="79"/>
      <c r="G254" s="79"/>
    </row>
    <row r="255" spans="2:7" ht="15.75" customHeight="1" x14ac:dyDescent="0.2">
      <c r="B255" s="79"/>
      <c r="C255" s="79"/>
      <c r="D255" s="79"/>
      <c r="E255" s="79"/>
      <c r="F255" s="79"/>
      <c r="G255" s="79"/>
    </row>
    <row r="256" spans="2:7" ht="15.75" customHeight="1" x14ac:dyDescent="0.2">
      <c r="B256" s="79"/>
      <c r="C256" s="79"/>
      <c r="D256" s="79"/>
      <c r="E256" s="79"/>
      <c r="F256" s="79"/>
      <c r="G256" s="79"/>
    </row>
    <row r="257" spans="2:7" ht="15.75" customHeight="1" x14ac:dyDescent="0.2">
      <c r="B257" s="79"/>
      <c r="C257" s="79"/>
      <c r="D257" s="79"/>
      <c r="E257" s="79"/>
      <c r="F257" s="79"/>
      <c r="G257" s="79"/>
    </row>
    <row r="258" spans="2:7" ht="15.75" customHeight="1" x14ac:dyDescent="0.2">
      <c r="B258" s="79"/>
      <c r="C258" s="79"/>
      <c r="D258" s="79"/>
      <c r="E258" s="79"/>
      <c r="F258" s="79"/>
      <c r="G258" s="79"/>
    </row>
    <row r="259" spans="2:7" ht="15.75" customHeight="1" x14ac:dyDescent="0.2">
      <c r="B259" s="79"/>
      <c r="C259" s="79"/>
      <c r="D259" s="79"/>
      <c r="E259" s="79"/>
      <c r="F259" s="79"/>
      <c r="G259" s="79"/>
    </row>
    <row r="260" spans="2:7" ht="15.75" customHeight="1" x14ac:dyDescent="0.2">
      <c r="B260" s="79"/>
      <c r="C260" s="79"/>
      <c r="D260" s="79"/>
      <c r="E260" s="79"/>
      <c r="F260" s="79"/>
      <c r="G260" s="79"/>
    </row>
    <row r="261" spans="2:7" ht="15.75" customHeight="1" x14ac:dyDescent="0.2">
      <c r="B261" s="79"/>
      <c r="C261" s="79"/>
      <c r="D261" s="79"/>
      <c r="E261" s="79"/>
      <c r="F261" s="79"/>
      <c r="G261" s="79"/>
    </row>
    <row r="262" spans="2:7" ht="15.75" customHeight="1" x14ac:dyDescent="0.2">
      <c r="B262" s="79"/>
      <c r="C262" s="79"/>
      <c r="D262" s="79"/>
      <c r="E262" s="79"/>
      <c r="F262" s="79"/>
      <c r="G262" s="79"/>
    </row>
    <row r="263" spans="2:7" ht="15.75" customHeight="1" x14ac:dyDescent="0.2">
      <c r="B263" s="79"/>
      <c r="C263" s="79"/>
      <c r="D263" s="79"/>
      <c r="E263" s="79"/>
      <c r="F263" s="79"/>
      <c r="G263" s="79"/>
    </row>
    <row r="264" spans="2:7" ht="15.75" customHeight="1" x14ac:dyDescent="0.2">
      <c r="B264" s="79"/>
      <c r="C264" s="79"/>
      <c r="D264" s="79"/>
      <c r="E264" s="79"/>
      <c r="F264" s="79"/>
      <c r="G264" s="79"/>
    </row>
    <row r="265" spans="2:7" ht="15.75" customHeight="1" x14ac:dyDescent="0.2">
      <c r="B265" s="79"/>
      <c r="C265" s="79"/>
      <c r="D265" s="79"/>
      <c r="E265" s="79"/>
      <c r="F265" s="79"/>
      <c r="G265" s="79"/>
    </row>
    <row r="266" spans="2:7" ht="15.75" customHeight="1" x14ac:dyDescent="0.2">
      <c r="B266" s="79"/>
      <c r="C266" s="79"/>
      <c r="D266" s="79"/>
      <c r="E266" s="79"/>
      <c r="F266" s="79"/>
      <c r="G266" s="79"/>
    </row>
    <row r="267" spans="2:7" ht="15.75" customHeight="1" x14ac:dyDescent="0.2">
      <c r="B267" s="79"/>
      <c r="C267" s="79"/>
      <c r="D267" s="79"/>
      <c r="E267" s="79"/>
      <c r="F267" s="79"/>
      <c r="G267" s="79"/>
    </row>
    <row r="268" spans="2:7" ht="15.75" customHeight="1" x14ac:dyDescent="0.2">
      <c r="B268" s="79"/>
      <c r="C268" s="79"/>
      <c r="D268" s="79"/>
      <c r="E268" s="79"/>
      <c r="F268" s="79"/>
      <c r="G268" s="79"/>
    </row>
    <row r="269" spans="2:7" ht="15.75" customHeight="1" x14ac:dyDescent="0.2">
      <c r="B269" s="79"/>
      <c r="C269" s="79"/>
      <c r="D269" s="79"/>
      <c r="E269" s="79"/>
      <c r="F269" s="79"/>
      <c r="G269" s="79"/>
    </row>
    <row r="270" spans="2:7" ht="15.75" customHeight="1" x14ac:dyDescent="0.2">
      <c r="B270" s="79"/>
      <c r="C270" s="79"/>
      <c r="D270" s="79"/>
      <c r="E270" s="79"/>
      <c r="F270" s="79"/>
      <c r="G270" s="79"/>
    </row>
    <row r="271" spans="2:7" ht="15.75" customHeight="1" x14ac:dyDescent="0.2">
      <c r="B271" s="79"/>
      <c r="C271" s="79"/>
      <c r="D271" s="79"/>
      <c r="E271" s="79"/>
      <c r="F271" s="79"/>
      <c r="G271" s="79"/>
    </row>
    <row r="272" spans="2:7" ht="15.75" customHeight="1" x14ac:dyDescent="0.2">
      <c r="B272" s="79"/>
      <c r="C272" s="79"/>
      <c r="D272" s="79"/>
      <c r="E272" s="79"/>
      <c r="F272" s="79"/>
      <c r="G272" s="79"/>
    </row>
    <row r="273" spans="2:7" ht="15.75" customHeight="1" x14ac:dyDescent="0.2">
      <c r="B273" s="79"/>
      <c r="C273" s="79"/>
      <c r="D273" s="79"/>
      <c r="E273" s="79"/>
      <c r="F273" s="79"/>
      <c r="G273" s="79"/>
    </row>
    <row r="274" spans="2:7" ht="15.75" customHeight="1" x14ac:dyDescent="0.2">
      <c r="B274" s="79"/>
      <c r="C274" s="79"/>
      <c r="D274" s="79"/>
      <c r="E274" s="79"/>
      <c r="F274" s="79"/>
      <c r="G274" s="79"/>
    </row>
    <row r="275" spans="2:7" ht="15.75" customHeight="1" x14ac:dyDescent="0.2">
      <c r="B275" s="79"/>
      <c r="C275" s="79"/>
      <c r="D275" s="79"/>
      <c r="E275" s="79"/>
      <c r="F275" s="79"/>
      <c r="G275" s="79"/>
    </row>
    <row r="276" spans="2:7" ht="15.75" customHeight="1" x14ac:dyDescent="0.2">
      <c r="B276" s="79"/>
      <c r="C276" s="79"/>
      <c r="D276" s="79"/>
      <c r="E276" s="79"/>
      <c r="F276" s="79"/>
      <c r="G276" s="79"/>
    </row>
    <row r="277" spans="2:7" ht="15.75" customHeight="1" x14ac:dyDescent="0.2">
      <c r="B277" s="79"/>
      <c r="C277" s="79"/>
      <c r="D277" s="79"/>
      <c r="E277" s="79"/>
      <c r="F277" s="79"/>
      <c r="G277" s="79"/>
    </row>
    <row r="278" spans="2:7" ht="15.75" customHeight="1" x14ac:dyDescent="0.2">
      <c r="B278" s="79"/>
      <c r="C278" s="79"/>
      <c r="D278" s="79"/>
      <c r="E278" s="79"/>
      <c r="F278" s="79"/>
      <c r="G278" s="79"/>
    </row>
    <row r="279" spans="2:7" ht="15.75" customHeight="1" x14ac:dyDescent="0.2">
      <c r="B279" s="79"/>
      <c r="C279" s="79"/>
      <c r="D279" s="79"/>
      <c r="E279" s="79"/>
      <c r="F279" s="79"/>
      <c r="G279" s="79"/>
    </row>
    <row r="280" spans="2:7" ht="15.75" customHeight="1" x14ac:dyDescent="0.2">
      <c r="B280" s="79"/>
      <c r="C280" s="79"/>
      <c r="D280" s="79"/>
      <c r="E280" s="79"/>
      <c r="F280" s="79"/>
      <c r="G280" s="79"/>
    </row>
    <row r="281" spans="2:7" ht="15.75" customHeight="1" x14ac:dyDescent="0.2">
      <c r="B281" s="79"/>
      <c r="C281" s="79"/>
      <c r="D281" s="79"/>
      <c r="E281" s="79"/>
      <c r="F281" s="79"/>
      <c r="G281" s="79"/>
    </row>
    <row r="282" spans="2:7" ht="15.75" customHeight="1" x14ac:dyDescent="0.2">
      <c r="B282" s="79"/>
      <c r="C282" s="79"/>
      <c r="D282" s="79"/>
      <c r="E282" s="79"/>
      <c r="F282" s="79"/>
      <c r="G282" s="79"/>
    </row>
    <row r="283" spans="2:7" ht="15.75" customHeight="1" x14ac:dyDescent="0.2">
      <c r="B283" s="79"/>
      <c r="C283" s="79"/>
      <c r="D283" s="79"/>
      <c r="E283" s="79"/>
      <c r="F283" s="79"/>
      <c r="G283" s="79"/>
    </row>
    <row r="284" spans="2:7" ht="15.75" customHeight="1" x14ac:dyDescent="0.2">
      <c r="B284" s="79"/>
      <c r="C284" s="79"/>
      <c r="D284" s="79"/>
      <c r="E284" s="79"/>
      <c r="F284" s="79"/>
      <c r="G284" s="79"/>
    </row>
    <row r="285" spans="2:7" ht="15.75" customHeight="1" x14ac:dyDescent="0.2">
      <c r="B285" s="79"/>
      <c r="C285" s="79"/>
      <c r="D285" s="79"/>
      <c r="E285" s="79"/>
      <c r="F285" s="79"/>
      <c r="G285" s="79"/>
    </row>
    <row r="286" spans="2:7" ht="15.75" customHeight="1" x14ac:dyDescent="0.2">
      <c r="B286" s="79"/>
      <c r="C286" s="79"/>
      <c r="D286" s="79"/>
      <c r="E286" s="79"/>
      <c r="F286" s="79"/>
      <c r="G286" s="79"/>
    </row>
    <row r="287" spans="2:7" ht="15.75" customHeight="1" x14ac:dyDescent="0.2">
      <c r="B287" s="79"/>
      <c r="C287" s="79"/>
      <c r="D287" s="79"/>
      <c r="E287" s="79"/>
      <c r="F287" s="79"/>
      <c r="G287" s="79"/>
    </row>
    <row r="288" spans="2:7" ht="15.75" customHeight="1" x14ac:dyDescent="0.2">
      <c r="B288" s="79"/>
      <c r="C288" s="79"/>
      <c r="D288" s="79"/>
      <c r="E288" s="79"/>
      <c r="F288" s="79"/>
      <c r="G288" s="79"/>
    </row>
    <row r="289" spans="2:7" ht="15.75" customHeight="1" x14ac:dyDescent="0.2">
      <c r="B289" s="79"/>
      <c r="C289" s="79"/>
      <c r="D289" s="79"/>
      <c r="E289" s="79"/>
      <c r="F289" s="79"/>
      <c r="G289" s="79"/>
    </row>
    <row r="290" spans="2:7" ht="15.75" customHeight="1" x14ac:dyDescent="0.2">
      <c r="B290" s="79"/>
      <c r="C290" s="79"/>
      <c r="D290" s="79"/>
      <c r="E290" s="79"/>
      <c r="F290" s="79"/>
      <c r="G290" s="79"/>
    </row>
    <row r="291" spans="2:7" ht="15.75" customHeight="1" x14ac:dyDescent="0.2">
      <c r="B291" s="79"/>
      <c r="C291" s="79"/>
      <c r="D291" s="79"/>
      <c r="E291" s="79"/>
      <c r="F291" s="79"/>
      <c r="G291" s="79"/>
    </row>
    <row r="292" spans="2:7" ht="15.75" customHeight="1" x14ac:dyDescent="0.2">
      <c r="B292" s="79"/>
      <c r="C292" s="79"/>
      <c r="D292" s="79"/>
      <c r="E292" s="79"/>
      <c r="F292" s="79"/>
      <c r="G292" s="79"/>
    </row>
    <row r="293" spans="2:7" ht="15.75" customHeight="1" x14ac:dyDescent="0.2">
      <c r="B293" s="79"/>
      <c r="C293" s="79"/>
      <c r="D293" s="79"/>
      <c r="E293" s="79"/>
      <c r="F293" s="79"/>
      <c r="G293" s="79"/>
    </row>
    <row r="294" spans="2:7" ht="15.75" customHeight="1" x14ac:dyDescent="0.2">
      <c r="B294" s="79"/>
      <c r="C294" s="79"/>
      <c r="D294" s="79"/>
      <c r="E294" s="79"/>
      <c r="F294" s="79"/>
      <c r="G294" s="79"/>
    </row>
    <row r="295" spans="2:7" ht="15.75" customHeight="1" x14ac:dyDescent="0.2">
      <c r="B295" s="79"/>
      <c r="C295" s="79"/>
      <c r="D295" s="79"/>
      <c r="E295" s="79"/>
      <c r="F295" s="79"/>
      <c r="G295" s="79"/>
    </row>
    <row r="296" spans="2:7" ht="15.75" customHeight="1" x14ac:dyDescent="0.2">
      <c r="B296" s="79"/>
      <c r="C296" s="79"/>
      <c r="D296" s="79"/>
      <c r="E296" s="79"/>
      <c r="F296" s="79"/>
      <c r="G296" s="79"/>
    </row>
    <row r="297" spans="2:7" ht="15.75" customHeight="1" x14ac:dyDescent="0.2">
      <c r="B297" s="79"/>
      <c r="C297" s="79"/>
      <c r="D297" s="79"/>
      <c r="E297" s="79"/>
      <c r="F297" s="79"/>
      <c r="G297" s="79"/>
    </row>
    <row r="298" spans="2:7" ht="15.75" customHeight="1" x14ac:dyDescent="0.2">
      <c r="B298" s="79"/>
      <c r="C298" s="79"/>
      <c r="D298" s="79"/>
      <c r="E298" s="79"/>
      <c r="F298" s="79"/>
      <c r="G298" s="79"/>
    </row>
    <row r="299" spans="2:7" ht="15.75" customHeight="1" x14ac:dyDescent="0.2">
      <c r="B299" s="79"/>
      <c r="C299" s="79"/>
      <c r="D299" s="79"/>
      <c r="E299" s="79"/>
      <c r="F299" s="79"/>
      <c r="G299" s="79"/>
    </row>
    <row r="300" spans="2:7" ht="15.75" customHeight="1" x14ac:dyDescent="0.2">
      <c r="B300" s="79"/>
      <c r="C300" s="79"/>
      <c r="D300" s="79"/>
      <c r="E300" s="79"/>
      <c r="F300" s="79"/>
      <c r="G300" s="79"/>
    </row>
    <row r="301" spans="2:7" ht="15.75" customHeight="1" x14ac:dyDescent="0.2">
      <c r="B301" s="79"/>
      <c r="C301" s="79"/>
      <c r="D301" s="79"/>
      <c r="E301" s="79"/>
      <c r="F301" s="79"/>
      <c r="G301" s="79"/>
    </row>
    <row r="302" spans="2:7" ht="15.75" customHeight="1" x14ac:dyDescent="0.2">
      <c r="B302" s="79"/>
      <c r="C302" s="79"/>
      <c r="D302" s="79"/>
      <c r="E302" s="79"/>
      <c r="F302" s="79"/>
      <c r="G302" s="79"/>
    </row>
    <row r="303" spans="2:7" ht="15.75" customHeight="1" x14ac:dyDescent="0.2">
      <c r="B303" s="79"/>
      <c r="C303" s="79"/>
      <c r="D303" s="79"/>
      <c r="E303" s="79"/>
      <c r="F303" s="79"/>
      <c r="G303" s="79"/>
    </row>
    <row r="304" spans="2:7" ht="15.75" customHeight="1" x14ac:dyDescent="0.2">
      <c r="B304" s="79"/>
      <c r="C304" s="79"/>
      <c r="D304" s="79"/>
      <c r="E304" s="79"/>
      <c r="F304" s="79"/>
      <c r="G304" s="79"/>
    </row>
    <row r="305" spans="2:7" ht="15.75" customHeight="1" x14ac:dyDescent="0.2">
      <c r="B305" s="79"/>
      <c r="C305" s="79"/>
      <c r="D305" s="79"/>
      <c r="E305" s="79"/>
      <c r="F305" s="79"/>
      <c r="G305" s="79"/>
    </row>
    <row r="306" spans="2:7" ht="15.75" customHeight="1" x14ac:dyDescent="0.2">
      <c r="B306" s="79"/>
      <c r="C306" s="79"/>
      <c r="D306" s="79"/>
      <c r="E306" s="79"/>
      <c r="F306" s="79"/>
      <c r="G306" s="79"/>
    </row>
    <row r="307" spans="2:7" ht="15.75" customHeight="1" x14ac:dyDescent="0.2">
      <c r="B307" s="79"/>
      <c r="C307" s="79"/>
      <c r="D307" s="79"/>
      <c r="E307" s="79"/>
      <c r="F307" s="79"/>
      <c r="G307" s="79"/>
    </row>
    <row r="308" spans="2:7" ht="15.75" customHeight="1" x14ac:dyDescent="0.2">
      <c r="B308" s="79"/>
      <c r="C308" s="79"/>
      <c r="D308" s="79"/>
      <c r="E308" s="79"/>
      <c r="F308" s="79"/>
      <c r="G308" s="79"/>
    </row>
    <row r="309" spans="2:7" ht="15.75" customHeight="1" x14ac:dyDescent="0.2">
      <c r="B309" s="79"/>
      <c r="C309" s="79"/>
      <c r="D309" s="79"/>
      <c r="E309" s="79"/>
      <c r="F309" s="79"/>
      <c r="G309" s="79"/>
    </row>
    <row r="310" spans="2:7" ht="15.75" customHeight="1" x14ac:dyDescent="0.2">
      <c r="B310" s="79"/>
      <c r="C310" s="79"/>
      <c r="D310" s="79"/>
      <c r="E310" s="79"/>
      <c r="F310" s="79"/>
      <c r="G310" s="79"/>
    </row>
    <row r="311" spans="2:7" ht="15.75" customHeight="1" x14ac:dyDescent="0.2">
      <c r="B311" s="79"/>
      <c r="C311" s="79"/>
      <c r="D311" s="79"/>
      <c r="E311" s="79"/>
      <c r="F311" s="79"/>
      <c r="G311" s="79"/>
    </row>
    <row r="312" spans="2:7" ht="15.75" customHeight="1" x14ac:dyDescent="0.2">
      <c r="B312" s="79"/>
      <c r="C312" s="79"/>
      <c r="D312" s="79"/>
      <c r="E312" s="79"/>
      <c r="F312" s="79"/>
      <c r="G312" s="79"/>
    </row>
    <row r="313" spans="2:7" ht="15.75" customHeight="1" x14ac:dyDescent="0.2">
      <c r="B313" s="79"/>
      <c r="C313" s="79"/>
      <c r="D313" s="79"/>
      <c r="E313" s="79"/>
      <c r="F313" s="79"/>
      <c r="G313" s="79"/>
    </row>
    <row r="314" spans="2:7" ht="15.75" customHeight="1" x14ac:dyDescent="0.2">
      <c r="B314" s="79"/>
      <c r="C314" s="79"/>
      <c r="D314" s="79"/>
      <c r="E314" s="79"/>
      <c r="F314" s="79"/>
      <c r="G314" s="79"/>
    </row>
    <row r="315" spans="2:7" ht="15.75" customHeight="1" x14ac:dyDescent="0.2">
      <c r="B315" s="79"/>
      <c r="C315" s="79"/>
      <c r="D315" s="79"/>
      <c r="E315" s="79"/>
      <c r="F315" s="79"/>
      <c r="G315" s="79"/>
    </row>
    <row r="316" spans="2:7" ht="15.75" customHeight="1" x14ac:dyDescent="0.2">
      <c r="B316" s="79"/>
      <c r="C316" s="79"/>
      <c r="D316" s="79"/>
      <c r="E316" s="79"/>
      <c r="F316" s="79"/>
      <c r="G316" s="79"/>
    </row>
    <row r="317" spans="2:7" ht="15.75" customHeight="1" x14ac:dyDescent="0.2">
      <c r="B317" s="79"/>
      <c r="C317" s="79"/>
      <c r="D317" s="79"/>
      <c r="E317" s="79"/>
      <c r="F317" s="79"/>
      <c r="G317" s="79"/>
    </row>
    <row r="318" spans="2:7" ht="15.75" customHeight="1" x14ac:dyDescent="0.2">
      <c r="B318" s="79"/>
      <c r="C318" s="79"/>
      <c r="D318" s="79"/>
      <c r="E318" s="79"/>
      <c r="F318" s="79"/>
      <c r="G318" s="79"/>
    </row>
    <row r="319" spans="2:7" ht="15.75" customHeight="1" x14ac:dyDescent="0.2">
      <c r="B319" s="79"/>
      <c r="C319" s="79"/>
      <c r="D319" s="79"/>
      <c r="E319" s="79"/>
      <c r="F319" s="79"/>
      <c r="G319" s="79"/>
    </row>
    <row r="320" spans="2:7" ht="15.75" customHeight="1" x14ac:dyDescent="0.2">
      <c r="B320" s="79"/>
      <c r="C320" s="79"/>
      <c r="D320" s="79"/>
      <c r="E320" s="79"/>
      <c r="F320" s="79"/>
      <c r="G320" s="79"/>
    </row>
    <row r="321" spans="2:7" ht="15.75" customHeight="1" x14ac:dyDescent="0.2">
      <c r="B321" s="79"/>
      <c r="C321" s="79"/>
      <c r="D321" s="79"/>
      <c r="E321" s="79"/>
      <c r="F321" s="79"/>
      <c r="G321" s="79"/>
    </row>
    <row r="322" spans="2:7" ht="15.75" customHeight="1" x14ac:dyDescent="0.2">
      <c r="B322" s="79"/>
      <c r="C322" s="79"/>
      <c r="D322" s="79"/>
      <c r="E322" s="79"/>
      <c r="F322" s="79"/>
      <c r="G322" s="79"/>
    </row>
    <row r="323" spans="2:7" ht="15.75" customHeight="1" x14ac:dyDescent="0.2">
      <c r="B323" s="79"/>
      <c r="C323" s="79"/>
      <c r="D323" s="79"/>
      <c r="E323" s="79"/>
      <c r="F323" s="79"/>
      <c r="G323" s="79"/>
    </row>
    <row r="324" spans="2:7" ht="15.75" customHeight="1" x14ac:dyDescent="0.2">
      <c r="B324" s="79"/>
      <c r="C324" s="79"/>
      <c r="D324" s="79"/>
      <c r="E324" s="79"/>
      <c r="F324" s="79"/>
      <c r="G324" s="79"/>
    </row>
    <row r="325" spans="2:7" ht="15.75" customHeight="1" x14ac:dyDescent="0.2">
      <c r="B325" s="79"/>
      <c r="C325" s="79"/>
      <c r="D325" s="79"/>
      <c r="E325" s="79"/>
      <c r="F325" s="79"/>
      <c r="G325" s="79"/>
    </row>
    <row r="326" spans="2:7" ht="15.75" customHeight="1" x14ac:dyDescent="0.2">
      <c r="B326" s="79"/>
      <c r="C326" s="79"/>
      <c r="D326" s="79"/>
      <c r="E326" s="79"/>
      <c r="F326" s="79"/>
      <c r="G326" s="79"/>
    </row>
    <row r="327" spans="2:7" ht="15.75" customHeight="1" x14ac:dyDescent="0.2">
      <c r="B327" s="79"/>
      <c r="C327" s="79"/>
      <c r="D327" s="79"/>
      <c r="E327" s="79"/>
      <c r="F327" s="79"/>
      <c r="G327" s="79"/>
    </row>
    <row r="328" spans="2:7" ht="15.75" customHeight="1" x14ac:dyDescent="0.2">
      <c r="B328" s="79"/>
      <c r="C328" s="79"/>
      <c r="D328" s="79"/>
      <c r="E328" s="79"/>
      <c r="F328" s="79"/>
      <c r="G328" s="79"/>
    </row>
    <row r="329" spans="2:7" ht="15.75" customHeight="1" x14ac:dyDescent="0.2">
      <c r="B329" s="79"/>
      <c r="C329" s="79"/>
      <c r="D329" s="79"/>
      <c r="E329" s="79"/>
      <c r="F329" s="79"/>
      <c r="G329" s="79"/>
    </row>
    <row r="330" spans="2:7" ht="15.75" customHeight="1" x14ac:dyDescent="0.2">
      <c r="B330" s="79"/>
      <c r="C330" s="79"/>
      <c r="D330" s="79"/>
      <c r="E330" s="79"/>
      <c r="F330" s="79"/>
      <c r="G330" s="79"/>
    </row>
    <row r="331" spans="2:7" ht="15.75" customHeight="1" x14ac:dyDescent="0.2">
      <c r="B331" s="79"/>
      <c r="C331" s="79"/>
      <c r="D331" s="79"/>
      <c r="E331" s="79"/>
      <c r="F331" s="79"/>
      <c r="G331" s="79"/>
    </row>
    <row r="332" spans="2:7" ht="15.75" customHeight="1" x14ac:dyDescent="0.2">
      <c r="B332" s="79"/>
      <c r="C332" s="79"/>
      <c r="D332" s="79"/>
      <c r="E332" s="79"/>
      <c r="F332" s="79"/>
      <c r="G332" s="79"/>
    </row>
    <row r="333" spans="2:7" ht="15.75" customHeight="1" x14ac:dyDescent="0.2">
      <c r="B333" s="79"/>
      <c r="C333" s="79"/>
      <c r="D333" s="79"/>
      <c r="E333" s="79"/>
      <c r="F333" s="79"/>
      <c r="G333" s="79"/>
    </row>
    <row r="334" spans="2:7" ht="15.75" customHeight="1" x14ac:dyDescent="0.2">
      <c r="B334" s="79"/>
      <c r="C334" s="79"/>
      <c r="D334" s="79"/>
      <c r="E334" s="79"/>
      <c r="F334" s="79"/>
      <c r="G334" s="79"/>
    </row>
    <row r="335" spans="2:7" ht="15.75" customHeight="1" x14ac:dyDescent="0.2">
      <c r="B335" s="79"/>
      <c r="C335" s="79"/>
      <c r="D335" s="79"/>
      <c r="E335" s="79"/>
      <c r="F335" s="79"/>
      <c r="G335" s="79"/>
    </row>
    <row r="336" spans="2:7" ht="15.75" customHeight="1" x14ac:dyDescent="0.2">
      <c r="B336" s="79"/>
      <c r="C336" s="79"/>
      <c r="D336" s="79"/>
      <c r="E336" s="79"/>
      <c r="F336" s="79"/>
      <c r="G336" s="79"/>
    </row>
    <row r="337" spans="2:7" ht="15.75" customHeight="1" x14ac:dyDescent="0.2">
      <c r="B337" s="79"/>
      <c r="C337" s="79"/>
      <c r="D337" s="79"/>
      <c r="E337" s="79"/>
      <c r="F337" s="79"/>
      <c r="G337" s="79"/>
    </row>
    <row r="338" spans="2:7" ht="15.75" customHeight="1" x14ac:dyDescent="0.2">
      <c r="B338" s="79"/>
      <c r="C338" s="79"/>
      <c r="D338" s="79"/>
      <c r="E338" s="79"/>
      <c r="F338" s="79"/>
      <c r="G338" s="79"/>
    </row>
    <row r="339" spans="2:7" ht="15.75" customHeight="1" x14ac:dyDescent="0.2">
      <c r="B339" s="79"/>
      <c r="C339" s="79"/>
      <c r="D339" s="79"/>
      <c r="E339" s="79"/>
      <c r="F339" s="79"/>
      <c r="G339" s="79"/>
    </row>
    <row r="340" spans="2:7" ht="15.75" customHeight="1" x14ac:dyDescent="0.2">
      <c r="B340" s="79"/>
      <c r="C340" s="79"/>
      <c r="D340" s="79"/>
      <c r="E340" s="79"/>
      <c r="F340" s="79"/>
      <c r="G340" s="79"/>
    </row>
    <row r="341" spans="2:7" ht="15.75" customHeight="1" x14ac:dyDescent="0.2">
      <c r="B341" s="79"/>
      <c r="C341" s="79"/>
      <c r="D341" s="79"/>
      <c r="E341" s="79"/>
      <c r="F341" s="79"/>
      <c r="G341" s="79"/>
    </row>
    <row r="342" spans="2:7" ht="15.75" customHeight="1" x14ac:dyDescent="0.2">
      <c r="B342" s="79"/>
      <c r="C342" s="79"/>
      <c r="D342" s="79"/>
      <c r="E342" s="79"/>
      <c r="F342" s="79"/>
      <c r="G342" s="79"/>
    </row>
    <row r="343" spans="2:7" ht="15.75" customHeight="1" x14ac:dyDescent="0.2">
      <c r="B343" s="79"/>
      <c r="C343" s="79"/>
      <c r="D343" s="79"/>
      <c r="E343" s="79"/>
      <c r="F343" s="79"/>
      <c r="G343" s="79"/>
    </row>
    <row r="344" spans="2:7" ht="15.75" customHeight="1" x14ac:dyDescent="0.2">
      <c r="B344" s="79"/>
      <c r="C344" s="79"/>
      <c r="D344" s="79"/>
      <c r="E344" s="79"/>
      <c r="F344" s="79"/>
      <c r="G344" s="79"/>
    </row>
    <row r="345" spans="2:7" ht="15.75" customHeight="1" x14ac:dyDescent="0.2">
      <c r="B345" s="79"/>
      <c r="C345" s="79"/>
      <c r="D345" s="79"/>
      <c r="E345" s="79"/>
      <c r="F345" s="79"/>
      <c r="G345" s="79"/>
    </row>
    <row r="346" spans="2:7" ht="15.75" customHeight="1" x14ac:dyDescent="0.2">
      <c r="B346" s="79"/>
      <c r="C346" s="79"/>
      <c r="D346" s="79"/>
      <c r="E346" s="79"/>
      <c r="F346" s="79"/>
      <c r="G346" s="79"/>
    </row>
    <row r="347" spans="2:7" ht="15.75" customHeight="1" x14ac:dyDescent="0.2">
      <c r="B347" s="79"/>
      <c r="C347" s="79"/>
      <c r="D347" s="79"/>
      <c r="E347" s="79"/>
      <c r="F347" s="79"/>
      <c r="G347" s="79"/>
    </row>
    <row r="348" spans="2:7" ht="15.75" customHeight="1" x14ac:dyDescent="0.2">
      <c r="B348" s="79"/>
      <c r="C348" s="79"/>
      <c r="D348" s="79"/>
      <c r="E348" s="79"/>
      <c r="F348" s="79"/>
      <c r="G348" s="79"/>
    </row>
    <row r="349" spans="2:7" ht="15.75" customHeight="1" x14ac:dyDescent="0.2">
      <c r="B349" s="79"/>
      <c r="C349" s="79"/>
      <c r="D349" s="79"/>
      <c r="E349" s="79"/>
      <c r="F349" s="79"/>
      <c r="G349" s="79"/>
    </row>
    <row r="350" spans="2:7" ht="15.75" customHeight="1" x14ac:dyDescent="0.2">
      <c r="B350" s="79"/>
      <c r="C350" s="79"/>
      <c r="D350" s="79"/>
      <c r="E350" s="79"/>
      <c r="F350" s="79"/>
      <c r="G350" s="79"/>
    </row>
    <row r="351" spans="2:7" ht="15.75" customHeight="1" x14ac:dyDescent="0.2">
      <c r="B351" s="79"/>
      <c r="C351" s="79"/>
      <c r="D351" s="79"/>
      <c r="E351" s="79"/>
      <c r="F351" s="79"/>
      <c r="G351" s="79"/>
    </row>
    <row r="352" spans="2:7" ht="15.75" customHeight="1" x14ac:dyDescent="0.2">
      <c r="B352" s="79"/>
      <c r="C352" s="79"/>
      <c r="D352" s="79"/>
      <c r="E352" s="79"/>
      <c r="F352" s="79"/>
      <c r="G352" s="79"/>
    </row>
    <row r="353" spans="2:7" ht="15.75" customHeight="1" x14ac:dyDescent="0.2">
      <c r="B353" s="79"/>
      <c r="C353" s="79"/>
      <c r="D353" s="79"/>
      <c r="E353" s="79"/>
      <c r="F353" s="79"/>
      <c r="G353" s="79"/>
    </row>
    <row r="354" spans="2:7" ht="15.75" customHeight="1" x14ac:dyDescent="0.2">
      <c r="B354" s="79"/>
      <c r="C354" s="79"/>
      <c r="D354" s="79"/>
      <c r="E354" s="79"/>
      <c r="F354" s="79"/>
      <c r="G354" s="79"/>
    </row>
    <row r="355" spans="2:7" ht="15.75" customHeight="1" x14ac:dyDescent="0.2">
      <c r="B355" s="79"/>
      <c r="C355" s="79"/>
      <c r="D355" s="79"/>
      <c r="E355" s="79"/>
      <c r="F355" s="79"/>
      <c r="G355" s="79"/>
    </row>
    <row r="356" spans="2:7" ht="15.75" customHeight="1" x14ac:dyDescent="0.2">
      <c r="B356" s="79"/>
      <c r="C356" s="79"/>
      <c r="D356" s="79"/>
      <c r="E356" s="79"/>
      <c r="F356" s="79"/>
      <c r="G356" s="79"/>
    </row>
    <row r="357" spans="2:7" ht="15.75" customHeight="1" x14ac:dyDescent="0.2">
      <c r="B357" s="79"/>
      <c r="C357" s="79"/>
      <c r="D357" s="79"/>
      <c r="E357" s="79"/>
      <c r="F357" s="79"/>
      <c r="G357" s="79"/>
    </row>
    <row r="358" spans="2:7" ht="15.75" customHeight="1" x14ac:dyDescent="0.2">
      <c r="B358" s="79"/>
      <c r="C358" s="79"/>
      <c r="D358" s="79"/>
      <c r="E358" s="79"/>
      <c r="F358" s="79"/>
      <c r="G358" s="79"/>
    </row>
    <row r="359" spans="2:7" ht="15.75" customHeight="1" x14ac:dyDescent="0.2">
      <c r="B359" s="79"/>
      <c r="C359" s="79"/>
      <c r="D359" s="79"/>
      <c r="E359" s="79"/>
      <c r="F359" s="79"/>
      <c r="G359" s="79"/>
    </row>
    <row r="360" spans="2:7" ht="15.75" customHeight="1" x14ac:dyDescent="0.2">
      <c r="B360" s="79"/>
      <c r="C360" s="79"/>
      <c r="D360" s="79"/>
      <c r="E360" s="79"/>
      <c r="F360" s="79"/>
      <c r="G360" s="79"/>
    </row>
    <row r="361" spans="2:7" ht="15.75" customHeight="1" x14ac:dyDescent="0.2">
      <c r="B361" s="79"/>
      <c r="C361" s="79"/>
      <c r="D361" s="79"/>
      <c r="E361" s="79"/>
      <c r="F361" s="79"/>
      <c r="G361" s="79"/>
    </row>
    <row r="362" spans="2:7" ht="15.75" customHeight="1" x14ac:dyDescent="0.2">
      <c r="B362" s="79"/>
      <c r="C362" s="79"/>
      <c r="D362" s="79"/>
      <c r="E362" s="79"/>
      <c r="F362" s="79"/>
      <c r="G362" s="79"/>
    </row>
    <row r="363" spans="2:7" ht="15.75" customHeight="1" x14ac:dyDescent="0.2">
      <c r="B363" s="79"/>
      <c r="C363" s="79"/>
      <c r="D363" s="79"/>
      <c r="E363" s="79"/>
      <c r="F363" s="79"/>
      <c r="G363" s="79"/>
    </row>
    <row r="364" spans="2:7" ht="15.75" customHeight="1" x14ac:dyDescent="0.2">
      <c r="B364" s="79"/>
      <c r="C364" s="79"/>
      <c r="D364" s="79"/>
      <c r="E364" s="79"/>
      <c r="F364" s="79"/>
      <c r="G364" s="79"/>
    </row>
    <row r="365" spans="2:7" ht="15.75" customHeight="1" x14ac:dyDescent="0.2">
      <c r="B365" s="79"/>
      <c r="C365" s="79"/>
      <c r="D365" s="79"/>
      <c r="E365" s="79"/>
      <c r="F365" s="79"/>
      <c r="G365" s="79"/>
    </row>
    <row r="366" spans="2:7" ht="15.75" customHeight="1" x14ac:dyDescent="0.2">
      <c r="B366" s="79"/>
      <c r="C366" s="79"/>
      <c r="D366" s="79"/>
      <c r="E366" s="79"/>
      <c r="F366" s="79"/>
      <c r="G366" s="79"/>
    </row>
    <row r="367" spans="2:7" ht="15.75" customHeight="1" x14ac:dyDescent="0.2">
      <c r="B367" s="79"/>
      <c r="C367" s="79"/>
      <c r="D367" s="79"/>
      <c r="E367" s="79"/>
      <c r="F367" s="79"/>
      <c r="G367" s="79"/>
    </row>
    <row r="368" spans="2:7" ht="15.75" customHeight="1" x14ac:dyDescent="0.2">
      <c r="B368" s="79"/>
      <c r="C368" s="79"/>
      <c r="D368" s="79"/>
      <c r="E368" s="79"/>
      <c r="F368" s="79"/>
      <c r="G368" s="79"/>
    </row>
    <row r="369" spans="2:7" ht="15.75" customHeight="1" x14ac:dyDescent="0.2">
      <c r="B369" s="79"/>
      <c r="C369" s="79"/>
      <c r="D369" s="79"/>
      <c r="E369" s="79"/>
      <c r="F369" s="79"/>
      <c r="G369" s="79"/>
    </row>
    <row r="370" spans="2:7" ht="15.75" customHeight="1" x14ac:dyDescent="0.2">
      <c r="B370" s="79"/>
      <c r="C370" s="79"/>
      <c r="D370" s="79"/>
      <c r="E370" s="79"/>
      <c r="F370" s="79"/>
      <c r="G370" s="79"/>
    </row>
    <row r="371" spans="2:7" ht="15.75" customHeight="1" x14ac:dyDescent="0.2">
      <c r="B371" s="79"/>
      <c r="C371" s="79"/>
      <c r="D371" s="79"/>
      <c r="E371" s="79"/>
      <c r="F371" s="79"/>
      <c r="G371" s="79"/>
    </row>
    <row r="372" spans="2:7" ht="15.75" customHeight="1" x14ac:dyDescent="0.2">
      <c r="B372" s="79"/>
      <c r="C372" s="79"/>
      <c r="D372" s="79"/>
      <c r="E372" s="79"/>
      <c r="F372" s="79"/>
      <c r="G372" s="79"/>
    </row>
    <row r="373" spans="2:7" ht="15.75" customHeight="1" x14ac:dyDescent="0.2">
      <c r="B373" s="79"/>
      <c r="C373" s="79"/>
      <c r="D373" s="79"/>
      <c r="E373" s="79"/>
      <c r="F373" s="79"/>
      <c r="G373" s="79"/>
    </row>
    <row r="374" spans="2:7" ht="15.75" customHeight="1" x14ac:dyDescent="0.2">
      <c r="B374" s="79"/>
      <c r="C374" s="79"/>
      <c r="D374" s="79"/>
      <c r="E374" s="79"/>
      <c r="F374" s="79"/>
      <c r="G374" s="79"/>
    </row>
    <row r="375" spans="2:7" ht="15.75" customHeight="1" x14ac:dyDescent="0.2">
      <c r="B375" s="79"/>
      <c r="C375" s="79"/>
      <c r="D375" s="79"/>
      <c r="E375" s="79"/>
      <c r="F375" s="79"/>
      <c r="G375" s="79"/>
    </row>
    <row r="376" spans="2:7" ht="15.75" customHeight="1" x14ac:dyDescent="0.2">
      <c r="B376" s="79"/>
      <c r="C376" s="79"/>
      <c r="D376" s="79"/>
      <c r="E376" s="79"/>
      <c r="F376" s="79"/>
      <c r="G376" s="79"/>
    </row>
    <row r="377" spans="2:7" ht="15.75" customHeight="1" x14ac:dyDescent="0.2">
      <c r="B377" s="79"/>
      <c r="C377" s="79"/>
      <c r="D377" s="79"/>
      <c r="E377" s="79"/>
      <c r="F377" s="79"/>
      <c r="G377" s="79"/>
    </row>
    <row r="378" spans="2:7" ht="15.75" customHeight="1" x14ac:dyDescent="0.2">
      <c r="B378" s="79"/>
      <c r="C378" s="79"/>
      <c r="D378" s="79"/>
      <c r="E378" s="79"/>
      <c r="F378" s="79"/>
      <c r="G378" s="79"/>
    </row>
    <row r="379" spans="2:7" ht="15.75" customHeight="1" x14ac:dyDescent="0.2">
      <c r="B379" s="79"/>
      <c r="C379" s="79"/>
      <c r="D379" s="79"/>
      <c r="E379" s="79"/>
      <c r="F379" s="79"/>
      <c r="G379" s="79"/>
    </row>
    <row r="380" spans="2:7" ht="15.75" customHeight="1" x14ac:dyDescent="0.2">
      <c r="B380" s="79"/>
      <c r="C380" s="79"/>
      <c r="D380" s="79"/>
      <c r="E380" s="79"/>
      <c r="F380" s="79"/>
      <c r="G380" s="79"/>
    </row>
    <row r="381" spans="2:7" ht="15.75" customHeight="1" x14ac:dyDescent="0.2">
      <c r="B381" s="79"/>
      <c r="C381" s="79"/>
      <c r="D381" s="79"/>
      <c r="E381" s="79"/>
      <c r="F381" s="79"/>
      <c r="G381" s="79"/>
    </row>
    <row r="382" spans="2:7" ht="15.75" customHeight="1" x14ac:dyDescent="0.2">
      <c r="B382" s="79"/>
      <c r="C382" s="79"/>
      <c r="D382" s="79"/>
      <c r="E382" s="79"/>
      <c r="F382" s="79"/>
      <c r="G382" s="79"/>
    </row>
    <row r="383" spans="2:7" ht="15.75" customHeight="1" x14ac:dyDescent="0.2">
      <c r="B383" s="79"/>
      <c r="C383" s="79"/>
      <c r="D383" s="79"/>
      <c r="E383" s="79"/>
      <c r="F383" s="79"/>
      <c r="G383" s="79"/>
    </row>
    <row r="384" spans="2:7" ht="15.75" customHeight="1" x14ac:dyDescent="0.2">
      <c r="B384" s="79"/>
      <c r="C384" s="79"/>
      <c r="D384" s="79"/>
      <c r="E384" s="79"/>
      <c r="F384" s="79"/>
      <c r="G384" s="79"/>
    </row>
    <row r="385" spans="2:7" ht="15.75" customHeight="1" x14ac:dyDescent="0.2">
      <c r="B385" s="79"/>
      <c r="C385" s="79"/>
      <c r="D385" s="79"/>
      <c r="E385" s="79"/>
      <c r="F385" s="79"/>
      <c r="G385" s="79"/>
    </row>
    <row r="386" spans="2:7" ht="15.75" customHeight="1" x14ac:dyDescent="0.2">
      <c r="B386" s="79"/>
      <c r="C386" s="79"/>
      <c r="D386" s="79"/>
      <c r="E386" s="79"/>
      <c r="F386" s="79"/>
      <c r="G386" s="79"/>
    </row>
    <row r="387" spans="2:7" ht="15.75" customHeight="1" x14ac:dyDescent="0.2">
      <c r="B387" s="79"/>
      <c r="C387" s="79"/>
      <c r="D387" s="79"/>
      <c r="E387" s="79"/>
      <c r="F387" s="79"/>
      <c r="G387" s="79"/>
    </row>
    <row r="388" spans="2:7" ht="15.75" customHeight="1" x14ac:dyDescent="0.2">
      <c r="B388" s="79"/>
      <c r="C388" s="79"/>
      <c r="D388" s="79"/>
      <c r="E388" s="79"/>
      <c r="F388" s="79"/>
      <c r="G388" s="79"/>
    </row>
    <row r="389" spans="2:7" ht="15.75" customHeight="1" x14ac:dyDescent="0.2">
      <c r="B389" s="79"/>
      <c r="C389" s="79"/>
      <c r="D389" s="79"/>
      <c r="E389" s="79"/>
      <c r="F389" s="79"/>
      <c r="G389" s="79"/>
    </row>
    <row r="390" spans="2:7" ht="15.75" customHeight="1" x14ac:dyDescent="0.2">
      <c r="B390" s="79"/>
      <c r="C390" s="79"/>
      <c r="D390" s="79"/>
      <c r="E390" s="79"/>
      <c r="F390" s="79"/>
      <c r="G390" s="79"/>
    </row>
    <row r="391" spans="2:7" ht="15.75" customHeight="1" x14ac:dyDescent="0.2">
      <c r="B391" s="79"/>
      <c r="C391" s="79"/>
      <c r="D391" s="79"/>
      <c r="E391" s="79"/>
      <c r="F391" s="79"/>
      <c r="G391" s="79"/>
    </row>
    <row r="392" spans="2:7" ht="15.75" customHeight="1" x14ac:dyDescent="0.2">
      <c r="B392" s="79"/>
      <c r="C392" s="79"/>
      <c r="D392" s="79"/>
      <c r="E392" s="79"/>
      <c r="F392" s="79"/>
      <c r="G392" s="79"/>
    </row>
    <row r="393" spans="2:7" ht="15.75" customHeight="1" x14ac:dyDescent="0.2">
      <c r="B393" s="79"/>
      <c r="C393" s="79"/>
      <c r="D393" s="79"/>
      <c r="E393" s="79"/>
      <c r="F393" s="79"/>
      <c r="G393" s="79"/>
    </row>
    <row r="394" spans="2:7" ht="15.75" customHeight="1" x14ac:dyDescent="0.2">
      <c r="B394" s="79"/>
      <c r="C394" s="79"/>
      <c r="D394" s="79"/>
      <c r="E394" s="79"/>
      <c r="F394" s="79"/>
      <c r="G394" s="79"/>
    </row>
    <row r="395" spans="2:7" ht="15.75" customHeight="1" x14ac:dyDescent="0.2">
      <c r="B395" s="79"/>
      <c r="C395" s="79"/>
      <c r="D395" s="79"/>
      <c r="E395" s="79"/>
      <c r="F395" s="79"/>
      <c r="G395" s="79"/>
    </row>
    <row r="396" spans="2:7" ht="15.75" customHeight="1" x14ac:dyDescent="0.2">
      <c r="B396" s="79"/>
      <c r="C396" s="79"/>
      <c r="D396" s="79"/>
      <c r="E396" s="79"/>
      <c r="F396" s="79"/>
      <c r="G396" s="79"/>
    </row>
    <row r="397" spans="2:7" ht="15.75" customHeight="1" x14ac:dyDescent="0.2">
      <c r="B397" s="79"/>
      <c r="C397" s="79"/>
      <c r="D397" s="79"/>
      <c r="E397" s="79"/>
      <c r="F397" s="79"/>
      <c r="G397" s="79"/>
    </row>
    <row r="398" spans="2:7" ht="15.75" customHeight="1" x14ac:dyDescent="0.2">
      <c r="B398" s="79"/>
      <c r="C398" s="79"/>
      <c r="D398" s="79"/>
      <c r="E398" s="79"/>
      <c r="F398" s="79"/>
      <c r="G398" s="79"/>
    </row>
    <row r="399" spans="2:7" ht="15.75" customHeight="1" x14ac:dyDescent="0.2">
      <c r="B399" s="79"/>
      <c r="C399" s="79"/>
      <c r="D399" s="79"/>
      <c r="E399" s="79"/>
      <c r="F399" s="79"/>
      <c r="G399" s="79"/>
    </row>
    <row r="400" spans="2:7" ht="15.75" customHeight="1" x14ac:dyDescent="0.2">
      <c r="B400" s="79"/>
      <c r="C400" s="79"/>
      <c r="D400" s="79"/>
      <c r="E400" s="79"/>
      <c r="F400" s="79"/>
      <c r="G400" s="79"/>
    </row>
    <row r="401" spans="2:7" ht="15.75" customHeight="1" x14ac:dyDescent="0.2">
      <c r="B401" s="79"/>
      <c r="C401" s="79"/>
      <c r="D401" s="79"/>
      <c r="E401" s="79"/>
      <c r="F401" s="79"/>
      <c r="G401" s="79"/>
    </row>
    <row r="402" spans="2:7" ht="15.75" customHeight="1" x14ac:dyDescent="0.2">
      <c r="B402" s="79"/>
      <c r="C402" s="79"/>
      <c r="D402" s="79"/>
      <c r="E402" s="79"/>
      <c r="F402" s="79"/>
      <c r="G402" s="79"/>
    </row>
    <row r="403" spans="2:7" ht="15.75" customHeight="1" x14ac:dyDescent="0.2">
      <c r="B403" s="79"/>
      <c r="C403" s="79"/>
      <c r="D403" s="79"/>
      <c r="E403" s="79"/>
      <c r="F403" s="79"/>
      <c r="G403" s="79"/>
    </row>
    <row r="404" spans="2:7" ht="15.75" customHeight="1" x14ac:dyDescent="0.2">
      <c r="B404" s="79"/>
      <c r="C404" s="79"/>
      <c r="D404" s="79"/>
      <c r="E404" s="79"/>
      <c r="F404" s="79"/>
      <c r="G404" s="79"/>
    </row>
    <row r="405" spans="2:7" ht="15.75" customHeight="1" x14ac:dyDescent="0.2">
      <c r="B405" s="79"/>
      <c r="C405" s="79"/>
      <c r="D405" s="79"/>
      <c r="E405" s="79"/>
      <c r="F405" s="79"/>
      <c r="G405" s="79"/>
    </row>
    <row r="406" spans="2:7" ht="15.75" customHeight="1" x14ac:dyDescent="0.2">
      <c r="B406" s="79"/>
      <c r="C406" s="79"/>
      <c r="D406" s="79"/>
      <c r="E406" s="79"/>
      <c r="F406" s="79"/>
      <c r="G406" s="79"/>
    </row>
    <row r="407" spans="2:7" ht="15.75" customHeight="1" x14ac:dyDescent="0.2">
      <c r="B407" s="79"/>
      <c r="C407" s="79"/>
      <c r="D407" s="79"/>
      <c r="E407" s="79"/>
      <c r="F407" s="79"/>
      <c r="G407" s="79"/>
    </row>
    <row r="408" spans="2:7" ht="15.75" customHeight="1" x14ac:dyDescent="0.2">
      <c r="B408" s="79"/>
      <c r="C408" s="79"/>
      <c r="D408" s="79"/>
      <c r="E408" s="79"/>
      <c r="F408" s="79"/>
      <c r="G408" s="79"/>
    </row>
    <row r="409" spans="2:7" ht="15.75" customHeight="1" x14ac:dyDescent="0.2">
      <c r="B409" s="79"/>
      <c r="C409" s="79"/>
      <c r="D409" s="79"/>
      <c r="E409" s="79"/>
      <c r="F409" s="79"/>
      <c r="G409" s="79"/>
    </row>
    <row r="410" spans="2:7" ht="15.75" customHeight="1" x14ac:dyDescent="0.2">
      <c r="B410" s="79"/>
      <c r="C410" s="79"/>
      <c r="D410" s="79"/>
      <c r="E410" s="79"/>
      <c r="F410" s="79"/>
      <c r="G410" s="79"/>
    </row>
    <row r="411" spans="2:7" ht="15.75" customHeight="1" x14ac:dyDescent="0.2">
      <c r="B411" s="79"/>
      <c r="C411" s="79"/>
      <c r="D411" s="79"/>
      <c r="E411" s="79"/>
      <c r="F411" s="79"/>
      <c r="G411" s="79"/>
    </row>
    <row r="412" spans="2:7" ht="15.75" customHeight="1" x14ac:dyDescent="0.2">
      <c r="B412" s="79"/>
      <c r="C412" s="79"/>
      <c r="D412" s="79"/>
      <c r="E412" s="79"/>
      <c r="F412" s="79"/>
      <c r="G412" s="79"/>
    </row>
    <row r="413" spans="2:7" ht="15.75" customHeight="1" x14ac:dyDescent="0.2">
      <c r="B413" s="79"/>
      <c r="C413" s="79"/>
      <c r="D413" s="79"/>
      <c r="E413" s="79"/>
      <c r="F413" s="79"/>
      <c r="G413" s="79"/>
    </row>
    <row r="414" spans="2:7" ht="15.75" customHeight="1" x14ac:dyDescent="0.2">
      <c r="B414" s="79"/>
      <c r="C414" s="79"/>
      <c r="D414" s="79"/>
      <c r="E414" s="79"/>
      <c r="F414" s="79"/>
      <c r="G414" s="79"/>
    </row>
    <row r="415" spans="2:7" ht="15.75" customHeight="1" x14ac:dyDescent="0.2">
      <c r="B415" s="79"/>
      <c r="C415" s="79"/>
      <c r="D415" s="79"/>
      <c r="E415" s="79"/>
      <c r="F415" s="79"/>
      <c r="G415" s="79"/>
    </row>
    <row r="416" spans="2:7" ht="15.75" customHeight="1" x14ac:dyDescent="0.2">
      <c r="B416" s="79"/>
      <c r="C416" s="79"/>
      <c r="D416" s="79"/>
      <c r="E416" s="79"/>
      <c r="F416" s="79"/>
      <c r="G416" s="79"/>
    </row>
    <row r="417" spans="2:7" ht="15.75" customHeight="1" x14ac:dyDescent="0.2">
      <c r="B417" s="79"/>
      <c r="C417" s="79"/>
      <c r="D417" s="79"/>
      <c r="E417" s="79"/>
      <c r="F417" s="79"/>
      <c r="G417" s="79"/>
    </row>
    <row r="418" spans="2:7" ht="15.75" customHeight="1" x14ac:dyDescent="0.2">
      <c r="B418" s="79"/>
      <c r="C418" s="79"/>
      <c r="D418" s="79"/>
      <c r="E418" s="79"/>
      <c r="F418" s="79"/>
      <c r="G418" s="79"/>
    </row>
    <row r="419" spans="2:7" ht="15.75" customHeight="1" x14ac:dyDescent="0.2">
      <c r="B419" s="79"/>
      <c r="C419" s="79"/>
      <c r="D419" s="79"/>
      <c r="E419" s="79"/>
      <c r="F419" s="79"/>
      <c r="G419" s="79"/>
    </row>
    <row r="420" spans="2:7" ht="15.75" customHeight="1" x14ac:dyDescent="0.2">
      <c r="B420" s="79"/>
      <c r="C420" s="79"/>
      <c r="D420" s="79"/>
      <c r="E420" s="79"/>
      <c r="F420" s="79"/>
      <c r="G420" s="79"/>
    </row>
    <row r="421" spans="2:7" ht="15.75" customHeight="1" x14ac:dyDescent="0.2">
      <c r="B421" s="79"/>
      <c r="C421" s="79"/>
      <c r="D421" s="79"/>
      <c r="E421" s="79"/>
      <c r="F421" s="79"/>
      <c r="G421" s="79"/>
    </row>
    <row r="422" spans="2:7" ht="15.75" customHeight="1" x14ac:dyDescent="0.2">
      <c r="B422" s="79"/>
      <c r="C422" s="79"/>
      <c r="D422" s="79"/>
      <c r="E422" s="79"/>
      <c r="F422" s="79"/>
      <c r="G422" s="79"/>
    </row>
    <row r="423" spans="2:7" ht="15.75" customHeight="1" x14ac:dyDescent="0.2">
      <c r="B423" s="79"/>
      <c r="C423" s="79"/>
      <c r="D423" s="79"/>
      <c r="E423" s="79"/>
      <c r="F423" s="79"/>
      <c r="G423" s="79"/>
    </row>
    <row r="424" spans="2:7" ht="15.75" customHeight="1" x14ac:dyDescent="0.2">
      <c r="B424" s="79"/>
      <c r="C424" s="79"/>
      <c r="D424" s="79"/>
      <c r="E424" s="79"/>
      <c r="F424" s="79"/>
      <c r="G424" s="79"/>
    </row>
    <row r="425" spans="2:7" ht="15.75" customHeight="1" x14ac:dyDescent="0.2">
      <c r="B425" s="79"/>
      <c r="C425" s="79"/>
      <c r="D425" s="79"/>
      <c r="E425" s="79"/>
      <c r="F425" s="79"/>
      <c r="G425" s="79"/>
    </row>
    <row r="426" spans="2:7" ht="15.75" customHeight="1" x14ac:dyDescent="0.2">
      <c r="B426" s="79"/>
      <c r="C426" s="79"/>
      <c r="D426" s="79"/>
      <c r="E426" s="79"/>
      <c r="F426" s="79"/>
      <c r="G426" s="79"/>
    </row>
    <row r="427" spans="2:7" ht="15.75" customHeight="1" x14ac:dyDescent="0.2">
      <c r="B427" s="79"/>
      <c r="C427" s="79"/>
      <c r="D427" s="79"/>
      <c r="E427" s="79"/>
      <c r="F427" s="79"/>
      <c r="G427" s="79"/>
    </row>
    <row r="428" spans="2:7" ht="15.75" customHeight="1" x14ac:dyDescent="0.2">
      <c r="B428" s="79"/>
      <c r="C428" s="79"/>
      <c r="D428" s="79"/>
      <c r="E428" s="79"/>
      <c r="F428" s="79"/>
      <c r="G428" s="79"/>
    </row>
    <row r="429" spans="2:7" ht="15.75" customHeight="1" x14ac:dyDescent="0.2">
      <c r="B429" s="79"/>
      <c r="C429" s="79"/>
      <c r="D429" s="79"/>
      <c r="E429" s="79"/>
      <c r="F429" s="79"/>
      <c r="G429" s="79"/>
    </row>
    <row r="430" spans="2:7" ht="15.75" customHeight="1" x14ac:dyDescent="0.2">
      <c r="B430" s="79"/>
      <c r="C430" s="79"/>
      <c r="D430" s="79"/>
      <c r="E430" s="79"/>
      <c r="F430" s="79"/>
      <c r="G430" s="79"/>
    </row>
    <row r="431" spans="2:7" ht="15.75" customHeight="1" x14ac:dyDescent="0.2">
      <c r="B431" s="79"/>
      <c r="C431" s="79"/>
      <c r="D431" s="79"/>
      <c r="E431" s="79"/>
      <c r="F431" s="79"/>
      <c r="G431" s="79"/>
    </row>
    <row r="432" spans="2:7" ht="15.75" customHeight="1" x14ac:dyDescent="0.2">
      <c r="B432" s="79"/>
      <c r="C432" s="79"/>
      <c r="D432" s="79"/>
      <c r="E432" s="79"/>
      <c r="F432" s="79"/>
      <c r="G432" s="79"/>
    </row>
    <row r="433" spans="2:7" ht="15.75" customHeight="1" x14ac:dyDescent="0.2">
      <c r="B433" s="79"/>
      <c r="C433" s="79"/>
      <c r="D433" s="79"/>
      <c r="E433" s="79"/>
      <c r="F433" s="79"/>
      <c r="G433" s="79"/>
    </row>
    <row r="434" spans="2:7" ht="15.75" customHeight="1" x14ac:dyDescent="0.2">
      <c r="B434" s="79"/>
      <c r="C434" s="79"/>
      <c r="D434" s="79"/>
      <c r="E434" s="79"/>
      <c r="F434" s="79"/>
      <c r="G434" s="79"/>
    </row>
    <row r="435" spans="2:7" ht="15.75" customHeight="1" x14ac:dyDescent="0.2">
      <c r="B435" s="79"/>
      <c r="C435" s="79"/>
      <c r="D435" s="79"/>
      <c r="E435" s="79"/>
      <c r="F435" s="79"/>
      <c r="G435" s="79"/>
    </row>
    <row r="436" spans="2:7" ht="15.75" customHeight="1" x14ac:dyDescent="0.2">
      <c r="B436" s="79"/>
      <c r="C436" s="79"/>
      <c r="D436" s="79"/>
      <c r="E436" s="79"/>
      <c r="F436" s="79"/>
      <c r="G436" s="79"/>
    </row>
    <row r="437" spans="2:7" ht="15.75" customHeight="1" x14ac:dyDescent="0.2">
      <c r="B437" s="79"/>
      <c r="C437" s="79"/>
      <c r="D437" s="79"/>
      <c r="E437" s="79"/>
      <c r="F437" s="79"/>
      <c r="G437" s="79"/>
    </row>
    <row r="438" spans="2:7" ht="15.75" customHeight="1" x14ac:dyDescent="0.2">
      <c r="B438" s="79"/>
      <c r="C438" s="79"/>
      <c r="D438" s="79"/>
      <c r="E438" s="79"/>
      <c r="F438" s="79"/>
      <c r="G438" s="79"/>
    </row>
    <row r="439" spans="2:7" ht="15.75" customHeight="1" x14ac:dyDescent="0.2">
      <c r="B439" s="79"/>
      <c r="C439" s="79"/>
      <c r="D439" s="79"/>
      <c r="E439" s="79"/>
      <c r="F439" s="79"/>
      <c r="G439" s="79"/>
    </row>
    <row r="440" spans="2:7" ht="15.75" customHeight="1" x14ac:dyDescent="0.2">
      <c r="B440" s="79"/>
      <c r="C440" s="79"/>
      <c r="D440" s="79"/>
      <c r="E440" s="79"/>
      <c r="F440" s="79"/>
      <c r="G440" s="79"/>
    </row>
    <row r="441" spans="2:7" ht="15.75" customHeight="1" x14ac:dyDescent="0.2">
      <c r="B441" s="79"/>
      <c r="C441" s="79"/>
      <c r="D441" s="79"/>
      <c r="E441" s="79"/>
      <c r="F441" s="79"/>
      <c r="G441" s="79"/>
    </row>
    <row r="442" spans="2:7" ht="15.75" customHeight="1" x14ac:dyDescent="0.2">
      <c r="B442" s="79"/>
      <c r="C442" s="79"/>
      <c r="D442" s="79"/>
      <c r="E442" s="79"/>
      <c r="F442" s="79"/>
      <c r="G442" s="79"/>
    </row>
    <row r="443" spans="2:7" ht="15.75" customHeight="1" x14ac:dyDescent="0.2">
      <c r="B443" s="79"/>
      <c r="C443" s="79"/>
      <c r="D443" s="79"/>
      <c r="E443" s="79"/>
      <c r="F443" s="79"/>
      <c r="G443" s="79"/>
    </row>
    <row r="444" spans="2:7" ht="15.75" customHeight="1" x14ac:dyDescent="0.2">
      <c r="B444" s="79"/>
      <c r="C444" s="79"/>
      <c r="D444" s="79"/>
      <c r="E444" s="79"/>
      <c r="F444" s="79"/>
      <c r="G444" s="79"/>
    </row>
    <row r="445" spans="2:7" ht="15.75" customHeight="1" x14ac:dyDescent="0.2">
      <c r="B445" s="79"/>
      <c r="C445" s="79"/>
      <c r="D445" s="79"/>
      <c r="E445" s="79"/>
      <c r="F445" s="79"/>
      <c r="G445" s="79"/>
    </row>
    <row r="446" spans="2:7" ht="15.75" customHeight="1" x14ac:dyDescent="0.2">
      <c r="B446" s="79"/>
      <c r="C446" s="79"/>
      <c r="D446" s="79"/>
      <c r="E446" s="79"/>
      <c r="F446" s="79"/>
      <c r="G446" s="79"/>
    </row>
    <row r="447" spans="2:7" ht="15.75" customHeight="1" x14ac:dyDescent="0.2">
      <c r="B447" s="79"/>
      <c r="C447" s="79"/>
      <c r="D447" s="79"/>
      <c r="E447" s="79"/>
      <c r="F447" s="79"/>
      <c r="G447" s="79"/>
    </row>
    <row r="448" spans="2:7" ht="15.75" customHeight="1" x14ac:dyDescent="0.2">
      <c r="B448" s="79"/>
      <c r="C448" s="79"/>
      <c r="D448" s="79"/>
      <c r="E448" s="79"/>
      <c r="F448" s="79"/>
      <c r="G448" s="79"/>
    </row>
    <row r="449" spans="2:7" ht="15.75" customHeight="1" x14ac:dyDescent="0.2">
      <c r="B449" s="79"/>
      <c r="C449" s="79"/>
      <c r="D449" s="79"/>
      <c r="E449" s="79"/>
      <c r="F449" s="79"/>
      <c r="G449" s="79"/>
    </row>
    <row r="450" spans="2:7" ht="15.75" customHeight="1" x14ac:dyDescent="0.2">
      <c r="B450" s="79"/>
      <c r="C450" s="79"/>
      <c r="D450" s="79"/>
      <c r="E450" s="79"/>
      <c r="F450" s="79"/>
      <c r="G450" s="79"/>
    </row>
    <row r="451" spans="2:7" ht="15.75" customHeight="1" x14ac:dyDescent="0.2">
      <c r="B451" s="79"/>
      <c r="C451" s="79"/>
      <c r="D451" s="79"/>
      <c r="E451" s="79"/>
      <c r="F451" s="79"/>
      <c r="G451" s="79"/>
    </row>
    <row r="452" spans="2:7" ht="15.75" customHeight="1" x14ac:dyDescent="0.2">
      <c r="B452" s="79"/>
      <c r="C452" s="79"/>
      <c r="D452" s="79"/>
      <c r="E452" s="79"/>
      <c r="F452" s="79"/>
      <c r="G452" s="79"/>
    </row>
    <row r="453" spans="2:7" ht="15.75" customHeight="1" x14ac:dyDescent="0.2">
      <c r="B453" s="79"/>
      <c r="C453" s="79"/>
      <c r="D453" s="79"/>
      <c r="E453" s="79"/>
      <c r="F453" s="79"/>
      <c r="G453" s="79"/>
    </row>
    <row r="454" spans="2:7" ht="15.75" customHeight="1" x14ac:dyDescent="0.2">
      <c r="B454" s="79"/>
      <c r="C454" s="79"/>
      <c r="D454" s="79"/>
      <c r="E454" s="79"/>
      <c r="F454" s="79"/>
      <c r="G454" s="79"/>
    </row>
    <row r="455" spans="2:7" ht="15.75" customHeight="1" x14ac:dyDescent="0.2">
      <c r="B455" s="79"/>
      <c r="C455" s="79"/>
      <c r="D455" s="79"/>
      <c r="E455" s="79"/>
      <c r="F455" s="79"/>
      <c r="G455" s="79"/>
    </row>
    <row r="456" spans="2:7" ht="15.75" customHeight="1" x14ac:dyDescent="0.2">
      <c r="B456" s="79"/>
      <c r="C456" s="79"/>
      <c r="D456" s="79"/>
      <c r="E456" s="79"/>
      <c r="F456" s="79"/>
      <c r="G456" s="79"/>
    </row>
    <row r="457" spans="2:7" ht="15.75" customHeight="1" x14ac:dyDescent="0.2">
      <c r="B457" s="79"/>
      <c r="C457" s="79"/>
      <c r="D457" s="79"/>
      <c r="E457" s="79"/>
      <c r="F457" s="79"/>
      <c r="G457" s="79"/>
    </row>
    <row r="458" spans="2:7" ht="15.75" customHeight="1" x14ac:dyDescent="0.2">
      <c r="B458" s="79"/>
      <c r="C458" s="79"/>
      <c r="D458" s="79"/>
      <c r="E458" s="79"/>
      <c r="F458" s="79"/>
      <c r="G458" s="79"/>
    </row>
    <row r="459" spans="2:7" ht="15.75" customHeight="1" x14ac:dyDescent="0.2">
      <c r="B459" s="79"/>
      <c r="C459" s="79"/>
      <c r="D459" s="79"/>
      <c r="E459" s="79"/>
      <c r="F459" s="79"/>
      <c r="G459" s="79"/>
    </row>
    <row r="460" spans="2:7" ht="15.75" customHeight="1" x14ac:dyDescent="0.2">
      <c r="B460" s="79"/>
      <c r="C460" s="79"/>
      <c r="D460" s="79"/>
      <c r="E460" s="79"/>
      <c r="F460" s="79"/>
      <c r="G460" s="79"/>
    </row>
    <row r="461" spans="2:7" ht="15.75" customHeight="1" x14ac:dyDescent="0.2">
      <c r="B461" s="79"/>
      <c r="C461" s="79"/>
      <c r="D461" s="79"/>
      <c r="E461" s="79"/>
      <c r="F461" s="79"/>
      <c r="G461" s="79"/>
    </row>
    <row r="462" spans="2:7" ht="15.75" customHeight="1" x14ac:dyDescent="0.2">
      <c r="B462" s="79"/>
      <c r="C462" s="79"/>
      <c r="D462" s="79"/>
      <c r="E462" s="79"/>
      <c r="F462" s="79"/>
      <c r="G462" s="79"/>
    </row>
    <row r="463" spans="2:7" ht="15.75" customHeight="1" x14ac:dyDescent="0.2">
      <c r="B463" s="79"/>
      <c r="C463" s="79"/>
      <c r="D463" s="79"/>
      <c r="E463" s="79"/>
      <c r="F463" s="79"/>
      <c r="G463" s="79"/>
    </row>
    <row r="464" spans="2:7" ht="15.75" customHeight="1" x14ac:dyDescent="0.2">
      <c r="B464" s="79"/>
      <c r="C464" s="79"/>
      <c r="D464" s="79"/>
      <c r="E464" s="79"/>
      <c r="F464" s="79"/>
      <c r="G464" s="79"/>
    </row>
    <row r="465" spans="2:7" ht="15.75" customHeight="1" x14ac:dyDescent="0.2">
      <c r="B465" s="79"/>
      <c r="C465" s="79"/>
      <c r="D465" s="79"/>
      <c r="E465" s="79"/>
      <c r="F465" s="79"/>
      <c r="G465" s="79"/>
    </row>
    <row r="466" spans="2:7" ht="15.75" customHeight="1" x14ac:dyDescent="0.2">
      <c r="B466" s="79"/>
      <c r="C466" s="79"/>
      <c r="D466" s="79"/>
      <c r="E466" s="79"/>
      <c r="F466" s="79"/>
      <c r="G466" s="79"/>
    </row>
    <row r="467" spans="2:7" ht="15.75" customHeight="1" x14ac:dyDescent="0.2">
      <c r="B467" s="79"/>
      <c r="C467" s="79"/>
      <c r="D467" s="79"/>
      <c r="E467" s="79"/>
      <c r="F467" s="79"/>
      <c r="G467" s="79"/>
    </row>
    <row r="468" spans="2:7" ht="15.75" customHeight="1" x14ac:dyDescent="0.2">
      <c r="B468" s="79"/>
      <c r="C468" s="79"/>
      <c r="D468" s="79"/>
      <c r="E468" s="79"/>
      <c r="F468" s="79"/>
      <c r="G468" s="79"/>
    </row>
    <row r="469" spans="2:7" ht="15.75" customHeight="1" x14ac:dyDescent="0.2">
      <c r="B469" s="79"/>
      <c r="C469" s="79"/>
      <c r="D469" s="79"/>
      <c r="E469" s="79"/>
      <c r="F469" s="79"/>
      <c r="G469" s="79"/>
    </row>
    <row r="470" spans="2:7" ht="15.75" customHeight="1" x14ac:dyDescent="0.2">
      <c r="B470" s="79"/>
      <c r="C470" s="79"/>
      <c r="D470" s="79"/>
      <c r="E470" s="79"/>
      <c r="F470" s="79"/>
      <c r="G470" s="79"/>
    </row>
    <row r="471" spans="2:7" ht="15.75" customHeight="1" x14ac:dyDescent="0.2">
      <c r="B471" s="79"/>
      <c r="C471" s="79"/>
      <c r="D471" s="79"/>
      <c r="E471" s="79"/>
      <c r="F471" s="79"/>
      <c r="G471" s="79"/>
    </row>
    <row r="472" spans="2:7" ht="15.75" customHeight="1" x14ac:dyDescent="0.2">
      <c r="B472" s="79"/>
      <c r="C472" s="79"/>
      <c r="D472" s="79"/>
      <c r="E472" s="79"/>
      <c r="F472" s="79"/>
      <c r="G472" s="79"/>
    </row>
    <row r="473" spans="2:7" ht="15.75" customHeight="1" x14ac:dyDescent="0.2">
      <c r="B473" s="79"/>
      <c r="C473" s="79"/>
      <c r="D473" s="79"/>
      <c r="E473" s="79"/>
      <c r="F473" s="79"/>
      <c r="G473" s="79"/>
    </row>
    <row r="474" spans="2:7" ht="15.75" customHeight="1" x14ac:dyDescent="0.2">
      <c r="B474" s="79"/>
      <c r="C474" s="79"/>
      <c r="D474" s="79"/>
      <c r="E474" s="79"/>
      <c r="F474" s="79"/>
      <c r="G474" s="79"/>
    </row>
    <row r="475" spans="2:7" ht="15.75" customHeight="1" x14ac:dyDescent="0.2">
      <c r="B475" s="79"/>
      <c r="C475" s="79"/>
      <c r="D475" s="79"/>
      <c r="E475" s="79"/>
      <c r="F475" s="79"/>
      <c r="G475" s="79"/>
    </row>
    <row r="476" spans="2:7" ht="15.75" customHeight="1" x14ac:dyDescent="0.2">
      <c r="B476" s="79"/>
      <c r="C476" s="79"/>
      <c r="D476" s="79"/>
      <c r="E476" s="79"/>
      <c r="F476" s="79"/>
      <c r="G476" s="79"/>
    </row>
    <row r="477" spans="2:7" ht="15.75" customHeight="1" x14ac:dyDescent="0.2">
      <c r="B477" s="79"/>
      <c r="C477" s="79"/>
      <c r="D477" s="79"/>
      <c r="E477" s="79"/>
      <c r="F477" s="79"/>
      <c r="G477" s="79"/>
    </row>
    <row r="478" spans="2:7" ht="15.75" customHeight="1" x14ac:dyDescent="0.2">
      <c r="B478" s="79"/>
      <c r="C478" s="79"/>
      <c r="D478" s="79"/>
      <c r="E478" s="79"/>
      <c r="F478" s="79"/>
      <c r="G478" s="79"/>
    </row>
    <row r="479" spans="2:7" ht="15.75" customHeight="1" x14ac:dyDescent="0.2">
      <c r="B479" s="79"/>
      <c r="C479" s="79"/>
      <c r="D479" s="79"/>
      <c r="E479" s="79"/>
      <c r="F479" s="79"/>
      <c r="G479" s="79"/>
    </row>
    <row r="480" spans="2:7" ht="15.75" customHeight="1" x14ac:dyDescent="0.2">
      <c r="B480" s="79"/>
      <c r="C480" s="79"/>
      <c r="D480" s="79"/>
      <c r="E480" s="79"/>
      <c r="F480" s="79"/>
      <c r="G480" s="79"/>
    </row>
    <row r="481" spans="2:7" ht="15.75" customHeight="1" x14ac:dyDescent="0.2">
      <c r="B481" s="79"/>
      <c r="C481" s="79"/>
      <c r="D481" s="79"/>
      <c r="E481" s="79"/>
      <c r="F481" s="79"/>
      <c r="G481" s="79"/>
    </row>
    <row r="482" spans="2:7" ht="15.75" customHeight="1" x14ac:dyDescent="0.2">
      <c r="B482" s="79"/>
      <c r="C482" s="79"/>
      <c r="D482" s="79"/>
      <c r="E482" s="79"/>
      <c r="F482" s="79"/>
      <c r="G482" s="79"/>
    </row>
    <row r="483" spans="2:7" ht="15.75" customHeight="1" x14ac:dyDescent="0.2">
      <c r="B483" s="79"/>
      <c r="C483" s="79"/>
      <c r="D483" s="79"/>
      <c r="E483" s="79"/>
      <c r="F483" s="79"/>
      <c r="G483" s="79"/>
    </row>
    <row r="484" spans="2:7" ht="15.75" customHeight="1" x14ac:dyDescent="0.2">
      <c r="B484" s="79"/>
      <c r="C484" s="79"/>
      <c r="D484" s="79"/>
      <c r="E484" s="79"/>
      <c r="F484" s="79"/>
      <c r="G484" s="79"/>
    </row>
    <row r="485" spans="2:7" ht="15.75" customHeight="1" x14ac:dyDescent="0.2">
      <c r="B485" s="79"/>
      <c r="C485" s="79"/>
      <c r="D485" s="79"/>
      <c r="E485" s="79"/>
      <c r="F485" s="79"/>
      <c r="G485" s="79"/>
    </row>
    <row r="486" spans="2:7" ht="15.75" customHeight="1" x14ac:dyDescent="0.2">
      <c r="B486" s="79"/>
      <c r="C486" s="79"/>
      <c r="D486" s="79"/>
      <c r="E486" s="79"/>
      <c r="F486" s="79"/>
      <c r="G486" s="79"/>
    </row>
    <row r="487" spans="2:7" ht="15.75" customHeight="1" x14ac:dyDescent="0.2">
      <c r="B487" s="79"/>
      <c r="C487" s="79"/>
      <c r="D487" s="79"/>
      <c r="E487" s="79"/>
      <c r="F487" s="79"/>
      <c r="G487" s="79"/>
    </row>
    <row r="488" spans="2:7" ht="15.75" customHeight="1" x14ac:dyDescent="0.2">
      <c r="B488" s="79"/>
      <c r="C488" s="79"/>
      <c r="D488" s="79"/>
      <c r="E488" s="79"/>
      <c r="F488" s="79"/>
      <c r="G488" s="79"/>
    </row>
    <row r="489" spans="2:7" ht="15.75" customHeight="1" x14ac:dyDescent="0.2">
      <c r="B489" s="79"/>
      <c r="C489" s="79"/>
      <c r="D489" s="79"/>
      <c r="E489" s="79"/>
      <c r="F489" s="79"/>
      <c r="G489" s="79"/>
    </row>
    <row r="490" spans="2:7" ht="15.75" customHeight="1" x14ac:dyDescent="0.2">
      <c r="B490" s="79"/>
      <c r="C490" s="79"/>
      <c r="D490" s="79"/>
      <c r="E490" s="79"/>
      <c r="F490" s="79"/>
      <c r="G490" s="79"/>
    </row>
    <row r="491" spans="2:7" ht="15.75" customHeight="1" x14ac:dyDescent="0.2">
      <c r="B491" s="79"/>
      <c r="C491" s="79"/>
      <c r="D491" s="79"/>
      <c r="E491" s="79"/>
      <c r="F491" s="79"/>
      <c r="G491" s="79"/>
    </row>
    <row r="492" spans="2:7" ht="15.75" customHeight="1" x14ac:dyDescent="0.2">
      <c r="B492" s="79"/>
      <c r="C492" s="79"/>
      <c r="D492" s="79"/>
      <c r="E492" s="79"/>
      <c r="F492" s="79"/>
      <c r="G492" s="79"/>
    </row>
    <row r="493" spans="2:7" ht="15.75" customHeight="1" x14ac:dyDescent="0.2">
      <c r="B493" s="79"/>
      <c r="C493" s="79"/>
      <c r="D493" s="79"/>
      <c r="E493" s="79"/>
      <c r="F493" s="79"/>
      <c r="G493" s="79"/>
    </row>
    <row r="494" spans="2:7" ht="15.75" customHeight="1" x14ac:dyDescent="0.2">
      <c r="B494" s="79"/>
      <c r="C494" s="79"/>
      <c r="D494" s="79"/>
      <c r="E494" s="79"/>
      <c r="F494" s="79"/>
      <c r="G494" s="79"/>
    </row>
    <row r="495" spans="2:7" ht="15.75" customHeight="1" x14ac:dyDescent="0.2">
      <c r="B495" s="79"/>
      <c r="C495" s="79"/>
      <c r="D495" s="79"/>
      <c r="E495" s="79"/>
      <c r="F495" s="79"/>
      <c r="G495" s="79"/>
    </row>
    <row r="496" spans="2:7" ht="15.75" customHeight="1" x14ac:dyDescent="0.2">
      <c r="B496" s="79"/>
      <c r="C496" s="79"/>
      <c r="D496" s="79"/>
      <c r="E496" s="79"/>
      <c r="F496" s="79"/>
      <c r="G496" s="79"/>
    </row>
    <row r="497" spans="2:7" ht="15.75" customHeight="1" x14ac:dyDescent="0.2">
      <c r="B497" s="79"/>
      <c r="C497" s="79"/>
      <c r="D497" s="79"/>
      <c r="E497" s="79"/>
      <c r="F497" s="79"/>
      <c r="G497" s="79"/>
    </row>
    <row r="498" spans="2:7" ht="15.75" customHeight="1" x14ac:dyDescent="0.2">
      <c r="B498" s="79"/>
      <c r="C498" s="79"/>
      <c r="D498" s="79"/>
      <c r="E498" s="79"/>
      <c r="F498" s="79"/>
      <c r="G498" s="79"/>
    </row>
    <row r="499" spans="2:7" ht="15.75" customHeight="1" x14ac:dyDescent="0.2">
      <c r="B499" s="79"/>
      <c r="C499" s="79"/>
      <c r="D499" s="79"/>
      <c r="E499" s="79"/>
      <c r="F499" s="79"/>
      <c r="G499" s="79"/>
    </row>
    <row r="500" spans="2:7" ht="15.75" customHeight="1" x14ac:dyDescent="0.2">
      <c r="B500" s="79"/>
      <c r="C500" s="79"/>
      <c r="D500" s="79"/>
      <c r="E500" s="79"/>
      <c r="F500" s="79"/>
      <c r="G500" s="79"/>
    </row>
    <row r="501" spans="2:7" ht="15.75" customHeight="1" x14ac:dyDescent="0.2">
      <c r="B501" s="79"/>
      <c r="C501" s="79"/>
      <c r="D501" s="79"/>
      <c r="E501" s="79"/>
      <c r="F501" s="79"/>
      <c r="G501" s="79"/>
    </row>
    <row r="502" spans="2:7" ht="15.75" customHeight="1" x14ac:dyDescent="0.2">
      <c r="B502" s="79"/>
      <c r="C502" s="79"/>
      <c r="D502" s="79"/>
      <c r="E502" s="79"/>
      <c r="F502" s="79"/>
      <c r="G502" s="79"/>
    </row>
    <row r="503" spans="2:7" ht="15.75" customHeight="1" x14ac:dyDescent="0.2">
      <c r="B503" s="79"/>
      <c r="C503" s="79"/>
      <c r="D503" s="79"/>
      <c r="E503" s="79"/>
      <c r="F503" s="79"/>
      <c r="G503" s="79"/>
    </row>
    <row r="504" spans="2:7" ht="15.75" customHeight="1" x14ac:dyDescent="0.2">
      <c r="B504" s="79"/>
      <c r="C504" s="79"/>
      <c r="D504" s="79"/>
      <c r="E504" s="79"/>
      <c r="F504" s="79"/>
      <c r="G504" s="79"/>
    </row>
    <row r="505" spans="2:7" ht="15.75" customHeight="1" x14ac:dyDescent="0.2">
      <c r="B505" s="79"/>
      <c r="C505" s="79"/>
      <c r="D505" s="79"/>
      <c r="E505" s="79"/>
      <c r="F505" s="79"/>
      <c r="G505" s="79"/>
    </row>
    <row r="506" spans="2:7" ht="15.75" customHeight="1" x14ac:dyDescent="0.2">
      <c r="B506" s="79"/>
      <c r="C506" s="79"/>
      <c r="D506" s="79"/>
      <c r="E506" s="79"/>
      <c r="F506" s="79"/>
      <c r="G506" s="79"/>
    </row>
    <row r="507" spans="2:7" ht="15.75" customHeight="1" x14ac:dyDescent="0.2">
      <c r="B507" s="79"/>
      <c r="C507" s="79"/>
      <c r="D507" s="79"/>
      <c r="E507" s="79"/>
      <c r="F507" s="79"/>
      <c r="G507" s="79"/>
    </row>
    <row r="508" spans="2:7" ht="15.75" customHeight="1" x14ac:dyDescent="0.2">
      <c r="B508" s="79"/>
      <c r="C508" s="79"/>
      <c r="D508" s="79"/>
      <c r="E508" s="79"/>
      <c r="F508" s="79"/>
      <c r="G508" s="79"/>
    </row>
    <row r="509" spans="2:7" ht="15.75" customHeight="1" x14ac:dyDescent="0.2">
      <c r="B509" s="79"/>
      <c r="C509" s="79"/>
      <c r="D509" s="79"/>
      <c r="E509" s="79"/>
      <c r="F509" s="79"/>
      <c r="G509" s="79"/>
    </row>
    <row r="510" spans="2:7" ht="15.75" customHeight="1" x14ac:dyDescent="0.2">
      <c r="B510" s="79"/>
      <c r="C510" s="79"/>
      <c r="D510" s="79"/>
      <c r="E510" s="79"/>
      <c r="F510" s="79"/>
      <c r="G510" s="79"/>
    </row>
    <row r="511" spans="2:7" ht="15.75" customHeight="1" x14ac:dyDescent="0.2">
      <c r="B511" s="79"/>
      <c r="C511" s="79"/>
      <c r="D511" s="79"/>
      <c r="E511" s="79"/>
      <c r="F511" s="79"/>
      <c r="G511" s="79"/>
    </row>
    <row r="512" spans="2:7" ht="15.75" customHeight="1" x14ac:dyDescent="0.2">
      <c r="B512" s="79"/>
      <c r="C512" s="79"/>
      <c r="D512" s="79"/>
      <c r="E512" s="79"/>
      <c r="F512" s="79"/>
      <c r="G512" s="79"/>
    </row>
    <row r="513" spans="2:7" ht="15.75" customHeight="1" x14ac:dyDescent="0.2">
      <c r="B513" s="79"/>
      <c r="C513" s="79"/>
      <c r="D513" s="79"/>
      <c r="E513" s="79"/>
      <c r="F513" s="79"/>
      <c r="G513" s="79"/>
    </row>
    <row r="514" spans="2:7" ht="15.75" customHeight="1" x14ac:dyDescent="0.2">
      <c r="B514" s="79"/>
      <c r="C514" s="79"/>
      <c r="D514" s="79"/>
      <c r="E514" s="79"/>
      <c r="F514" s="79"/>
      <c r="G514" s="79"/>
    </row>
    <row r="515" spans="2:7" ht="15.75" customHeight="1" x14ac:dyDescent="0.2">
      <c r="B515" s="79"/>
      <c r="C515" s="79"/>
      <c r="D515" s="79"/>
      <c r="E515" s="79"/>
      <c r="F515" s="79"/>
      <c r="G515" s="79"/>
    </row>
    <row r="516" spans="2:7" ht="15.75" customHeight="1" x14ac:dyDescent="0.2">
      <c r="B516" s="79"/>
      <c r="C516" s="79"/>
      <c r="D516" s="79"/>
      <c r="E516" s="79"/>
      <c r="F516" s="79"/>
      <c r="G516" s="79"/>
    </row>
    <row r="517" spans="2:7" ht="15.75" customHeight="1" x14ac:dyDescent="0.2">
      <c r="B517" s="79"/>
      <c r="C517" s="79"/>
      <c r="D517" s="79"/>
      <c r="E517" s="79"/>
      <c r="F517" s="79"/>
      <c r="G517" s="79"/>
    </row>
    <row r="518" spans="2:7" ht="15.75" customHeight="1" x14ac:dyDescent="0.2">
      <c r="B518" s="79"/>
      <c r="C518" s="79"/>
      <c r="D518" s="79"/>
      <c r="E518" s="79"/>
      <c r="F518" s="79"/>
      <c r="G518" s="79"/>
    </row>
    <row r="519" spans="2:7" ht="15.75" customHeight="1" x14ac:dyDescent="0.2">
      <c r="B519" s="79"/>
      <c r="C519" s="79"/>
      <c r="D519" s="79"/>
      <c r="E519" s="79"/>
      <c r="F519" s="79"/>
      <c r="G519" s="79"/>
    </row>
    <row r="520" spans="2:7" ht="15.75" customHeight="1" x14ac:dyDescent="0.2">
      <c r="B520" s="79"/>
      <c r="C520" s="79"/>
      <c r="D520" s="79"/>
      <c r="E520" s="79"/>
      <c r="F520" s="79"/>
      <c r="G520" s="79"/>
    </row>
    <row r="521" spans="2:7" ht="15.75" customHeight="1" x14ac:dyDescent="0.2">
      <c r="B521" s="79"/>
      <c r="C521" s="79"/>
      <c r="D521" s="79"/>
      <c r="E521" s="79"/>
      <c r="F521" s="79"/>
      <c r="G521" s="79"/>
    </row>
    <row r="522" spans="2:7" ht="15.75" customHeight="1" x14ac:dyDescent="0.2">
      <c r="B522" s="79"/>
      <c r="C522" s="79"/>
      <c r="D522" s="79"/>
      <c r="E522" s="79"/>
      <c r="F522" s="79"/>
      <c r="G522" s="79"/>
    </row>
    <row r="523" spans="2:7" ht="15.75" customHeight="1" x14ac:dyDescent="0.2">
      <c r="B523" s="79"/>
      <c r="C523" s="79"/>
      <c r="D523" s="79"/>
      <c r="E523" s="79"/>
      <c r="F523" s="79"/>
      <c r="G523" s="79"/>
    </row>
    <row r="524" spans="2:7" ht="15.75" customHeight="1" x14ac:dyDescent="0.2">
      <c r="B524" s="79"/>
      <c r="C524" s="79"/>
      <c r="D524" s="79"/>
      <c r="E524" s="79"/>
      <c r="F524" s="79"/>
      <c r="G524" s="79"/>
    </row>
    <row r="525" spans="2:7" ht="15.75" customHeight="1" x14ac:dyDescent="0.2">
      <c r="B525" s="79"/>
      <c r="C525" s="79"/>
      <c r="D525" s="79"/>
      <c r="E525" s="79"/>
      <c r="F525" s="79"/>
      <c r="G525" s="79"/>
    </row>
    <row r="526" spans="2:7" ht="15.75" customHeight="1" x14ac:dyDescent="0.2">
      <c r="B526" s="79"/>
      <c r="C526" s="79"/>
      <c r="D526" s="79"/>
      <c r="E526" s="79"/>
      <c r="F526" s="79"/>
      <c r="G526" s="79"/>
    </row>
    <row r="527" spans="2:7" ht="15.75" customHeight="1" x14ac:dyDescent="0.2">
      <c r="B527" s="79"/>
      <c r="C527" s="79"/>
      <c r="D527" s="79"/>
      <c r="E527" s="79"/>
      <c r="F527" s="79"/>
      <c r="G527" s="79"/>
    </row>
    <row r="528" spans="2:7" ht="15.75" customHeight="1" x14ac:dyDescent="0.2">
      <c r="B528" s="79"/>
      <c r="C528" s="79"/>
      <c r="D528" s="79"/>
      <c r="E528" s="79"/>
      <c r="F528" s="79"/>
      <c r="G528" s="79"/>
    </row>
    <row r="529" spans="2:7" ht="15.75" customHeight="1" x14ac:dyDescent="0.2">
      <c r="B529" s="79"/>
      <c r="C529" s="79"/>
      <c r="D529" s="79"/>
      <c r="E529" s="79"/>
      <c r="F529" s="79"/>
      <c r="G529" s="79"/>
    </row>
    <row r="530" spans="2:7" ht="15.75" customHeight="1" x14ac:dyDescent="0.2">
      <c r="B530" s="79"/>
      <c r="C530" s="79"/>
      <c r="D530" s="79"/>
      <c r="E530" s="79"/>
      <c r="F530" s="79"/>
      <c r="G530" s="79"/>
    </row>
    <row r="531" spans="2:7" ht="15.75" customHeight="1" x14ac:dyDescent="0.2">
      <c r="B531" s="79"/>
      <c r="C531" s="79"/>
      <c r="D531" s="79"/>
      <c r="E531" s="79"/>
      <c r="F531" s="79"/>
      <c r="G531" s="79"/>
    </row>
    <row r="532" spans="2:7" ht="15.75" customHeight="1" x14ac:dyDescent="0.2">
      <c r="B532" s="79"/>
      <c r="C532" s="79"/>
      <c r="D532" s="79"/>
      <c r="E532" s="79"/>
      <c r="F532" s="79"/>
      <c r="G532" s="79"/>
    </row>
    <row r="533" spans="2:7" ht="15.75" customHeight="1" x14ac:dyDescent="0.2">
      <c r="B533" s="79"/>
      <c r="C533" s="79"/>
      <c r="D533" s="79"/>
      <c r="E533" s="79"/>
      <c r="F533" s="79"/>
      <c r="G533" s="79"/>
    </row>
    <row r="534" spans="2:7" ht="15.75" customHeight="1" x14ac:dyDescent="0.2">
      <c r="B534" s="79"/>
      <c r="C534" s="79"/>
      <c r="D534" s="79"/>
      <c r="E534" s="79"/>
      <c r="F534" s="79"/>
      <c r="G534" s="79"/>
    </row>
    <row r="535" spans="2:7" ht="15.75" customHeight="1" x14ac:dyDescent="0.2">
      <c r="B535" s="79"/>
      <c r="C535" s="79"/>
      <c r="D535" s="79"/>
      <c r="E535" s="79"/>
      <c r="F535" s="79"/>
      <c r="G535" s="79"/>
    </row>
    <row r="536" spans="2:7" ht="15.75" customHeight="1" x14ac:dyDescent="0.2">
      <c r="B536" s="79"/>
      <c r="C536" s="79"/>
      <c r="D536" s="79"/>
      <c r="E536" s="79"/>
      <c r="F536" s="79"/>
      <c r="G536" s="79"/>
    </row>
    <row r="537" spans="2:7" ht="15.75" customHeight="1" x14ac:dyDescent="0.2">
      <c r="B537" s="79"/>
      <c r="C537" s="79"/>
      <c r="D537" s="79"/>
      <c r="E537" s="79"/>
      <c r="F537" s="79"/>
      <c r="G537" s="79"/>
    </row>
    <row r="538" spans="2:7" ht="15.75" customHeight="1" x14ac:dyDescent="0.2">
      <c r="B538" s="79"/>
      <c r="C538" s="79"/>
      <c r="D538" s="79"/>
      <c r="E538" s="79"/>
      <c r="F538" s="79"/>
      <c r="G538" s="79"/>
    </row>
    <row r="539" spans="2:7" ht="15.75" customHeight="1" x14ac:dyDescent="0.2">
      <c r="B539" s="79"/>
      <c r="C539" s="79"/>
      <c r="D539" s="79"/>
      <c r="E539" s="79"/>
      <c r="F539" s="79"/>
      <c r="G539" s="79"/>
    </row>
    <row r="540" spans="2:7" ht="15.75" customHeight="1" x14ac:dyDescent="0.2">
      <c r="B540" s="79"/>
      <c r="C540" s="79"/>
      <c r="D540" s="79"/>
      <c r="E540" s="79"/>
      <c r="F540" s="79"/>
      <c r="G540" s="79"/>
    </row>
    <row r="541" spans="2:7" ht="15.75" customHeight="1" x14ac:dyDescent="0.2">
      <c r="B541" s="79"/>
      <c r="C541" s="79"/>
      <c r="D541" s="79"/>
      <c r="E541" s="79"/>
      <c r="F541" s="79"/>
      <c r="G541" s="79"/>
    </row>
    <row r="542" spans="2:7" ht="15.75" customHeight="1" x14ac:dyDescent="0.2">
      <c r="B542" s="79"/>
      <c r="C542" s="79"/>
      <c r="D542" s="79"/>
      <c r="E542" s="79"/>
      <c r="F542" s="79"/>
      <c r="G542" s="79"/>
    </row>
    <row r="543" spans="2:7" ht="15.75" customHeight="1" x14ac:dyDescent="0.2">
      <c r="B543" s="79"/>
      <c r="C543" s="79"/>
      <c r="D543" s="79"/>
      <c r="E543" s="79"/>
      <c r="F543" s="79"/>
      <c r="G543" s="79"/>
    </row>
    <row r="544" spans="2:7" ht="15.75" customHeight="1" x14ac:dyDescent="0.2">
      <c r="B544" s="79"/>
      <c r="C544" s="79"/>
      <c r="D544" s="79"/>
      <c r="E544" s="79"/>
      <c r="F544" s="79"/>
      <c r="G544" s="79"/>
    </row>
    <row r="545" spans="2:7" ht="15.75" customHeight="1" x14ac:dyDescent="0.2">
      <c r="B545" s="79"/>
      <c r="C545" s="79"/>
      <c r="D545" s="79"/>
      <c r="E545" s="79"/>
      <c r="F545" s="79"/>
      <c r="G545" s="79"/>
    </row>
    <row r="546" spans="2:7" ht="15.75" customHeight="1" x14ac:dyDescent="0.2">
      <c r="B546" s="79"/>
      <c r="C546" s="79"/>
      <c r="D546" s="79"/>
      <c r="E546" s="79"/>
      <c r="F546" s="79"/>
      <c r="G546" s="79"/>
    </row>
    <row r="547" spans="2:7" ht="15.75" customHeight="1" x14ac:dyDescent="0.2">
      <c r="B547" s="79"/>
      <c r="C547" s="79"/>
      <c r="D547" s="79"/>
      <c r="E547" s="79"/>
      <c r="F547" s="79"/>
      <c r="G547" s="79"/>
    </row>
    <row r="548" spans="2:7" ht="15.75" customHeight="1" x14ac:dyDescent="0.2">
      <c r="B548" s="79"/>
      <c r="C548" s="79"/>
      <c r="D548" s="79"/>
      <c r="E548" s="79"/>
      <c r="F548" s="79"/>
      <c r="G548" s="79"/>
    </row>
    <row r="549" spans="2:7" ht="15.75" customHeight="1" x14ac:dyDescent="0.2">
      <c r="B549" s="79"/>
      <c r="C549" s="79"/>
      <c r="D549" s="79"/>
      <c r="E549" s="79"/>
      <c r="F549" s="79"/>
      <c r="G549" s="79"/>
    </row>
    <row r="550" spans="2:7" ht="15.75" customHeight="1" x14ac:dyDescent="0.2">
      <c r="B550" s="79"/>
      <c r="C550" s="79"/>
      <c r="D550" s="79"/>
      <c r="E550" s="79"/>
      <c r="F550" s="79"/>
      <c r="G550" s="79"/>
    </row>
    <row r="551" spans="2:7" ht="15.75" customHeight="1" x14ac:dyDescent="0.2">
      <c r="B551" s="79"/>
      <c r="C551" s="79"/>
      <c r="D551" s="79"/>
      <c r="E551" s="79"/>
      <c r="F551" s="79"/>
      <c r="G551" s="79"/>
    </row>
    <row r="552" spans="2:7" ht="15.75" customHeight="1" x14ac:dyDescent="0.2">
      <c r="B552" s="79"/>
      <c r="C552" s="79"/>
      <c r="D552" s="79"/>
      <c r="E552" s="79"/>
      <c r="F552" s="79"/>
      <c r="G552" s="79"/>
    </row>
    <row r="553" spans="2:7" ht="15.75" customHeight="1" x14ac:dyDescent="0.2">
      <c r="B553" s="79"/>
      <c r="C553" s="79"/>
      <c r="D553" s="79"/>
      <c r="E553" s="79"/>
      <c r="F553" s="79"/>
      <c r="G553" s="79"/>
    </row>
    <row r="554" spans="2:7" ht="15.75" customHeight="1" x14ac:dyDescent="0.2">
      <c r="B554" s="79"/>
      <c r="C554" s="79"/>
      <c r="D554" s="79"/>
      <c r="E554" s="79"/>
      <c r="F554" s="79"/>
      <c r="G554" s="79"/>
    </row>
    <row r="555" spans="2:7" ht="15.75" customHeight="1" x14ac:dyDescent="0.2">
      <c r="B555" s="79"/>
      <c r="C555" s="79"/>
      <c r="D555" s="79"/>
      <c r="E555" s="79"/>
      <c r="F555" s="79"/>
      <c r="G555" s="79"/>
    </row>
    <row r="556" spans="2:7" ht="15.75" customHeight="1" x14ac:dyDescent="0.2">
      <c r="B556" s="79"/>
      <c r="C556" s="79"/>
      <c r="D556" s="79"/>
      <c r="E556" s="79"/>
      <c r="F556" s="79"/>
      <c r="G556" s="79"/>
    </row>
    <row r="557" spans="2:7" ht="15.75" customHeight="1" x14ac:dyDescent="0.2">
      <c r="B557" s="79"/>
      <c r="C557" s="79"/>
      <c r="D557" s="79"/>
      <c r="E557" s="79"/>
      <c r="F557" s="79"/>
      <c r="G557" s="79"/>
    </row>
    <row r="558" spans="2:7" ht="15.75" customHeight="1" x14ac:dyDescent="0.2">
      <c r="B558" s="79"/>
      <c r="C558" s="79"/>
      <c r="D558" s="79"/>
      <c r="E558" s="79"/>
      <c r="F558" s="79"/>
      <c r="G558" s="79"/>
    </row>
    <row r="559" spans="2:7" ht="15.75" customHeight="1" x14ac:dyDescent="0.2">
      <c r="B559" s="79"/>
      <c r="C559" s="79"/>
      <c r="D559" s="79"/>
      <c r="E559" s="79"/>
      <c r="F559" s="79"/>
      <c r="G559" s="79"/>
    </row>
    <row r="560" spans="2:7" ht="15.75" customHeight="1" x14ac:dyDescent="0.2">
      <c r="B560" s="79"/>
      <c r="C560" s="79"/>
      <c r="D560" s="79"/>
      <c r="E560" s="79"/>
      <c r="F560" s="79"/>
      <c r="G560" s="79"/>
    </row>
    <row r="561" spans="2:7" ht="15.75" customHeight="1" x14ac:dyDescent="0.2">
      <c r="B561" s="79"/>
      <c r="C561" s="79"/>
      <c r="D561" s="79"/>
      <c r="E561" s="79"/>
      <c r="F561" s="79"/>
      <c r="G561" s="79"/>
    </row>
    <row r="562" spans="2:7" ht="15.75" customHeight="1" x14ac:dyDescent="0.2">
      <c r="B562" s="79"/>
      <c r="C562" s="79"/>
      <c r="D562" s="79"/>
      <c r="E562" s="79"/>
      <c r="F562" s="79"/>
      <c r="G562" s="79"/>
    </row>
    <row r="563" spans="2:7" ht="15.75" customHeight="1" x14ac:dyDescent="0.2">
      <c r="B563" s="79"/>
      <c r="C563" s="79"/>
      <c r="D563" s="79"/>
      <c r="E563" s="79"/>
      <c r="F563" s="79"/>
      <c r="G563" s="79"/>
    </row>
    <row r="564" spans="2:7" ht="15.75" customHeight="1" x14ac:dyDescent="0.2">
      <c r="B564" s="79"/>
      <c r="C564" s="79"/>
      <c r="D564" s="79"/>
      <c r="E564" s="79"/>
      <c r="F564" s="79"/>
      <c r="G564" s="79"/>
    </row>
    <row r="565" spans="2:7" ht="15.75" customHeight="1" x14ac:dyDescent="0.2">
      <c r="B565" s="79"/>
      <c r="C565" s="79"/>
      <c r="D565" s="79"/>
      <c r="E565" s="79"/>
      <c r="F565" s="79"/>
      <c r="G565" s="79"/>
    </row>
    <row r="566" spans="2:7" ht="15.75" customHeight="1" x14ac:dyDescent="0.2">
      <c r="B566" s="79"/>
      <c r="C566" s="79"/>
      <c r="D566" s="79"/>
      <c r="E566" s="79"/>
      <c r="F566" s="79"/>
      <c r="G566" s="79"/>
    </row>
    <row r="567" spans="2:7" ht="15.75" customHeight="1" x14ac:dyDescent="0.2">
      <c r="B567" s="79"/>
      <c r="C567" s="79"/>
      <c r="D567" s="79"/>
      <c r="E567" s="79"/>
      <c r="F567" s="79"/>
      <c r="G567" s="79"/>
    </row>
    <row r="568" spans="2:7" ht="15.75" customHeight="1" x14ac:dyDescent="0.2">
      <c r="B568" s="79"/>
      <c r="C568" s="79"/>
      <c r="D568" s="79"/>
      <c r="E568" s="79"/>
      <c r="F568" s="79"/>
      <c r="G568" s="79"/>
    </row>
    <row r="569" spans="2:7" ht="15.75" customHeight="1" x14ac:dyDescent="0.2">
      <c r="B569" s="79"/>
      <c r="C569" s="79"/>
      <c r="D569" s="79"/>
      <c r="E569" s="79"/>
      <c r="F569" s="79"/>
      <c r="G569" s="79"/>
    </row>
    <row r="570" spans="2:7" ht="15.75" customHeight="1" x14ac:dyDescent="0.2">
      <c r="B570" s="79"/>
      <c r="C570" s="79"/>
      <c r="D570" s="79"/>
      <c r="E570" s="79"/>
      <c r="F570" s="79"/>
      <c r="G570" s="79"/>
    </row>
    <row r="571" spans="2:7" ht="15.75" customHeight="1" x14ac:dyDescent="0.2">
      <c r="B571" s="79"/>
      <c r="C571" s="79"/>
      <c r="D571" s="79"/>
      <c r="E571" s="79"/>
      <c r="F571" s="79"/>
      <c r="G571" s="79"/>
    </row>
    <row r="572" spans="2:7" ht="15.75" customHeight="1" x14ac:dyDescent="0.2">
      <c r="B572" s="79"/>
      <c r="C572" s="79"/>
      <c r="D572" s="79"/>
      <c r="E572" s="79"/>
      <c r="F572" s="79"/>
      <c r="G572" s="79"/>
    </row>
    <row r="573" spans="2:7" ht="15.75" customHeight="1" x14ac:dyDescent="0.2">
      <c r="B573" s="79"/>
      <c r="C573" s="79"/>
      <c r="D573" s="79"/>
      <c r="E573" s="79"/>
      <c r="F573" s="79"/>
      <c r="G573" s="79"/>
    </row>
    <row r="574" spans="2:7" ht="15.75" customHeight="1" x14ac:dyDescent="0.2">
      <c r="B574" s="79"/>
      <c r="C574" s="79"/>
      <c r="D574" s="79"/>
      <c r="E574" s="79"/>
      <c r="F574" s="79"/>
      <c r="G574" s="79"/>
    </row>
    <row r="575" spans="2:7" ht="15.75" customHeight="1" x14ac:dyDescent="0.2">
      <c r="B575" s="79"/>
      <c r="C575" s="79"/>
      <c r="D575" s="79"/>
      <c r="E575" s="79"/>
      <c r="F575" s="79"/>
      <c r="G575" s="79"/>
    </row>
    <row r="576" spans="2:7" ht="15.75" customHeight="1" x14ac:dyDescent="0.2">
      <c r="B576" s="79"/>
      <c r="C576" s="79"/>
      <c r="D576" s="79"/>
      <c r="E576" s="79"/>
      <c r="F576" s="79"/>
      <c r="G576" s="79"/>
    </row>
    <row r="577" spans="2:7" ht="15.75" customHeight="1" x14ac:dyDescent="0.2">
      <c r="B577" s="79"/>
      <c r="C577" s="79"/>
      <c r="D577" s="79"/>
      <c r="E577" s="79"/>
      <c r="F577" s="79"/>
      <c r="G577" s="79"/>
    </row>
    <row r="578" spans="2:7" ht="15.75" customHeight="1" x14ac:dyDescent="0.2">
      <c r="B578" s="79"/>
      <c r="C578" s="79"/>
      <c r="D578" s="79"/>
      <c r="E578" s="79"/>
      <c r="F578" s="79"/>
      <c r="G578" s="79"/>
    </row>
    <row r="579" spans="2:7" ht="15.75" customHeight="1" x14ac:dyDescent="0.2">
      <c r="B579" s="79"/>
      <c r="C579" s="79"/>
      <c r="D579" s="79"/>
      <c r="E579" s="79"/>
      <c r="F579" s="79"/>
      <c r="G579" s="79"/>
    </row>
    <row r="580" spans="2:7" ht="15.75" customHeight="1" x14ac:dyDescent="0.2">
      <c r="B580" s="79"/>
      <c r="C580" s="79"/>
      <c r="D580" s="79"/>
      <c r="E580" s="79"/>
      <c r="F580" s="79"/>
      <c r="G580" s="79"/>
    </row>
    <row r="581" spans="2:7" ht="15.75" customHeight="1" x14ac:dyDescent="0.2">
      <c r="B581" s="79"/>
      <c r="C581" s="79"/>
      <c r="D581" s="79"/>
      <c r="E581" s="79"/>
      <c r="F581" s="79"/>
      <c r="G581" s="79"/>
    </row>
    <row r="582" spans="2:7" ht="15.75" customHeight="1" x14ac:dyDescent="0.2">
      <c r="B582" s="79"/>
      <c r="C582" s="79"/>
      <c r="D582" s="79"/>
      <c r="E582" s="79"/>
      <c r="F582" s="79"/>
      <c r="G582" s="79"/>
    </row>
    <row r="583" spans="2:7" ht="15.75" customHeight="1" x14ac:dyDescent="0.2">
      <c r="B583" s="79"/>
      <c r="C583" s="79"/>
      <c r="D583" s="79"/>
      <c r="E583" s="79"/>
      <c r="F583" s="79"/>
      <c r="G583" s="79"/>
    </row>
    <row r="584" spans="2:7" ht="15.75" customHeight="1" x14ac:dyDescent="0.2">
      <c r="B584" s="79"/>
      <c r="C584" s="79"/>
      <c r="D584" s="79"/>
      <c r="E584" s="79"/>
      <c r="F584" s="79"/>
      <c r="G584" s="79"/>
    </row>
    <row r="585" spans="2:7" ht="15.75" customHeight="1" x14ac:dyDescent="0.2">
      <c r="B585" s="79"/>
      <c r="C585" s="79"/>
      <c r="D585" s="79"/>
      <c r="E585" s="79"/>
      <c r="F585" s="79"/>
      <c r="G585" s="79"/>
    </row>
    <row r="586" spans="2:7" ht="15.75" customHeight="1" x14ac:dyDescent="0.2">
      <c r="B586" s="79"/>
      <c r="C586" s="79"/>
      <c r="D586" s="79"/>
      <c r="E586" s="79"/>
      <c r="F586" s="79"/>
      <c r="G586" s="79"/>
    </row>
    <row r="587" spans="2:7" ht="15.75" customHeight="1" x14ac:dyDescent="0.2">
      <c r="B587" s="79"/>
      <c r="C587" s="79"/>
      <c r="D587" s="79"/>
      <c r="E587" s="79"/>
      <c r="F587" s="79"/>
      <c r="G587" s="79"/>
    </row>
    <row r="588" spans="2:7" ht="15.75" customHeight="1" x14ac:dyDescent="0.2">
      <c r="B588" s="79"/>
      <c r="C588" s="79"/>
      <c r="D588" s="79"/>
      <c r="E588" s="79"/>
      <c r="F588" s="79"/>
      <c r="G588" s="79"/>
    </row>
    <row r="589" spans="2:7" ht="15.75" customHeight="1" x14ac:dyDescent="0.2">
      <c r="B589" s="79"/>
      <c r="C589" s="79"/>
      <c r="D589" s="79"/>
      <c r="E589" s="79"/>
      <c r="F589" s="79"/>
      <c r="G589" s="79"/>
    </row>
    <row r="590" spans="2:7" ht="15.75" customHeight="1" x14ac:dyDescent="0.2">
      <c r="B590" s="79"/>
      <c r="C590" s="79"/>
      <c r="D590" s="79"/>
      <c r="E590" s="79"/>
      <c r="F590" s="79"/>
      <c r="G590" s="79"/>
    </row>
    <row r="591" spans="2:7" ht="15.75" customHeight="1" x14ac:dyDescent="0.2">
      <c r="B591" s="79"/>
      <c r="C591" s="79"/>
      <c r="D591" s="79"/>
      <c r="E591" s="79"/>
      <c r="F591" s="79"/>
      <c r="G591" s="79"/>
    </row>
    <row r="592" spans="2:7" ht="15.75" customHeight="1" x14ac:dyDescent="0.2">
      <c r="B592" s="79"/>
      <c r="C592" s="79"/>
      <c r="D592" s="79"/>
      <c r="E592" s="79"/>
      <c r="F592" s="79"/>
      <c r="G592" s="79"/>
    </row>
    <row r="593" spans="2:7" ht="15.75" customHeight="1" x14ac:dyDescent="0.2">
      <c r="B593" s="79"/>
      <c r="C593" s="79"/>
      <c r="D593" s="79"/>
      <c r="E593" s="79"/>
      <c r="F593" s="79"/>
      <c r="G593" s="79"/>
    </row>
    <row r="594" spans="2:7" ht="15.75" customHeight="1" x14ac:dyDescent="0.2">
      <c r="B594" s="79"/>
      <c r="C594" s="79"/>
      <c r="D594" s="79"/>
      <c r="E594" s="79"/>
      <c r="F594" s="79"/>
      <c r="G594" s="79"/>
    </row>
    <row r="595" spans="2:7" ht="15.75" customHeight="1" x14ac:dyDescent="0.2">
      <c r="B595" s="79"/>
      <c r="C595" s="79"/>
      <c r="D595" s="79"/>
      <c r="E595" s="79"/>
      <c r="F595" s="79"/>
      <c r="G595" s="79"/>
    </row>
    <row r="596" spans="2:7" ht="15.75" customHeight="1" x14ac:dyDescent="0.2">
      <c r="B596" s="79"/>
      <c r="C596" s="79"/>
      <c r="D596" s="79"/>
      <c r="E596" s="79"/>
      <c r="F596" s="79"/>
      <c r="G596" s="79"/>
    </row>
    <row r="597" spans="2:7" ht="15.75" customHeight="1" x14ac:dyDescent="0.2">
      <c r="B597" s="79"/>
      <c r="C597" s="79"/>
      <c r="D597" s="79"/>
      <c r="E597" s="79"/>
      <c r="F597" s="79"/>
      <c r="G597" s="79"/>
    </row>
    <row r="598" spans="2:7" ht="15.75" customHeight="1" x14ac:dyDescent="0.2">
      <c r="B598" s="79"/>
      <c r="C598" s="79"/>
      <c r="D598" s="79"/>
      <c r="E598" s="79"/>
      <c r="F598" s="79"/>
      <c r="G598" s="79"/>
    </row>
    <row r="599" spans="2:7" ht="15.75" customHeight="1" x14ac:dyDescent="0.2">
      <c r="B599" s="79"/>
      <c r="C599" s="79"/>
      <c r="D599" s="79"/>
      <c r="E599" s="79"/>
      <c r="F599" s="79"/>
      <c r="G599" s="79"/>
    </row>
    <row r="600" spans="2:7" ht="15.75" customHeight="1" x14ac:dyDescent="0.2">
      <c r="B600" s="79"/>
      <c r="C600" s="79"/>
      <c r="D600" s="79"/>
      <c r="E600" s="79"/>
      <c r="F600" s="79"/>
      <c r="G600" s="79"/>
    </row>
    <row r="601" spans="2:7" ht="15.75" customHeight="1" x14ac:dyDescent="0.2">
      <c r="B601" s="79"/>
      <c r="C601" s="79"/>
      <c r="D601" s="79"/>
      <c r="E601" s="79"/>
      <c r="F601" s="79"/>
      <c r="G601" s="79"/>
    </row>
    <row r="602" spans="2:7" ht="15.75" customHeight="1" x14ac:dyDescent="0.2">
      <c r="B602" s="79"/>
      <c r="C602" s="79"/>
      <c r="D602" s="79"/>
      <c r="E602" s="79"/>
      <c r="F602" s="79"/>
      <c r="G602" s="79"/>
    </row>
    <row r="603" spans="2:7" ht="15.75" customHeight="1" x14ac:dyDescent="0.2">
      <c r="B603" s="79"/>
      <c r="C603" s="79"/>
      <c r="D603" s="79"/>
      <c r="E603" s="79"/>
      <c r="F603" s="79"/>
      <c r="G603" s="79"/>
    </row>
    <row r="604" spans="2:7" ht="15.75" customHeight="1" x14ac:dyDescent="0.2">
      <c r="B604" s="79"/>
      <c r="C604" s="79"/>
      <c r="D604" s="79"/>
      <c r="E604" s="79"/>
      <c r="F604" s="79"/>
      <c r="G604" s="79"/>
    </row>
    <row r="605" spans="2:7" ht="15.75" customHeight="1" x14ac:dyDescent="0.2">
      <c r="B605" s="79"/>
      <c r="C605" s="79"/>
      <c r="D605" s="79"/>
      <c r="E605" s="79"/>
      <c r="F605" s="79"/>
      <c r="G605" s="79"/>
    </row>
    <row r="606" spans="2:7" ht="15.75" customHeight="1" x14ac:dyDescent="0.2">
      <c r="B606" s="79"/>
      <c r="C606" s="79"/>
      <c r="D606" s="79"/>
      <c r="E606" s="79"/>
      <c r="F606" s="79"/>
      <c r="G606" s="79"/>
    </row>
    <row r="607" spans="2:7" ht="15.75" customHeight="1" x14ac:dyDescent="0.2">
      <c r="B607" s="79"/>
      <c r="C607" s="79"/>
      <c r="D607" s="79"/>
      <c r="E607" s="79"/>
      <c r="F607" s="79"/>
      <c r="G607" s="79"/>
    </row>
    <row r="608" spans="2:7" ht="15.75" customHeight="1" x14ac:dyDescent="0.2">
      <c r="B608" s="79"/>
      <c r="C608" s="79"/>
      <c r="D608" s="79"/>
      <c r="E608" s="79"/>
      <c r="F608" s="79"/>
      <c r="G608" s="79"/>
    </row>
    <row r="609" spans="2:7" ht="15.75" customHeight="1" x14ac:dyDescent="0.2">
      <c r="B609" s="79"/>
      <c r="C609" s="79"/>
      <c r="D609" s="79"/>
      <c r="E609" s="79"/>
      <c r="F609" s="79"/>
      <c r="G609" s="79"/>
    </row>
    <row r="610" spans="2:7" ht="15.75" customHeight="1" x14ac:dyDescent="0.2">
      <c r="B610" s="79"/>
      <c r="C610" s="79"/>
      <c r="D610" s="79"/>
      <c r="E610" s="79"/>
      <c r="F610" s="79"/>
      <c r="G610" s="79"/>
    </row>
    <row r="611" spans="2:7" ht="15.75" customHeight="1" x14ac:dyDescent="0.2">
      <c r="B611" s="79"/>
      <c r="C611" s="79"/>
      <c r="D611" s="79"/>
      <c r="E611" s="79"/>
      <c r="F611" s="79"/>
      <c r="G611" s="79"/>
    </row>
    <row r="612" spans="2:7" ht="15.75" customHeight="1" x14ac:dyDescent="0.2">
      <c r="B612" s="79"/>
      <c r="C612" s="79"/>
      <c r="D612" s="79"/>
      <c r="E612" s="79"/>
      <c r="F612" s="79"/>
      <c r="G612" s="79"/>
    </row>
    <row r="613" spans="2:7" ht="15.75" customHeight="1" x14ac:dyDescent="0.2">
      <c r="B613" s="79"/>
      <c r="C613" s="79"/>
      <c r="D613" s="79"/>
      <c r="E613" s="79"/>
      <c r="F613" s="79"/>
      <c r="G613" s="79"/>
    </row>
    <row r="614" spans="2:7" ht="15.75" customHeight="1" x14ac:dyDescent="0.2">
      <c r="B614" s="79"/>
      <c r="C614" s="79"/>
      <c r="D614" s="79"/>
      <c r="E614" s="79"/>
      <c r="F614" s="79"/>
      <c r="G614" s="79"/>
    </row>
    <row r="615" spans="2:7" ht="15.75" customHeight="1" x14ac:dyDescent="0.2">
      <c r="B615" s="79"/>
      <c r="C615" s="79"/>
      <c r="D615" s="79"/>
      <c r="E615" s="79"/>
      <c r="F615" s="79"/>
      <c r="G615" s="79"/>
    </row>
    <row r="616" spans="2:7" ht="15.75" customHeight="1" x14ac:dyDescent="0.2">
      <c r="B616" s="79"/>
      <c r="C616" s="79"/>
      <c r="D616" s="79"/>
      <c r="E616" s="79"/>
      <c r="F616" s="79"/>
      <c r="G616" s="79"/>
    </row>
    <row r="617" spans="2:7" ht="15.75" customHeight="1" x14ac:dyDescent="0.2">
      <c r="B617" s="79"/>
      <c r="C617" s="79"/>
      <c r="D617" s="79"/>
      <c r="E617" s="79"/>
      <c r="F617" s="79"/>
      <c r="G617" s="79"/>
    </row>
    <row r="618" spans="2:7" ht="15.75" customHeight="1" x14ac:dyDescent="0.2">
      <c r="B618" s="79"/>
      <c r="C618" s="79"/>
      <c r="D618" s="79"/>
      <c r="E618" s="79"/>
      <c r="F618" s="79"/>
      <c r="G618" s="79"/>
    </row>
    <row r="619" spans="2:7" ht="15.75" customHeight="1" x14ac:dyDescent="0.2">
      <c r="B619" s="79"/>
      <c r="C619" s="79"/>
      <c r="D619" s="79"/>
      <c r="E619" s="79"/>
      <c r="F619" s="79"/>
      <c r="G619" s="79"/>
    </row>
    <row r="620" spans="2:7" ht="15.75" customHeight="1" x14ac:dyDescent="0.2">
      <c r="B620" s="79"/>
      <c r="C620" s="79"/>
      <c r="D620" s="79"/>
      <c r="E620" s="79"/>
      <c r="F620" s="79"/>
      <c r="G620" s="79"/>
    </row>
    <row r="621" spans="2:7" ht="15.75" customHeight="1" x14ac:dyDescent="0.2">
      <c r="B621" s="79"/>
      <c r="C621" s="79"/>
      <c r="D621" s="79"/>
      <c r="E621" s="79"/>
      <c r="F621" s="79"/>
      <c r="G621" s="79"/>
    </row>
    <row r="622" spans="2:7" ht="15.75" customHeight="1" x14ac:dyDescent="0.2">
      <c r="B622" s="79"/>
      <c r="C622" s="79"/>
      <c r="D622" s="79"/>
      <c r="E622" s="79"/>
      <c r="F622" s="79"/>
      <c r="G622" s="79"/>
    </row>
    <row r="623" spans="2:7" ht="15.75" customHeight="1" x14ac:dyDescent="0.2">
      <c r="B623" s="79"/>
      <c r="C623" s="79"/>
      <c r="D623" s="79"/>
      <c r="E623" s="79"/>
      <c r="F623" s="79"/>
      <c r="G623" s="79"/>
    </row>
    <row r="624" spans="2:7" ht="15.75" customHeight="1" x14ac:dyDescent="0.2">
      <c r="B624" s="79"/>
      <c r="C624" s="79"/>
      <c r="D624" s="79"/>
      <c r="E624" s="79"/>
      <c r="F624" s="79"/>
      <c r="G624" s="79"/>
    </row>
    <row r="625" spans="2:7" ht="15.75" customHeight="1" x14ac:dyDescent="0.2">
      <c r="B625" s="79"/>
      <c r="C625" s="79"/>
      <c r="D625" s="79"/>
      <c r="E625" s="79"/>
      <c r="F625" s="79"/>
      <c r="G625" s="79"/>
    </row>
    <row r="626" spans="2:7" ht="15.75" customHeight="1" x14ac:dyDescent="0.2">
      <c r="B626" s="79"/>
      <c r="C626" s="79"/>
      <c r="D626" s="79"/>
      <c r="E626" s="79"/>
      <c r="F626" s="79"/>
      <c r="G626" s="79"/>
    </row>
    <row r="627" spans="2:7" ht="15.75" customHeight="1" x14ac:dyDescent="0.2">
      <c r="B627" s="79"/>
      <c r="C627" s="79"/>
      <c r="D627" s="79"/>
      <c r="E627" s="79"/>
      <c r="F627" s="79"/>
      <c r="G627" s="79"/>
    </row>
    <row r="628" spans="2:7" ht="15.75" customHeight="1" x14ac:dyDescent="0.2">
      <c r="B628" s="79"/>
      <c r="C628" s="79"/>
      <c r="D628" s="79"/>
      <c r="E628" s="79"/>
      <c r="F628" s="79"/>
      <c r="G628" s="79"/>
    </row>
    <row r="629" spans="2:7" ht="15.75" customHeight="1" x14ac:dyDescent="0.2">
      <c r="B629" s="79"/>
      <c r="C629" s="79"/>
      <c r="D629" s="79"/>
      <c r="E629" s="79"/>
      <c r="F629" s="79"/>
      <c r="G629" s="79"/>
    </row>
    <row r="630" spans="2:7" ht="15.75" customHeight="1" x14ac:dyDescent="0.2">
      <c r="B630" s="79"/>
      <c r="C630" s="79"/>
      <c r="D630" s="79"/>
      <c r="E630" s="79"/>
      <c r="F630" s="79"/>
      <c r="G630" s="79"/>
    </row>
    <row r="631" spans="2:7" ht="15.75" customHeight="1" x14ac:dyDescent="0.2">
      <c r="B631" s="79"/>
      <c r="C631" s="79"/>
      <c r="D631" s="79"/>
      <c r="E631" s="79"/>
      <c r="F631" s="79"/>
      <c r="G631" s="79"/>
    </row>
    <row r="632" spans="2:7" ht="15.75" customHeight="1" x14ac:dyDescent="0.2">
      <c r="B632" s="79"/>
      <c r="C632" s="79"/>
      <c r="D632" s="79"/>
      <c r="E632" s="79"/>
      <c r="F632" s="79"/>
      <c r="G632" s="79"/>
    </row>
    <row r="633" spans="2:7" ht="15.75" customHeight="1" x14ac:dyDescent="0.2">
      <c r="B633" s="79"/>
      <c r="C633" s="79"/>
      <c r="D633" s="79"/>
      <c r="E633" s="79"/>
      <c r="F633" s="79"/>
      <c r="G633" s="79"/>
    </row>
    <row r="634" spans="2:7" ht="15.75" customHeight="1" x14ac:dyDescent="0.2">
      <c r="B634" s="79"/>
      <c r="C634" s="79"/>
      <c r="D634" s="79"/>
      <c r="E634" s="79"/>
      <c r="F634" s="79"/>
      <c r="G634" s="79"/>
    </row>
    <row r="635" spans="2:7" ht="15.75" customHeight="1" x14ac:dyDescent="0.2">
      <c r="B635" s="79"/>
      <c r="C635" s="79"/>
      <c r="D635" s="79"/>
      <c r="E635" s="79"/>
      <c r="F635" s="79"/>
      <c r="G635" s="79"/>
    </row>
    <row r="636" spans="2:7" ht="15.75" customHeight="1" x14ac:dyDescent="0.2">
      <c r="B636" s="79"/>
      <c r="C636" s="79"/>
      <c r="D636" s="79"/>
      <c r="E636" s="79"/>
      <c r="F636" s="79"/>
      <c r="G636" s="79"/>
    </row>
    <row r="637" spans="2:7" ht="15.75" customHeight="1" x14ac:dyDescent="0.2">
      <c r="B637" s="79"/>
      <c r="C637" s="79"/>
      <c r="D637" s="79"/>
      <c r="E637" s="79"/>
      <c r="F637" s="79"/>
      <c r="G637" s="79"/>
    </row>
    <row r="638" spans="2:7" ht="15.75" customHeight="1" x14ac:dyDescent="0.2">
      <c r="B638" s="79"/>
      <c r="C638" s="79"/>
      <c r="D638" s="79"/>
      <c r="E638" s="79"/>
      <c r="F638" s="79"/>
      <c r="G638" s="79"/>
    </row>
    <row r="639" spans="2:7" ht="15.75" customHeight="1" x14ac:dyDescent="0.2">
      <c r="B639" s="79"/>
      <c r="C639" s="79"/>
      <c r="D639" s="79"/>
      <c r="E639" s="79"/>
      <c r="F639" s="79"/>
      <c r="G639" s="79"/>
    </row>
    <row r="640" spans="2:7" ht="15.75" customHeight="1" x14ac:dyDescent="0.2">
      <c r="B640" s="79"/>
      <c r="C640" s="79"/>
      <c r="D640" s="79"/>
      <c r="E640" s="79"/>
      <c r="F640" s="79"/>
      <c r="G640" s="79"/>
    </row>
    <row r="641" spans="2:7" ht="15.75" customHeight="1" x14ac:dyDescent="0.2">
      <c r="B641" s="79"/>
      <c r="C641" s="79"/>
      <c r="D641" s="79"/>
      <c r="E641" s="79"/>
      <c r="F641" s="79"/>
      <c r="G641" s="79"/>
    </row>
    <row r="642" spans="2:7" ht="15.75" customHeight="1" x14ac:dyDescent="0.2">
      <c r="B642" s="79"/>
      <c r="C642" s="79"/>
      <c r="D642" s="79"/>
      <c r="E642" s="79"/>
      <c r="F642" s="79"/>
      <c r="G642" s="79"/>
    </row>
    <row r="643" spans="2:7" ht="15.75" customHeight="1" x14ac:dyDescent="0.2">
      <c r="B643" s="79"/>
      <c r="C643" s="79"/>
      <c r="D643" s="79"/>
      <c r="E643" s="79"/>
      <c r="F643" s="79"/>
      <c r="G643" s="79"/>
    </row>
    <row r="644" spans="2:7" ht="15.75" customHeight="1" x14ac:dyDescent="0.2">
      <c r="B644" s="79"/>
      <c r="C644" s="79"/>
      <c r="D644" s="79"/>
      <c r="E644" s="79"/>
      <c r="F644" s="79"/>
      <c r="G644" s="79"/>
    </row>
    <row r="645" spans="2:7" ht="15.75" customHeight="1" x14ac:dyDescent="0.2">
      <c r="B645" s="79"/>
      <c r="C645" s="79"/>
      <c r="D645" s="79"/>
      <c r="E645" s="79"/>
      <c r="F645" s="79"/>
      <c r="G645" s="79"/>
    </row>
    <row r="646" spans="2:7" ht="15.75" customHeight="1" x14ac:dyDescent="0.2">
      <c r="B646" s="79"/>
      <c r="C646" s="79"/>
      <c r="D646" s="79"/>
      <c r="E646" s="79"/>
      <c r="F646" s="79"/>
      <c r="G646" s="79"/>
    </row>
    <row r="647" spans="2:7" ht="15.75" customHeight="1" x14ac:dyDescent="0.2">
      <c r="B647" s="79"/>
      <c r="C647" s="79"/>
      <c r="D647" s="79"/>
      <c r="E647" s="79"/>
      <c r="F647" s="79"/>
      <c r="G647" s="79"/>
    </row>
    <row r="648" spans="2:7" ht="15.75" customHeight="1" x14ac:dyDescent="0.2">
      <c r="B648" s="79"/>
      <c r="C648" s="79"/>
      <c r="D648" s="79"/>
      <c r="E648" s="79"/>
      <c r="F648" s="79"/>
      <c r="G648" s="79"/>
    </row>
    <row r="649" spans="2:7" ht="15.75" customHeight="1" x14ac:dyDescent="0.2">
      <c r="B649" s="79"/>
      <c r="C649" s="79"/>
      <c r="D649" s="79"/>
      <c r="E649" s="79"/>
      <c r="F649" s="79"/>
      <c r="G649" s="79"/>
    </row>
    <row r="650" spans="2:7" ht="15.75" customHeight="1" x14ac:dyDescent="0.2">
      <c r="B650" s="79"/>
      <c r="C650" s="79"/>
      <c r="D650" s="79"/>
      <c r="E650" s="79"/>
      <c r="F650" s="79"/>
      <c r="G650" s="79"/>
    </row>
    <row r="651" spans="2:7" ht="15.75" customHeight="1" x14ac:dyDescent="0.2">
      <c r="B651" s="79"/>
      <c r="C651" s="79"/>
      <c r="D651" s="79"/>
      <c r="E651" s="79"/>
      <c r="F651" s="79"/>
      <c r="G651" s="79"/>
    </row>
    <row r="652" spans="2:7" ht="15.75" customHeight="1" x14ac:dyDescent="0.2">
      <c r="B652" s="79"/>
      <c r="C652" s="79"/>
      <c r="D652" s="79"/>
      <c r="E652" s="79"/>
      <c r="F652" s="79"/>
      <c r="G652" s="79"/>
    </row>
    <row r="653" spans="2:7" ht="15.75" customHeight="1" x14ac:dyDescent="0.2">
      <c r="B653" s="79"/>
      <c r="C653" s="79"/>
      <c r="D653" s="79"/>
      <c r="E653" s="79"/>
      <c r="F653" s="79"/>
      <c r="G653" s="79"/>
    </row>
    <row r="654" spans="2:7" ht="15.75" customHeight="1" x14ac:dyDescent="0.2">
      <c r="B654" s="79"/>
      <c r="C654" s="79"/>
      <c r="D654" s="79"/>
      <c r="E654" s="79"/>
      <c r="F654" s="79"/>
      <c r="G654" s="79"/>
    </row>
    <row r="655" spans="2:7" ht="15.75" customHeight="1" x14ac:dyDescent="0.2">
      <c r="B655" s="79"/>
      <c r="C655" s="79"/>
      <c r="D655" s="79"/>
      <c r="E655" s="79"/>
      <c r="F655" s="79"/>
      <c r="G655" s="79"/>
    </row>
    <row r="656" spans="2:7" ht="15.75" customHeight="1" x14ac:dyDescent="0.2">
      <c r="B656" s="79"/>
      <c r="C656" s="79"/>
      <c r="D656" s="79"/>
      <c r="E656" s="79"/>
      <c r="F656" s="79"/>
      <c r="G656" s="79"/>
    </row>
    <row r="657" spans="2:7" ht="15.75" customHeight="1" x14ac:dyDescent="0.2">
      <c r="B657" s="79"/>
      <c r="C657" s="79"/>
      <c r="D657" s="79"/>
      <c r="E657" s="79"/>
      <c r="F657" s="79"/>
      <c r="G657" s="79"/>
    </row>
    <row r="658" spans="2:7" ht="15.75" customHeight="1" x14ac:dyDescent="0.2">
      <c r="B658" s="79"/>
      <c r="C658" s="79"/>
      <c r="D658" s="79"/>
      <c r="E658" s="79"/>
      <c r="F658" s="79"/>
      <c r="G658" s="79"/>
    </row>
    <row r="659" spans="2:7" ht="15.75" customHeight="1" x14ac:dyDescent="0.2">
      <c r="B659" s="79"/>
      <c r="C659" s="79"/>
      <c r="D659" s="79"/>
      <c r="E659" s="79"/>
      <c r="F659" s="79"/>
      <c r="G659" s="79"/>
    </row>
    <row r="660" spans="2:7" ht="15.75" customHeight="1" x14ac:dyDescent="0.2">
      <c r="B660" s="79"/>
      <c r="C660" s="79"/>
      <c r="D660" s="79"/>
      <c r="E660" s="79"/>
      <c r="F660" s="79"/>
      <c r="G660" s="79"/>
    </row>
    <row r="661" spans="2:7" ht="15.75" customHeight="1" x14ac:dyDescent="0.2">
      <c r="B661" s="79"/>
      <c r="C661" s="79"/>
      <c r="D661" s="79"/>
      <c r="E661" s="79"/>
      <c r="F661" s="79"/>
      <c r="G661" s="79"/>
    </row>
    <row r="662" spans="2:7" ht="15.75" customHeight="1" x14ac:dyDescent="0.2">
      <c r="B662" s="79"/>
      <c r="C662" s="79"/>
      <c r="D662" s="79"/>
      <c r="E662" s="79"/>
      <c r="F662" s="79"/>
      <c r="G662" s="79"/>
    </row>
    <row r="663" spans="2:7" ht="15.75" customHeight="1" x14ac:dyDescent="0.2">
      <c r="B663" s="79"/>
      <c r="C663" s="79"/>
      <c r="D663" s="79"/>
      <c r="E663" s="79"/>
      <c r="F663" s="79"/>
      <c r="G663" s="79"/>
    </row>
    <row r="664" spans="2:7" ht="15.75" customHeight="1" x14ac:dyDescent="0.2">
      <c r="B664" s="79"/>
      <c r="C664" s="79"/>
      <c r="D664" s="79"/>
      <c r="E664" s="79"/>
      <c r="F664" s="79"/>
      <c r="G664" s="79"/>
    </row>
    <row r="665" spans="2:7" ht="15.75" customHeight="1" x14ac:dyDescent="0.2">
      <c r="B665" s="79"/>
      <c r="C665" s="79"/>
      <c r="D665" s="79"/>
      <c r="E665" s="79"/>
      <c r="F665" s="79"/>
      <c r="G665" s="79"/>
    </row>
    <row r="666" spans="2:7" ht="15.75" customHeight="1" x14ac:dyDescent="0.2">
      <c r="B666" s="79"/>
      <c r="C666" s="79"/>
      <c r="D666" s="79"/>
      <c r="E666" s="79"/>
      <c r="F666" s="79"/>
      <c r="G666" s="79"/>
    </row>
    <row r="667" spans="2:7" ht="15.75" customHeight="1" x14ac:dyDescent="0.2">
      <c r="B667" s="79"/>
      <c r="C667" s="79"/>
      <c r="D667" s="79"/>
      <c r="E667" s="79"/>
      <c r="F667" s="79"/>
      <c r="G667" s="79"/>
    </row>
    <row r="668" spans="2:7" ht="15.75" customHeight="1" x14ac:dyDescent="0.2">
      <c r="B668" s="79"/>
      <c r="C668" s="79"/>
      <c r="D668" s="79"/>
      <c r="E668" s="79"/>
      <c r="F668" s="79"/>
      <c r="G668" s="79"/>
    </row>
    <row r="669" spans="2:7" ht="15.75" customHeight="1" x14ac:dyDescent="0.2">
      <c r="B669" s="79"/>
      <c r="C669" s="79"/>
      <c r="D669" s="79"/>
      <c r="E669" s="79"/>
      <c r="F669" s="79"/>
      <c r="G669" s="79"/>
    </row>
    <row r="670" spans="2:7" ht="15.75" customHeight="1" x14ac:dyDescent="0.2">
      <c r="B670" s="79"/>
      <c r="C670" s="79"/>
      <c r="D670" s="79"/>
      <c r="E670" s="79"/>
      <c r="F670" s="79"/>
      <c r="G670" s="79"/>
    </row>
    <row r="671" spans="2:7" ht="15.75" customHeight="1" x14ac:dyDescent="0.2">
      <c r="B671" s="79"/>
      <c r="C671" s="79"/>
      <c r="D671" s="79"/>
      <c r="E671" s="79"/>
      <c r="F671" s="79"/>
      <c r="G671" s="79"/>
    </row>
    <row r="672" spans="2:7" ht="15.75" customHeight="1" x14ac:dyDescent="0.2">
      <c r="B672" s="79"/>
      <c r="C672" s="79"/>
      <c r="D672" s="79"/>
      <c r="E672" s="79"/>
      <c r="F672" s="79"/>
      <c r="G672" s="79"/>
    </row>
    <row r="673" spans="2:7" ht="15.75" customHeight="1" x14ac:dyDescent="0.2">
      <c r="B673" s="79"/>
      <c r="C673" s="79"/>
      <c r="D673" s="79"/>
      <c r="E673" s="79"/>
      <c r="F673" s="79"/>
      <c r="G673" s="79"/>
    </row>
    <row r="674" spans="2:7" ht="15.75" customHeight="1" x14ac:dyDescent="0.2">
      <c r="B674" s="79"/>
      <c r="C674" s="79"/>
      <c r="D674" s="79"/>
      <c r="E674" s="79"/>
      <c r="F674" s="79"/>
      <c r="G674" s="79"/>
    </row>
    <row r="675" spans="2:7" ht="15.75" customHeight="1" x14ac:dyDescent="0.2">
      <c r="B675" s="79"/>
      <c r="C675" s="79"/>
      <c r="D675" s="79"/>
      <c r="E675" s="79"/>
      <c r="F675" s="79"/>
      <c r="G675" s="79"/>
    </row>
    <row r="676" spans="2:7" ht="15.75" customHeight="1" x14ac:dyDescent="0.2">
      <c r="B676" s="79"/>
      <c r="C676" s="79"/>
      <c r="D676" s="79"/>
      <c r="E676" s="79"/>
      <c r="F676" s="79"/>
      <c r="G676" s="79"/>
    </row>
    <row r="677" spans="2:7" ht="15.75" customHeight="1" x14ac:dyDescent="0.2">
      <c r="B677" s="79"/>
      <c r="C677" s="79"/>
      <c r="D677" s="79"/>
      <c r="E677" s="79"/>
      <c r="F677" s="79"/>
      <c r="G677" s="79"/>
    </row>
    <row r="678" spans="2:7" ht="15.75" customHeight="1" x14ac:dyDescent="0.2">
      <c r="B678" s="79"/>
      <c r="C678" s="79"/>
      <c r="D678" s="79"/>
      <c r="E678" s="79"/>
      <c r="F678" s="79"/>
      <c r="G678" s="79"/>
    </row>
    <row r="679" spans="2:7" ht="15.75" customHeight="1" x14ac:dyDescent="0.2">
      <c r="B679" s="79"/>
      <c r="C679" s="79"/>
      <c r="D679" s="79"/>
      <c r="E679" s="79"/>
      <c r="F679" s="79"/>
      <c r="G679" s="79"/>
    </row>
    <row r="680" spans="2:7" ht="15.75" customHeight="1" x14ac:dyDescent="0.2">
      <c r="B680" s="79"/>
      <c r="C680" s="79"/>
      <c r="D680" s="79"/>
      <c r="E680" s="79"/>
      <c r="F680" s="79"/>
      <c r="G680" s="79"/>
    </row>
    <row r="681" spans="2:7" ht="15.75" customHeight="1" x14ac:dyDescent="0.2">
      <c r="B681" s="79"/>
      <c r="C681" s="79"/>
      <c r="D681" s="79"/>
      <c r="E681" s="79"/>
      <c r="F681" s="79"/>
      <c r="G681" s="79"/>
    </row>
    <row r="682" spans="2:7" ht="15.75" customHeight="1" x14ac:dyDescent="0.2">
      <c r="B682" s="79"/>
      <c r="C682" s="79"/>
      <c r="D682" s="79"/>
      <c r="E682" s="79"/>
      <c r="F682" s="79"/>
      <c r="G682" s="79"/>
    </row>
    <row r="683" spans="2:7" ht="15.75" customHeight="1" x14ac:dyDescent="0.2">
      <c r="B683" s="79"/>
      <c r="C683" s="79"/>
      <c r="D683" s="79"/>
      <c r="E683" s="79"/>
      <c r="F683" s="79"/>
      <c r="G683" s="79"/>
    </row>
    <row r="684" spans="2:7" ht="15.75" customHeight="1" x14ac:dyDescent="0.2">
      <c r="B684" s="79"/>
      <c r="C684" s="79"/>
      <c r="D684" s="79"/>
      <c r="E684" s="79"/>
      <c r="F684" s="79"/>
      <c r="G684" s="79"/>
    </row>
    <row r="685" spans="2:7" ht="15.75" customHeight="1" x14ac:dyDescent="0.2">
      <c r="B685" s="79"/>
      <c r="C685" s="79"/>
      <c r="D685" s="79"/>
      <c r="E685" s="79"/>
      <c r="F685" s="79"/>
      <c r="G685" s="79"/>
    </row>
    <row r="686" spans="2:7" ht="15.75" customHeight="1" x14ac:dyDescent="0.2">
      <c r="B686" s="79"/>
      <c r="C686" s="79"/>
      <c r="D686" s="79"/>
      <c r="E686" s="79"/>
      <c r="F686" s="79"/>
      <c r="G686" s="79"/>
    </row>
    <row r="687" spans="2:7" ht="15.75" customHeight="1" x14ac:dyDescent="0.2">
      <c r="B687" s="79"/>
      <c r="C687" s="79"/>
      <c r="D687" s="79"/>
      <c r="E687" s="79"/>
      <c r="F687" s="79"/>
      <c r="G687" s="79"/>
    </row>
    <row r="688" spans="2:7" ht="15.75" customHeight="1" x14ac:dyDescent="0.2">
      <c r="B688" s="79"/>
      <c r="C688" s="79"/>
      <c r="D688" s="79"/>
      <c r="E688" s="79"/>
      <c r="F688" s="79"/>
      <c r="G688" s="79"/>
    </row>
    <row r="689" spans="2:7" ht="15.75" customHeight="1" x14ac:dyDescent="0.2">
      <c r="B689" s="79"/>
      <c r="C689" s="79"/>
      <c r="D689" s="79"/>
      <c r="E689" s="79"/>
      <c r="F689" s="79"/>
      <c r="G689" s="79"/>
    </row>
    <row r="690" spans="2:7" ht="15.75" customHeight="1" x14ac:dyDescent="0.2">
      <c r="B690" s="79"/>
      <c r="C690" s="79"/>
      <c r="D690" s="79"/>
      <c r="E690" s="79"/>
      <c r="F690" s="79"/>
      <c r="G690" s="79"/>
    </row>
    <row r="691" spans="2:7" ht="15.75" customHeight="1" x14ac:dyDescent="0.2">
      <c r="B691" s="79"/>
      <c r="C691" s="79"/>
      <c r="D691" s="79"/>
      <c r="E691" s="79"/>
      <c r="F691" s="79"/>
      <c r="G691" s="79"/>
    </row>
    <row r="692" spans="2:7" ht="15.75" customHeight="1" x14ac:dyDescent="0.2">
      <c r="B692" s="79"/>
      <c r="C692" s="79"/>
      <c r="D692" s="79"/>
      <c r="E692" s="79"/>
      <c r="F692" s="79"/>
      <c r="G692" s="79"/>
    </row>
    <row r="693" spans="2:7" ht="15.75" customHeight="1" x14ac:dyDescent="0.2">
      <c r="B693" s="79"/>
      <c r="C693" s="79"/>
      <c r="D693" s="79"/>
      <c r="E693" s="79"/>
      <c r="F693" s="79"/>
      <c r="G693" s="79"/>
    </row>
    <row r="694" spans="2:7" ht="15.75" customHeight="1" x14ac:dyDescent="0.2">
      <c r="B694" s="79"/>
      <c r="C694" s="79"/>
      <c r="D694" s="79"/>
      <c r="E694" s="79"/>
      <c r="F694" s="79"/>
      <c r="G694" s="79"/>
    </row>
    <row r="695" spans="2:7" ht="15.75" customHeight="1" x14ac:dyDescent="0.2">
      <c r="B695" s="79"/>
      <c r="C695" s="79"/>
      <c r="D695" s="79"/>
      <c r="E695" s="79"/>
      <c r="F695" s="79"/>
      <c r="G695" s="79"/>
    </row>
    <row r="696" spans="2:7" ht="15.75" customHeight="1" x14ac:dyDescent="0.2">
      <c r="B696" s="79"/>
      <c r="C696" s="79"/>
      <c r="D696" s="79"/>
      <c r="E696" s="79"/>
      <c r="F696" s="79"/>
      <c r="G696" s="79"/>
    </row>
    <row r="697" spans="2:7" ht="15.75" customHeight="1" x14ac:dyDescent="0.2">
      <c r="B697" s="79"/>
      <c r="C697" s="79"/>
      <c r="D697" s="79"/>
      <c r="E697" s="79"/>
      <c r="F697" s="79"/>
      <c r="G697" s="79"/>
    </row>
    <row r="698" spans="2:7" ht="15.75" customHeight="1" x14ac:dyDescent="0.2">
      <c r="B698" s="79"/>
      <c r="C698" s="79"/>
      <c r="D698" s="79"/>
      <c r="E698" s="79"/>
      <c r="F698" s="79"/>
      <c r="G698" s="79"/>
    </row>
    <row r="699" spans="2:7" ht="15.75" customHeight="1" x14ac:dyDescent="0.2">
      <c r="B699" s="79"/>
      <c r="C699" s="79"/>
      <c r="D699" s="79"/>
      <c r="E699" s="79"/>
      <c r="F699" s="79"/>
      <c r="G699" s="79"/>
    </row>
    <row r="700" spans="2:7" ht="15.75" customHeight="1" x14ac:dyDescent="0.2">
      <c r="B700" s="79"/>
      <c r="C700" s="79"/>
      <c r="D700" s="79"/>
      <c r="E700" s="79"/>
      <c r="F700" s="79"/>
      <c r="G700" s="79"/>
    </row>
    <row r="701" spans="2:7" ht="15.75" customHeight="1" x14ac:dyDescent="0.2">
      <c r="B701" s="79"/>
      <c r="C701" s="79"/>
      <c r="D701" s="79"/>
      <c r="E701" s="79"/>
      <c r="F701" s="79"/>
      <c r="G701" s="79"/>
    </row>
    <row r="702" spans="2:7" ht="15.75" customHeight="1" x14ac:dyDescent="0.2">
      <c r="B702" s="79"/>
      <c r="C702" s="79"/>
      <c r="D702" s="79"/>
      <c r="E702" s="79"/>
      <c r="F702" s="79"/>
      <c r="G702" s="79"/>
    </row>
    <row r="703" spans="2:7" ht="15.75" customHeight="1" x14ac:dyDescent="0.2">
      <c r="B703" s="79"/>
      <c r="C703" s="79"/>
      <c r="D703" s="79"/>
      <c r="E703" s="79"/>
      <c r="F703" s="79"/>
      <c r="G703" s="79"/>
    </row>
    <row r="704" spans="2:7" ht="15.75" customHeight="1" x14ac:dyDescent="0.2">
      <c r="B704" s="79"/>
      <c r="C704" s="79"/>
      <c r="D704" s="79"/>
      <c r="E704" s="79"/>
      <c r="F704" s="79"/>
      <c r="G704" s="79"/>
    </row>
    <row r="705" spans="2:7" ht="15.75" customHeight="1" x14ac:dyDescent="0.2">
      <c r="B705" s="79"/>
      <c r="C705" s="79"/>
      <c r="D705" s="79"/>
      <c r="E705" s="79"/>
      <c r="F705" s="79"/>
      <c r="G705" s="79"/>
    </row>
    <row r="706" spans="2:7" ht="15.75" customHeight="1" x14ac:dyDescent="0.2">
      <c r="B706" s="79"/>
      <c r="C706" s="79"/>
      <c r="D706" s="79"/>
      <c r="E706" s="79"/>
      <c r="F706" s="79"/>
      <c r="G706" s="79"/>
    </row>
    <row r="707" spans="2:7" ht="15.75" customHeight="1" x14ac:dyDescent="0.2">
      <c r="B707" s="79"/>
      <c r="C707" s="79"/>
      <c r="D707" s="79"/>
      <c r="E707" s="79"/>
      <c r="F707" s="79"/>
      <c r="G707" s="79"/>
    </row>
    <row r="708" spans="2:7" ht="15.75" customHeight="1" x14ac:dyDescent="0.2">
      <c r="B708" s="79"/>
      <c r="C708" s="79"/>
      <c r="D708" s="79"/>
      <c r="E708" s="79"/>
      <c r="F708" s="79"/>
      <c r="G708" s="79"/>
    </row>
    <row r="709" spans="2:7" ht="15.75" customHeight="1" x14ac:dyDescent="0.2">
      <c r="B709" s="79"/>
      <c r="C709" s="79"/>
      <c r="D709" s="79"/>
      <c r="E709" s="79"/>
      <c r="F709" s="79"/>
      <c r="G709" s="79"/>
    </row>
    <row r="710" spans="2:7" ht="15.75" customHeight="1" x14ac:dyDescent="0.2">
      <c r="B710" s="79"/>
      <c r="C710" s="79"/>
      <c r="D710" s="79"/>
      <c r="E710" s="79"/>
      <c r="F710" s="79"/>
      <c r="G710" s="79"/>
    </row>
    <row r="711" spans="2:7" ht="15.75" customHeight="1" x14ac:dyDescent="0.2">
      <c r="B711" s="79"/>
      <c r="C711" s="79"/>
      <c r="D711" s="79"/>
      <c r="E711" s="79"/>
      <c r="F711" s="79"/>
      <c r="G711" s="79"/>
    </row>
    <row r="712" spans="2:7" ht="15.75" customHeight="1" x14ac:dyDescent="0.2">
      <c r="B712" s="79"/>
      <c r="C712" s="79"/>
      <c r="D712" s="79"/>
      <c r="E712" s="79"/>
      <c r="F712" s="79"/>
      <c r="G712" s="79"/>
    </row>
    <row r="713" spans="2:7" ht="15.75" customHeight="1" x14ac:dyDescent="0.2">
      <c r="B713" s="79"/>
      <c r="C713" s="79"/>
      <c r="D713" s="79"/>
      <c r="E713" s="79"/>
      <c r="F713" s="79"/>
      <c r="G713" s="79"/>
    </row>
    <row r="714" spans="2:7" ht="15.75" customHeight="1" x14ac:dyDescent="0.2">
      <c r="B714" s="79"/>
      <c r="C714" s="79"/>
      <c r="D714" s="79"/>
      <c r="E714" s="79"/>
      <c r="F714" s="79"/>
      <c r="G714" s="79"/>
    </row>
    <row r="715" spans="2:7" ht="15.75" customHeight="1" x14ac:dyDescent="0.2">
      <c r="B715" s="79"/>
      <c r="C715" s="79"/>
      <c r="D715" s="79"/>
      <c r="E715" s="79"/>
      <c r="F715" s="79"/>
      <c r="G715" s="79"/>
    </row>
    <row r="716" spans="2:7" ht="15.75" customHeight="1" x14ac:dyDescent="0.2">
      <c r="B716" s="79"/>
      <c r="C716" s="79"/>
      <c r="D716" s="79"/>
      <c r="E716" s="79"/>
      <c r="F716" s="79"/>
      <c r="G716" s="79"/>
    </row>
    <row r="717" spans="2:7" ht="15.75" customHeight="1" x14ac:dyDescent="0.2">
      <c r="B717" s="79"/>
      <c r="C717" s="79"/>
      <c r="D717" s="79"/>
      <c r="E717" s="79"/>
      <c r="F717" s="79"/>
      <c r="G717" s="79"/>
    </row>
    <row r="718" spans="2:7" ht="15.75" customHeight="1" x14ac:dyDescent="0.2">
      <c r="B718" s="79"/>
      <c r="C718" s="79"/>
      <c r="D718" s="79"/>
      <c r="E718" s="79"/>
      <c r="F718" s="79"/>
      <c r="G718" s="79"/>
    </row>
    <row r="719" spans="2:7" ht="15.75" customHeight="1" x14ac:dyDescent="0.2">
      <c r="B719" s="79"/>
      <c r="C719" s="79"/>
      <c r="D719" s="79"/>
      <c r="E719" s="79"/>
      <c r="F719" s="79"/>
      <c r="G719" s="79"/>
    </row>
    <row r="720" spans="2:7" ht="15.75" customHeight="1" x14ac:dyDescent="0.2">
      <c r="B720" s="79"/>
      <c r="C720" s="79"/>
      <c r="D720" s="79"/>
      <c r="E720" s="79"/>
      <c r="F720" s="79"/>
      <c r="G720" s="79"/>
    </row>
    <row r="721" spans="2:7" ht="15.75" customHeight="1" x14ac:dyDescent="0.2">
      <c r="B721" s="79"/>
      <c r="C721" s="79"/>
      <c r="D721" s="79"/>
      <c r="E721" s="79"/>
      <c r="F721" s="79"/>
      <c r="G721" s="79"/>
    </row>
    <row r="722" spans="2:7" ht="15.75" customHeight="1" x14ac:dyDescent="0.2">
      <c r="B722" s="79"/>
      <c r="C722" s="79"/>
      <c r="D722" s="79"/>
      <c r="E722" s="79"/>
      <c r="F722" s="79"/>
      <c r="G722" s="79"/>
    </row>
    <row r="723" spans="2:7" ht="15.75" customHeight="1" x14ac:dyDescent="0.2">
      <c r="B723" s="79"/>
      <c r="C723" s="79"/>
      <c r="D723" s="79"/>
      <c r="E723" s="79"/>
      <c r="F723" s="79"/>
      <c r="G723" s="79"/>
    </row>
    <row r="724" spans="2:7" ht="15.75" customHeight="1" x14ac:dyDescent="0.2">
      <c r="B724" s="79"/>
      <c r="C724" s="79"/>
      <c r="D724" s="79"/>
      <c r="E724" s="79"/>
      <c r="F724" s="79"/>
      <c r="G724" s="79"/>
    </row>
    <row r="725" spans="2:7" ht="15.75" customHeight="1" x14ac:dyDescent="0.2">
      <c r="B725" s="79"/>
      <c r="C725" s="79"/>
      <c r="D725" s="79"/>
      <c r="E725" s="79"/>
      <c r="F725" s="79"/>
      <c r="G725" s="79"/>
    </row>
    <row r="726" spans="2:7" ht="15.75" customHeight="1" x14ac:dyDescent="0.2">
      <c r="B726" s="79"/>
      <c r="C726" s="79"/>
      <c r="D726" s="79"/>
      <c r="E726" s="79"/>
      <c r="F726" s="79"/>
      <c r="G726" s="79"/>
    </row>
    <row r="727" spans="2:7" ht="15.75" customHeight="1" x14ac:dyDescent="0.2">
      <c r="B727" s="79"/>
      <c r="C727" s="79"/>
      <c r="D727" s="79"/>
      <c r="E727" s="79"/>
      <c r="F727" s="79"/>
      <c r="G727" s="79"/>
    </row>
    <row r="728" spans="2:7" ht="15.75" customHeight="1" x14ac:dyDescent="0.2">
      <c r="B728" s="79"/>
      <c r="C728" s="79"/>
      <c r="D728" s="79"/>
      <c r="E728" s="79"/>
      <c r="F728" s="79"/>
      <c r="G728" s="79"/>
    </row>
    <row r="729" spans="2:7" ht="15.75" customHeight="1" x14ac:dyDescent="0.2">
      <c r="B729" s="79"/>
      <c r="C729" s="79"/>
      <c r="D729" s="79"/>
      <c r="E729" s="79"/>
      <c r="F729" s="79"/>
      <c r="G729" s="79"/>
    </row>
    <row r="730" spans="2:7" ht="15.75" customHeight="1" x14ac:dyDescent="0.2">
      <c r="B730" s="79"/>
      <c r="C730" s="79"/>
      <c r="D730" s="79"/>
      <c r="E730" s="79"/>
      <c r="F730" s="79"/>
      <c r="G730" s="79"/>
    </row>
    <row r="731" spans="2:7" ht="15.75" customHeight="1" x14ac:dyDescent="0.2">
      <c r="B731" s="79"/>
      <c r="C731" s="79"/>
      <c r="D731" s="79"/>
      <c r="E731" s="79"/>
      <c r="F731" s="79"/>
      <c r="G731" s="79"/>
    </row>
    <row r="732" spans="2:7" ht="15.75" customHeight="1" x14ac:dyDescent="0.2">
      <c r="B732" s="79"/>
      <c r="C732" s="79"/>
      <c r="D732" s="79"/>
      <c r="E732" s="79"/>
      <c r="F732" s="79"/>
      <c r="G732" s="79"/>
    </row>
    <row r="733" spans="2:7" ht="15.75" customHeight="1" x14ac:dyDescent="0.2">
      <c r="B733" s="79"/>
      <c r="C733" s="79"/>
      <c r="D733" s="79"/>
      <c r="E733" s="79"/>
      <c r="F733" s="79"/>
      <c r="G733" s="79"/>
    </row>
    <row r="734" spans="2:7" ht="15.75" customHeight="1" x14ac:dyDescent="0.2">
      <c r="B734" s="79"/>
      <c r="C734" s="79"/>
      <c r="D734" s="79"/>
      <c r="E734" s="79"/>
      <c r="F734" s="79"/>
      <c r="G734" s="79"/>
    </row>
    <row r="735" spans="2:7" ht="15.75" customHeight="1" x14ac:dyDescent="0.2">
      <c r="B735" s="79"/>
      <c r="C735" s="79"/>
      <c r="D735" s="79"/>
      <c r="E735" s="79"/>
      <c r="F735" s="79"/>
      <c r="G735" s="79"/>
    </row>
    <row r="736" spans="2:7" ht="15.75" customHeight="1" x14ac:dyDescent="0.2">
      <c r="B736" s="79"/>
      <c r="C736" s="79"/>
      <c r="D736" s="79"/>
      <c r="E736" s="79"/>
      <c r="F736" s="79"/>
      <c r="G736" s="79"/>
    </row>
    <row r="737" spans="2:7" ht="15.75" customHeight="1" x14ac:dyDescent="0.2">
      <c r="B737" s="79"/>
      <c r="C737" s="79"/>
      <c r="D737" s="79"/>
      <c r="E737" s="79"/>
      <c r="F737" s="79"/>
      <c r="G737" s="79"/>
    </row>
    <row r="738" spans="2:7" ht="15.75" customHeight="1" x14ac:dyDescent="0.2">
      <c r="B738" s="79"/>
      <c r="C738" s="79"/>
      <c r="D738" s="79"/>
      <c r="E738" s="79"/>
      <c r="F738" s="79"/>
      <c r="G738" s="79"/>
    </row>
    <row r="739" spans="2:7" ht="15.75" customHeight="1" x14ac:dyDescent="0.2">
      <c r="B739" s="79"/>
      <c r="C739" s="79"/>
      <c r="D739" s="79"/>
      <c r="E739" s="79"/>
      <c r="F739" s="79"/>
      <c r="G739" s="79"/>
    </row>
    <row r="740" spans="2:7" ht="15.75" customHeight="1" x14ac:dyDescent="0.2">
      <c r="B740" s="79"/>
      <c r="C740" s="79"/>
      <c r="D740" s="79"/>
      <c r="E740" s="79"/>
      <c r="F740" s="79"/>
      <c r="G740" s="79"/>
    </row>
    <row r="741" spans="2:7" ht="15.75" customHeight="1" x14ac:dyDescent="0.2">
      <c r="B741" s="79"/>
      <c r="C741" s="79"/>
      <c r="D741" s="79"/>
      <c r="E741" s="79"/>
      <c r="F741" s="79"/>
      <c r="G741" s="79"/>
    </row>
    <row r="742" spans="2:7" ht="15.75" customHeight="1" x14ac:dyDescent="0.2">
      <c r="B742" s="79"/>
      <c r="C742" s="79"/>
      <c r="D742" s="79"/>
      <c r="E742" s="79"/>
      <c r="F742" s="79"/>
      <c r="G742" s="79"/>
    </row>
    <row r="743" spans="2:7" ht="15.75" customHeight="1" x14ac:dyDescent="0.2">
      <c r="B743" s="79"/>
      <c r="C743" s="79"/>
      <c r="D743" s="79"/>
      <c r="E743" s="79"/>
      <c r="F743" s="79"/>
      <c r="G743" s="79"/>
    </row>
    <row r="744" spans="2:7" ht="15.75" customHeight="1" x14ac:dyDescent="0.2">
      <c r="B744" s="79"/>
      <c r="C744" s="79"/>
      <c r="D744" s="79"/>
      <c r="E744" s="79"/>
      <c r="F744" s="79"/>
      <c r="G744" s="79"/>
    </row>
    <row r="745" spans="2:7" ht="15.75" customHeight="1" x14ac:dyDescent="0.2">
      <c r="B745" s="79"/>
      <c r="C745" s="79"/>
      <c r="D745" s="79"/>
      <c r="E745" s="79"/>
      <c r="F745" s="79"/>
      <c r="G745" s="79"/>
    </row>
    <row r="746" spans="2:7" ht="15.75" customHeight="1" x14ac:dyDescent="0.2">
      <c r="B746" s="79"/>
      <c r="C746" s="79"/>
      <c r="D746" s="79"/>
      <c r="E746" s="79"/>
      <c r="F746" s="79"/>
      <c r="G746" s="79"/>
    </row>
    <row r="747" spans="2:7" ht="15.75" customHeight="1" x14ac:dyDescent="0.2">
      <c r="B747" s="79"/>
      <c r="C747" s="79"/>
      <c r="D747" s="79"/>
      <c r="E747" s="79"/>
      <c r="F747" s="79"/>
      <c r="G747" s="79"/>
    </row>
    <row r="748" spans="2:7" ht="15.75" customHeight="1" x14ac:dyDescent="0.2">
      <c r="B748" s="79"/>
      <c r="C748" s="79"/>
      <c r="D748" s="79"/>
      <c r="E748" s="79"/>
      <c r="F748" s="79"/>
      <c r="G748" s="79"/>
    </row>
    <row r="749" spans="2:7" ht="15.75" customHeight="1" x14ac:dyDescent="0.2">
      <c r="B749" s="79"/>
      <c r="C749" s="79"/>
      <c r="D749" s="79"/>
      <c r="E749" s="79"/>
      <c r="F749" s="79"/>
      <c r="G749" s="79"/>
    </row>
    <row r="750" spans="2:7" ht="15.75" customHeight="1" x14ac:dyDescent="0.2">
      <c r="B750" s="79"/>
      <c r="C750" s="79"/>
      <c r="D750" s="79"/>
      <c r="E750" s="79"/>
      <c r="F750" s="79"/>
      <c r="G750" s="79"/>
    </row>
    <row r="751" spans="2:7" ht="15.75" customHeight="1" x14ac:dyDescent="0.2">
      <c r="B751" s="79"/>
      <c r="C751" s="79"/>
      <c r="D751" s="79"/>
      <c r="E751" s="79"/>
      <c r="F751" s="79"/>
      <c r="G751" s="79"/>
    </row>
    <row r="752" spans="2:7" ht="15.75" customHeight="1" x14ac:dyDescent="0.2">
      <c r="B752" s="79"/>
      <c r="C752" s="79"/>
      <c r="D752" s="79"/>
      <c r="E752" s="79"/>
      <c r="F752" s="79"/>
      <c r="G752" s="79"/>
    </row>
    <row r="753" spans="2:7" ht="15.75" customHeight="1" x14ac:dyDescent="0.2">
      <c r="B753" s="79"/>
      <c r="C753" s="79"/>
      <c r="D753" s="79"/>
      <c r="E753" s="79"/>
      <c r="F753" s="79"/>
      <c r="G753" s="79"/>
    </row>
    <row r="754" spans="2:7" ht="15.75" customHeight="1" x14ac:dyDescent="0.2">
      <c r="B754" s="79"/>
      <c r="C754" s="79"/>
      <c r="D754" s="79"/>
      <c r="E754" s="79"/>
      <c r="F754" s="79"/>
      <c r="G754" s="79"/>
    </row>
    <row r="755" spans="2:7" ht="15.75" customHeight="1" x14ac:dyDescent="0.2">
      <c r="B755" s="79"/>
      <c r="C755" s="79"/>
      <c r="D755" s="79"/>
      <c r="E755" s="79"/>
      <c r="F755" s="79"/>
      <c r="G755" s="79"/>
    </row>
    <row r="756" spans="2:7" ht="15.75" customHeight="1" x14ac:dyDescent="0.2">
      <c r="B756" s="79"/>
      <c r="C756" s="79"/>
      <c r="D756" s="79"/>
      <c r="E756" s="79"/>
      <c r="F756" s="79"/>
      <c r="G756" s="79"/>
    </row>
    <row r="757" spans="2:7" ht="15.75" customHeight="1" x14ac:dyDescent="0.2">
      <c r="B757" s="79"/>
      <c r="C757" s="79"/>
      <c r="D757" s="79"/>
      <c r="E757" s="79"/>
      <c r="F757" s="79"/>
      <c r="G757" s="79"/>
    </row>
    <row r="758" spans="2:7" ht="15.75" customHeight="1" x14ac:dyDescent="0.2">
      <c r="B758" s="79"/>
      <c r="C758" s="79"/>
      <c r="D758" s="79"/>
      <c r="E758" s="79"/>
      <c r="F758" s="79"/>
      <c r="G758" s="79"/>
    </row>
    <row r="759" spans="2:7" ht="15.75" customHeight="1" x14ac:dyDescent="0.2">
      <c r="B759" s="79"/>
      <c r="C759" s="79"/>
      <c r="D759" s="79"/>
      <c r="E759" s="79"/>
      <c r="F759" s="79"/>
      <c r="G759" s="79"/>
    </row>
    <row r="760" spans="2:7" ht="15.75" customHeight="1" x14ac:dyDescent="0.2">
      <c r="B760" s="79"/>
      <c r="C760" s="79"/>
      <c r="D760" s="79"/>
      <c r="E760" s="79"/>
      <c r="F760" s="79"/>
      <c r="G760" s="79"/>
    </row>
    <row r="761" spans="2:7" ht="15.75" customHeight="1" x14ac:dyDescent="0.2">
      <c r="B761" s="79"/>
      <c r="C761" s="79"/>
      <c r="D761" s="79"/>
      <c r="E761" s="79"/>
      <c r="F761" s="79"/>
      <c r="G761" s="79"/>
    </row>
    <row r="762" spans="2:7" ht="15.75" customHeight="1" x14ac:dyDescent="0.2">
      <c r="B762" s="79"/>
      <c r="C762" s="79"/>
      <c r="D762" s="79"/>
      <c r="E762" s="79"/>
      <c r="F762" s="79"/>
      <c r="G762" s="79"/>
    </row>
    <row r="763" spans="2:7" ht="15.75" customHeight="1" x14ac:dyDescent="0.2">
      <c r="B763" s="79"/>
      <c r="C763" s="79"/>
      <c r="D763" s="79"/>
      <c r="E763" s="79"/>
      <c r="F763" s="79"/>
      <c r="G763" s="79"/>
    </row>
    <row r="764" spans="2:7" ht="15.75" customHeight="1" x14ac:dyDescent="0.2">
      <c r="B764" s="79"/>
      <c r="C764" s="79"/>
      <c r="D764" s="79"/>
      <c r="E764" s="79"/>
      <c r="F764" s="79"/>
      <c r="G764" s="79"/>
    </row>
    <row r="765" spans="2:7" ht="15.75" customHeight="1" x14ac:dyDescent="0.2">
      <c r="B765" s="79"/>
      <c r="C765" s="79"/>
      <c r="D765" s="79"/>
      <c r="E765" s="79"/>
      <c r="F765" s="79"/>
      <c r="G765" s="79"/>
    </row>
    <row r="766" spans="2:7" ht="15.75" customHeight="1" x14ac:dyDescent="0.2">
      <c r="B766" s="79"/>
      <c r="C766" s="79"/>
      <c r="D766" s="79"/>
      <c r="E766" s="79"/>
      <c r="F766" s="79"/>
      <c r="G766" s="79"/>
    </row>
    <row r="767" spans="2:7" ht="15.75" customHeight="1" x14ac:dyDescent="0.2">
      <c r="B767" s="79"/>
      <c r="C767" s="79"/>
      <c r="D767" s="79"/>
      <c r="E767" s="79"/>
      <c r="F767" s="79"/>
      <c r="G767" s="79"/>
    </row>
    <row r="768" spans="2:7" ht="15.75" customHeight="1" x14ac:dyDescent="0.2">
      <c r="B768" s="79"/>
      <c r="C768" s="79"/>
      <c r="D768" s="79"/>
      <c r="E768" s="79"/>
      <c r="F768" s="79"/>
      <c r="G768" s="79"/>
    </row>
    <row r="769" spans="2:7" ht="15.75" customHeight="1" x14ac:dyDescent="0.2">
      <c r="B769" s="79"/>
      <c r="C769" s="79"/>
      <c r="D769" s="79"/>
      <c r="E769" s="79"/>
      <c r="F769" s="79"/>
      <c r="G769" s="79"/>
    </row>
    <row r="770" spans="2:7" ht="15.75" customHeight="1" x14ac:dyDescent="0.2">
      <c r="B770" s="79"/>
      <c r="C770" s="79"/>
      <c r="D770" s="79"/>
      <c r="E770" s="79"/>
      <c r="F770" s="79"/>
      <c r="G770" s="79"/>
    </row>
    <row r="771" spans="2:7" ht="15.75" customHeight="1" x14ac:dyDescent="0.2">
      <c r="B771" s="79"/>
      <c r="C771" s="79"/>
      <c r="D771" s="79"/>
      <c r="E771" s="79"/>
      <c r="F771" s="79"/>
      <c r="G771" s="79"/>
    </row>
    <row r="772" spans="2:7" ht="15.75" customHeight="1" x14ac:dyDescent="0.2">
      <c r="B772" s="79"/>
      <c r="C772" s="79"/>
      <c r="D772" s="79"/>
      <c r="E772" s="79"/>
      <c r="F772" s="79"/>
      <c r="G772" s="79"/>
    </row>
    <row r="773" spans="2:7" ht="15.75" customHeight="1" x14ac:dyDescent="0.2">
      <c r="B773" s="79"/>
      <c r="C773" s="79"/>
      <c r="D773" s="79"/>
      <c r="E773" s="79"/>
      <c r="F773" s="79"/>
      <c r="G773" s="79"/>
    </row>
    <row r="774" spans="2:7" ht="15.75" customHeight="1" x14ac:dyDescent="0.2">
      <c r="B774" s="79"/>
      <c r="C774" s="79"/>
      <c r="D774" s="79"/>
      <c r="E774" s="79"/>
      <c r="F774" s="79"/>
      <c r="G774" s="79"/>
    </row>
    <row r="775" spans="2:7" ht="15.75" customHeight="1" x14ac:dyDescent="0.2">
      <c r="B775" s="79"/>
      <c r="C775" s="79"/>
      <c r="D775" s="79"/>
      <c r="E775" s="79"/>
      <c r="F775" s="79"/>
      <c r="G775" s="79"/>
    </row>
    <row r="776" spans="2:7" ht="15.75" customHeight="1" x14ac:dyDescent="0.2">
      <c r="B776" s="79"/>
      <c r="C776" s="79"/>
      <c r="D776" s="79"/>
      <c r="E776" s="79"/>
      <c r="F776" s="79"/>
      <c r="G776" s="79"/>
    </row>
    <row r="777" spans="2:7" ht="15.75" customHeight="1" x14ac:dyDescent="0.2">
      <c r="B777" s="79"/>
      <c r="C777" s="79"/>
      <c r="D777" s="79"/>
      <c r="E777" s="79"/>
      <c r="F777" s="79"/>
      <c r="G777" s="79"/>
    </row>
    <row r="778" spans="2:7" ht="15.75" customHeight="1" x14ac:dyDescent="0.2">
      <c r="B778" s="79"/>
      <c r="C778" s="79"/>
      <c r="D778" s="79"/>
      <c r="E778" s="79"/>
      <c r="F778" s="79"/>
      <c r="G778" s="79"/>
    </row>
    <row r="779" spans="2:7" ht="15.75" customHeight="1" x14ac:dyDescent="0.2">
      <c r="B779" s="79"/>
      <c r="C779" s="79"/>
      <c r="D779" s="79"/>
      <c r="E779" s="79"/>
      <c r="F779" s="79"/>
      <c r="G779" s="79"/>
    </row>
    <row r="780" spans="2:7" ht="15.75" customHeight="1" x14ac:dyDescent="0.2">
      <c r="B780" s="79"/>
      <c r="C780" s="79"/>
      <c r="D780" s="79"/>
      <c r="E780" s="79"/>
      <c r="F780" s="79"/>
      <c r="G780" s="79"/>
    </row>
    <row r="781" spans="2:7" ht="15.75" customHeight="1" x14ac:dyDescent="0.2">
      <c r="B781" s="79"/>
      <c r="C781" s="79"/>
      <c r="D781" s="79"/>
      <c r="E781" s="79"/>
      <c r="F781" s="79"/>
      <c r="G781" s="79"/>
    </row>
    <row r="782" spans="2:7" ht="15.75" customHeight="1" x14ac:dyDescent="0.2">
      <c r="B782" s="79"/>
      <c r="C782" s="79"/>
      <c r="D782" s="79"/>
      <c r="E782" s="79"/>
      <c r="F782" s="79"/>
      <c r="G782" s="79"/>
    </row>
    <row r="783" spans="2:7" ht="15.75" customHeight="1" x14ac:dyDescent="0.2">
      <c r="B783" s="79"/>
      <c r="C783" s="79"/>
      <c r="D783" s="79"/>
      <c r="E783" s="79"/>
      <c r="F783" s="79"/>
      <c r="G783" s="79"/>
    </row>
    <row r="784" spans="2:7" ht="15.75" customHeight="1" x14ac:dyDescent="0.2">
      <c r="B784" s="79"/>
      <c r="C784" s="79"/>
      <c r="D784" s="79"/>
      <c r="E784" s="79"/>
      <c r="F784" s="79"/>
      <c r="G784" s="79"/>
    </row>
    <row r="785" spans="2:7" ht="15.75" customHeight="1" x14ac:dyDescent="0.2">
      <c r="B785" s="79"/>
      <c r="C785" s="79"/>
      <c r="D785" s="79"/>
      <c r="E785" s="79"/>
      <c r="F785" s="79"/>
      <c r="G785" s="79"/>
    </row>
    <row r="786" spans="2:7" ht="15.75" customHeight="1" x14ac:dyDescent="0.2">
      <c r="B786" s="79"/>
      <c r="C786" s="79"/>
      <c r="D786" s="79"/>
      <c r="E786" s="79"/>
      <c r="F786" s="79"/>
      <c r="G786" s="79"/>
    </row>
    <row r="787" spans="2:7" ht="15.75" customHeight="1" x14ac:dyDescent="0.2">
      <c r="B787" s="79"/>
      <c r="C787" s="79"/>
      <c r="D787" s="79"/>
      <c r="E787" s="79"/>
      <c r="F787" s="79"/>
      <c r="G787" s="79"/>
    </row>
    <row r="788" spans="2:7" ht="15.75" customHeight="1" x14ac:dyDescent="0.2">
      <c r="B788" s="79"/>
      <c r="C788" s="79"/>
      <c r="D788" s="79"/>
      <c r="E788" s="79"/>
      <c r="F788" s="79"/>
      <c r="G788" s="79"/>
    </row>
    <row r="789" spans="2:7" ht="15.75" customHeight="1" x14ac:dyDescent="0.2">
      <c r="B789" s="79"/>
      <c r="C789" s="79"/>
      <c r="D789" s="79"/>
      <c r="E789" s="79"/>
      <c r="F789" s="79"/>
      <c r="G789" s="79"/>
    </row>
    <row r="790" spans="2:7" ht="15.75" customHeight="1" x14ac:dyDescent="0.2">
      <c r="B790" s="79"/>
      <c r="C790" s="79"/>
      <c r="D790" s="79"/>
      <c r="E790" s="79"/>
      <c r="F790" s="79"/>
      <c r="G790" s="79"/>
    </row>
    <row r="791" spans="2:7" ht="15.75" customHeight="1" x14ac:dyDescent="0.2">
      <c r="B791" s="79"/>
      <c r="C791" s="79"/>
      <c r="D791" s="79"/>
      <c r="E791" s="79"/>
      <c r="F791" s="79"/>
      <c r="G791" s="79"/>
    </row>
    <row r="792" spans="2:7" ht="15.75" customHeight="1" x14ac:dyDescent="0.2">
      <c r="B792" s="79"/>
      <c r="C792" s="79"/>
      <c r="D792" s="79"/>
      <c r="E792" s="79"/>
      <c r="F792" s="79"/>
      <c r="G792" s="79"/>
    </row>
    <row r="793" spans="2:7" ht="15.75" customHeight="1" x14ac:dyDescent="0.2">
      <c r="B793" s="79"/>
      <c r="C793" s="79"/>
      <c r="D793" s="79"/>
      <c r="E793" s="79"/>
      <c r="F793" s="79"/>
      <c r="G793" s="79"/>
    </row>
    <row r="794" spans="2:7" ht="15.75" customHeight="1" x14ac:dyDescent="0.2">
      <c r="B794" s="79"/>
      <c r="C794" s="79"/>
      <c r="D794" s="79"/>
      <c r="E794" s="79"/>
      <c r="F794" s="79"/>
      <c r="G794" s="79"/>
    </row>
    <row r="795" spans="2:7" ht="15.75" customHeight="1" x14ac:dyDescent="0.2">
      <c r="B795" s="79"/>
      <c r="C795" s="79"/>
      <c r="D795" s="79"/>
      <c r="E795" s="79"/>
      <c r="F795" s="79"/>
      <c r="G795" s="79"/>
    </row>
    <row r="796" spans="2:7" ht="15.75" customHeight="1" x14ac:dyDescent="0.2">
      <c r="B796" s="79"/>
      <c r="C796" s="79"/>
      <c r="D796" s="79"/>
      <c r="E796" s="79"/>
      <c r="F796" s="79"/>
      <c r="G796" s="79"/>
    </row>
    <row r="797" spans="2:7" ht="15.75" customHeight="1" x14ac:dyDescent="0.2">
      <c r="B797" s="79"/>
      <c r="C797" s="79"/>
      <c r="D797" s="79"/>
      <c r="E797" s="79"/>
      <c r="F797" s="79"/>
      <c r="G797" s="79"/>
    </row>
    <row r="798" spans="2:7" ht="15.75" customHeight="1" x14ac:dyDescent="0.2">
      <c r="B798" s="79"/>
      <c r="C798" s="79"/>
      <c r="D798" s="79"/>
      <c r="E798" s="79"/>
      <c r="F798" s="79"/>
      <c r="G798" s="79"/>
    </row>
    <row r="799" spans="2:7" ht="15.75" customHeight="1" x14ac:dyDescent="0.2">
      <c r="B799" s="79"/>
      <c r="C799" s="79"/>
      <c r="D799" s="79"/>
      <c r="E799" s="79"/>
      <c r="F799" s="79"/>
      <c r="G799" s="79"/>
    </row>
    <row r="800" spans="2:7" ht="15.75" customHeight="1" x14ac:dyDescent="0.2">
      <c r="B800" s="79"/>
      <c r="C800" s="79"/>
      <c r="D800" s="79"/>
      <c r="E800" s="79"/>
      <c r="F800" s="79"/>
      <c r="G800" s="79"/>
    </row>
    <row r="801" spans="2:7" ht="15.75" customHeight="1" x14ac:dyDescent="0.2">
      <c r="B801" s="79"/>
      <c r="C801" s="79"/>
      <c r="D801" s="79"/>
      <c r="E801" s="79"/>
      <c r="F801" s="79"/>
      <c r="G801" s="79"/>
    </row>
    <row r="802" spans="2:7" ht="15.75" customHeight="1" x14ac:dyDescent="0.2">
      <c r="B802" s="79"/>
      <c r="C802" s="79"/>
      <c r="D802" s="79"/>
      <c r="E802" s="79"/>
      <c r="F802" s="79"/>
      <c r="G802" s="79"/>
    </row>
    <row r="803" spans="2:7" ht="15.75" customHeight="1" x14ac:dyDescent="0.2">
      <c r="B803" s="79"/>
      <c r="C803" s="79"/>
      <c r="D803" s="79"/>
      <c r="E803" s="79"/>
      <c r="F803" s="79"/>
      <c r="G803" s="79"/>
    </row>
    <row r="804" spans="2:7" ht="15.75" customHeight="1" x14ac:dyDescent="0.2">
      <c r="B804" s="79"/>
      <c r="C804" s="79"/>
      <c r="D804" s="79"/>
      <c r="E804" s="79"/>
      <c r="F804" s="79"/>
      <c r="G804" s="79"/>
    </row>
    <row r="805" spans="2:7" ht="15.75" customHeight="1" x14ac:dyDescent="0.2">
      <c r="B805" s="79"/>
      <c r="C805" s="79"/>
      <c r="D805" s="79"/>
      <c r="E805" s="79"/>
      <c r="F805" s="79"/>
      <c r="G805" s="79"/>
    </row>
    <row r="806" spans="2:7" ht="15.75" customHeight="1" x14ac:dyDescent="0.2">
      <c r="B806" s="79"/>
      <c r="C806" s="79"/>
      <c r="D806" s="79"/>
      <c r="E806" s="79"/>
      <c r="F806" s="79"/>
      <c r="G806" s="79"/>
    </row>
    <row r="807" spans="2:7" ht="15.75" customHeight="1" x14ac:dyDescent="0.2">
      <c r="B807" s="79"/>
      <c r="C807" s="79"/>
      <c r="D807" s="79"/>
      <c r="E807" s="79"/>
      <c r="F807" s="79"/>
      <c r="G807" s="79"/>
    </row>
    <row r="808" spans="2:7" ht="15.75" customHeight="1" x14ac:dyDescent="0.2">
      <c r="B808" s="79"/>
      <c r="C808" s="79"/>
      <c r="D808" s="79"/>
      <c r="E808" s="79"/>
      <c r="F808" s="79"/>
      <c r="G808" s="79"/>
    </row>
    <row r="809" spans="2:7" ht="15.75" customHeight="1" x14ac:dyDescent="0.2">
      <c r="B809" s="79"/>
      <c r="C809" s="79"/>
      <c r="D809" s="79"/>
      <c r="E809" s="79"/>
      <c r="F809" s="79"/>
      <c r="G809" s="79"/>
    </row>
    <row r="810" spans="2:7" ht="15.75" customHeight="1" x14ac:dyDescent="0.2">
      <c r="B810" s="79"/>
      <c r="C810" s="79"/>
      <c r="D810" s="79"/>
      <c r="E810" s="79"/>
      <c r="F810" s="79"/>
      <c r="G810" s="79"/>
    </row>
    <row r="811" spans="2:7" ht="15.75" customHeight="1" x14ac:dyDescent="0.2">
      <c r="B811" s="79"/>
      <c r="C811" s="79"/>
      <c r="D811" s="79"/>
      <c r="E811" s="79"/>
      <c r="F811" s="79"/>
      <c r="G811" s="79"/>
    </row>
    <row r="812" spans="2:7" ht="15.75" customHeight="1" x14ac:dyDescent="0.2">
      <c r="B812" s="79"/>
      <c r="C812" s="79"/>
      <c r="D812" s="79"/>
      <c r="E812" s="79"/>
      <c r="F812" s="79"/>
      <c r="G812" s="79"/>
    </row>
    <row r="813" spans="2:7" ht="15.75" customHeight="1" x14ac:dyDescent="0.2">
      <c r="B813" s="79"/>
      <c r="C813" s="79"/>
      <c r="D813" s="79"/>
      <c r="E813" s="79"/>
      <c r="F813" s="79"/>
      <c r="G813" s="79"/>
    </row>
    <row r="814" spans="2:7" ht="15.75" customHeight="1" x14ac:dyDescent="0.2">
      <c r="B814" s="79"/>
      <c r="C814" s="79"/>
      <c r="D814" s="79"/>
      <c r="E814" s="79"/>
      <c r="F814" s="79"/>
      <c r="G814" s="79"/>
    </row>
    <row r="815" spans="2:7" ht="15.75" customHeight="1" x14ac:dyDescent="0.2">
      <c r="B815" s="79"/>
      <c r="C815" s="79"/>
      <c r="D815" s="79"/>
      <c r="E815" s="79"/>
      <c r="F815" s="79"/>
      <c r="G815" s="79"/>
    </row>
    <row r="816" spans="2:7" ht="15.75" customHeight="1" x14ac:dyDescent="0.2">
      <c r="B816" s="79"/>
      <c r="C816" s="79"/>
      <c r="D816" s="79"/>
      <c r="E816" s="79"/>
      <c r="F816" s="79"/>
      <c r="G816" s="79"/>
    </row>
    <row r="817" spans="2:7" ht="15.75" customHeight="1" x14ac:dyDescent="0.2">
      <c r="B817" s="79"/>
      <c r="C817" s="79"/>
      <c r="D817" s="79"/>
      <c r="E817" s="79"/>
      <c r="F817" s="79"/>
      <c r="G817" s="79"/>
    </row>
    <row r="818" spans="2:7" ht="15.75" customHeight="1" x14ac:dyDescent="0.2">
      <c r="B818" s="79"/>
      <c r="C818" s="79"/>
      <c r="D818" s="79"/>
      <c r="E818" s="79"/>
      <c r="F818" s="79"/>
      <c r="G818" s="79"/>
    </row>
    <row r="819" spans="2:7" ht="15.75" customHeight="1" x14ac:dyDescent="0.2">
      <c r="B819" s="79"/>
      <c r="C819" s="79"/>
      <c r="D819" s="79"/>
      <c r="E819" s="79"/>
      <c r="F819" s="79"/>
      <c r="G819" s="79"/>
    </row>
    <row r="820" spans="2:7" ht="15.75" customHeight="1" x14ac:dyDescent="0.2">
      <c r="B820" s="79"/>
      <c r="C820" s="79"/>
      <c r="D820" s="79"/>
      <c r="E820" s="79"/>
      <c r="F820" s="79"/>
      <c r="G820" s="79"/>
    </row>
    <row r="821" spans="2:7" ht="15.75" customHeight="1" x14ac:dyDescent="0.2">
      <c r="B821" s="79"/>
      <c r="C821" s="79"/>
      <c r="D821" s="79"/>
      <c r="E821" s="79"/>
      <c r="F821" s="79"/>
      <c r="G821" s="79"/>
    </row>
    <row r="822" spans="2:7" ht="15.75" customHeight="1" x14ac:dyDescent="0.2">
      <c r="B822" s="79"/>
      <c r="C822" s="79"/>
      <c r="D822" s="79"/>
      <c r="E822" s="79"/>
      <c r="F822" s="79"/>
      <c r="G822" s="79"/>
    </row>
    <row r="823" spans="2:7" ht="15.75" customHeight="1" x14ac:dyDescent="0.2">
      <c r="B823" s="79"/>
      <c r="C823" s="79"/>
      <c r="D823" s="79"/>
      <c r="E823" s="79"/>
      <c r="F823" s="79"/>
      <c r="G823" s="79"/>
    </row>
    <row r="824" spans="2:7" ht="15.75" customHeight="1" x14ac:dyDescent="0.2">
      <c r="B824" s="79"/>
      <c r="C824" s="79"/>
      <c r="D824" s="79"/>
      <c r="E824" s="79"/>
      <c r="F824" s="79"/>
      <c r="G824" s="79"/>
    </row>
    <row r="825" spans="2:7" ht="15.75" customHeight="1" x14ac:dyDescent="0.2">
      <c r="B825" s="79"/>
      <c r="C825" s="79"/>
      <c r="D825" s="79"/>
      <c r="E825" s="79"/>
      <c r="F825" s="79"/>
      <c r="G825" s="79"/>
    </row>
    <row r="826" spans="2:7" ht="15.75" customHeight="1" x14ac:dyDescent="0.2">
      <c r="B826" s="79"/>
      <c r="C826" s="79"/>
      <c r="D826" s="79"/>
      <c r="E826" s="79"/>
      <c r="F826" s="79"/>
      <c r="G826" s="79"/>
    </row>
    <row r="827" spans="2:7" ht="15.75" customHeight="1" x14ac:dyDescent="0.2">
      <c r="B827" s="79"/>
      <c r="C827" s="79"/>
      <c r="D827" s="79"/>
      <c r="E827" s="79"/>
      <c r="F827" s="79"/>
      <c r="G827" s="79"/>
    </row>
    <row r="828" spans="2:7" ht="15.75" customHeight="1" x14ac:dyDescent="0.2">
      <c r="B828" s="79"/>
      <c r="C828" s="79"/>
      <c r="D828" s="79"/>
      <c r="E828" s="79"/>
      <c r="F828" s="79"/>
      <c r="G828" s="79"/>
    </row>
    <row r="829" spans="2:7" ht="15.75" customHeight="1" x14ac:dyDescent="0.2">
      <c r="B829" s="79"/>
      <c r="C829" s="79"/>
      <c r="D829" s="79"/>
      <c r="E829" s="79"/>
      <c r="F829" s="79"/>
      <c r="G829" s="79"/>
    </row>
    <row r="830" spans="2:7" ht="15.75" customHeight="1" x14ac:dyDescent="0.2">
      <c r="B830" s="79"/>
      <c r="C830" s="79"/>
      <c r="D830" s="79"/>
      <c r="E830" s="79"/>
      <c r="F830" s="79"/>
      <c r="G830" s="79"/>
    </row>
    <row r="831" spans="2:7" ht="15.75" customHeight="1" x14ac:dyDescent="0.2">
      <c r="B831" s="79"/>
      <c r="C831" s="79"/>
      <c r="D831" s="79"/>
      <c r="E831" s="79"/>
      <c r="F831" s="79"/>
      <c r="G831" s="79"/>
    </row>
    <row r="832" spans="2:7" ht="15.75" customHeight="1" x14ac:dyDescent="0.2">
      <c r="B832" s="79"/>
      <c r="C832" s="79"/>
      <c r="D832" s="79"/>
      <c r="E832" s="79"/>
      <c r="F832" s="79"/>
      <c r="G832" s="79"/>
    </row>
    <row r="833" spans="2:7" ht="15.75" customHeight="1" x14ac:dyDescent="0.2">
      <c r="B833" s="79"/>
      <c r="C833" s="79"/>
      <c r="D833" s="79"/>
      <c r="E833" s="79"/>
      <c r="F833" s="79"/>
      <c r="G833" s="79"/>
    </row>
    <row r="834" spans="2:7" ht="15.75" customHeight="1" x14ac:dyDescent="0.2">
      <c r="B834" s="79"/>
      <c r="C834" s="79"/>
      <c r="D834" s="79"/>
      <c r="E834" s="79"/>
      <c r="F834" s="79"/>
      <c r="G834" s="79"/>
    </row>
    <row r="835" spans="2:7" ht="15.75" customHeight="1" x14ac:dyDescent="0.2">
      <c r="B835" s="79"/>
      <c r="C835" s="79"/>
      <c r="D835" s="79"/>
      <c r="E835" s="79"/>
      <c r="F835" s="79"/>
      <c r="G835" s="79"/>
    </row>
    <row r="836" spans="2:7" ht="15.75" customHeight="1" x14ac:dyDescent="0.2">
      <c r="B836" s="79"/>
      <c r="C836" s="79"/>
      <c r="D836" s="79"/>
      <c r="E836" s="79"/>
      <c r="F836" s="79"/>
      <c r="G836" s="79"/>
    </row>
    <row r="837" spans="2:7" ht="15.75" customHeight="1" x14ac:dyDescent="0.2">
      <c r="B837" s="79"/>
      <c r="C837" s="79"/>
      <c r="D837" s="79"/>
      <c r="E837" s="79"/>
      <c r="F837" s="79"/>
      <c r="G837" s="79"/>
    </row>
    <row r="838" spans="2:7" ht="15.75" customHeight="1" x14ac:dyDescent="0.2">
      <c r="B838" s="79"/>
      <c r="C838" s="79"/>
      <c r="D838" s="79"/>
      <c r="E838" s="79"/>
      <c r="F838" s="79"/>
      <c r="G838" s="79"/>
    </row>
    <row r="839" spans="2:7" ht="15.75" customHeight="1" x14ac:dyDescent="0.2">
      <c r="B839" s="79"/>
      <c r="C839" s="79"/>
      <c r="D839" s="79"/>
      <c r="E839" s="79"/>
      <c r="F839" s="79"/>
      <c r="G839" s="79"/>
    </row>
    <row r="840" spans="2:7" ht="15.75" customHeight="1" x14ac:dyDescent="0.2">
      <c r="B840" s="79"/>
      <c r="C840" s="79"/>
      <c r="D840" s="79"/>
      <c r="E840" s="79"/>
      <c r="F840" s="79"/>
      <c r="G840" s="79"/>
    </row>
    <row r="841" spans="2:7" ht="15.75" customHeight="1" x14ac:dyDescent="0.2">
      <c r="B841" s="79"/>
      <c r="C841" s="79"/>
      <c r="D841" s="79"/>
      <c r="E841" s="79"/>
      <c r="F841" s="79"/>
      <c r="G841" s="79"/>
    </row>
    <row r="842" spans="2:7" ht="15.75" customHeight="1" x14ac:dyDescent="0.2">
      <c r="B842" s="79"/>
      <c r="C842" s="79"/>
      <c r="D842" s="79"/>
      <c r="E842" s="79"/>
      <c r="F842" s="79"/>
      <c r="G842" s="79"/>
    </row>
    <row r="843" spans="2:7" ht="15.75" customHeight="1" x14ac:dyDescent="0.2">
      <c r="B843" s="79"/>
      <c r="C843" s="79"/>
      <c r="D843" s="79"/>
      <c r="E843" s="79"/>
      <c r="F843" s="79"/>
      <c r="G843" s="79"/>
    </row>
    <row r="844" spans="2:7" ht="15.75" customHeight="1" x14ac:dyDescent="0.2">
      <c r="B844" s="79"/>
      <c r="C844" s="79"/>
      <c r="D844" s="79"/>
      <c r="E844" s="79"/>
      <c r="F844" s="79"/>
      <c r="G844" s="79"/>
    </row>
    <row r="845" spans="2:7" ht="15.75" customHeight="1" x14ac:dyDescent="0.2">
      <c r="B845" s="79"/>
      <c r="C845" s="79"/>
      <c r="D845" s="79"/>
      <c r="E845" s="79"/>
      <c r="F845" s="79"/>
      <c r="G845" s="79"/>
    </row>
    <row r="846" spans="2:7" ht="15.75" customHeight="1" x14ac:dyDescent="0.2">
      <c r="B846" s="79"/>
      <c r="C846" s="79"/>
      <c r="D846" s="79"/>
      <c r="E846" s="79"/>
      <c r="F846" s="79"/>
      <c r="G846" s="79"/>
    </row>
    <row r="847" spans="2:7" ht="15.75" customHeight="1" x14ac:dyDescent="0.2">
      <c r="B847" s="79"/>
      <c r="C847" s="79"/>
      <c r="D847" s="79"/>
      <c r="E847" s="79"/>
      <c r="F847" s="79"/>
      <c r="G847" s="79"/>
    </row>
    <row r="848" spans="2:7" ht="15.75" customHeight="1" x14ac:dyDescent="0.2">
      <c r="B848" s="79"/>
      <c r="C848" s="79"/>
      <c r="D848" s="79"/>
      <c r="E848" s="79"/>
      <c r="F848" s="79"/>
      <c r="G848" s="79"/>
    </row>
    <row r="849" spans="2:7" ht="15.75" customHeight="1" x14ac:dyDescent="0.2">
      <c r="B849" s="79"/>
      <c r="C849" s="79"/>
      <c r="D849" s="79"/>
      <c r="E849" s="79"/>
      <c r="F849" s="79"/>
      <c r="G849" s="79"/>
    </row>
    <row r="850" spans="2:7" ht="15.75" customHeight="1" x14ac:dyDescent="0.2">
      <c r="B850" s="79"/>
      <c r="C850" s="79"/>
      <c r="D850" s="79"/>
      <c r="E850" s="79"/>
      <c r="F850" s="79"/>
      <c r="G850" s="79"/>
    </row>
    <row r="851" spans="2:7" ht="15.75" customHeight="1" x14ac:dyDescent="0.2">
      <c r="B851" s="79"/>
      <c r="C851" s="79"/>
      <c r="D851" s="79"/>
      <c r="E851" s="79"/>
      <c r="F851" s="79"/>
      <c r="G851" s="79"/>
    </row>
    <row r="852" spans="2:7" ht="15.75" customHeight="1" x14ac:dyDescent="0.2">
      <c r="B852" s="79"/>
      <c r="C852" s="79"/>
      <c r="D852" s="79"/>
      <c r="E852" s="79"/>
      <c r="F852" s="79"/>
      <c r="G852" s="79"/>
    </row>
    <row r="853" spans="2:7" ht="15.75" customHeight="1" x14ac:dyDescent="0.2">
      <c r="B853" s="79"/>
      <c r="C853" s="79"/>
      <c r="D853" s="79"/>
      <c r="E853" s="79"/>
      <c r="F853" s="79"/>
      <c r="G853" s="79"/>
    </row>
    <row r="854" spans="2:7" ht="15.75" customHeight="1" x14ac:dyDescent="0.2">
      <c r="B854" s="79"/>
      <c r="C854" s="79"/>
      <c r="D854" s="79"/>
      <c r="E854" s="79"/>
      <c r="F854" s="79"/>
      <c r="G854" s="79"/>
    </row>
    <row r="855" spans="2:7" ht="15.75" customHeight="1" x14ac:dyDescent="0.2">
      <c r="B855" s="79"/>
      <c r="C855" s="79"/>
      <c r="D855" s="79"/>
      <c r="E855" s="79"/>
      <c r="F855" s="79"/>
      <c r="G855" s="79"/>
    </row>
    <row r="856" spans="2:7" ht="15.75" customHeight="1" x14ac:dyDescent="0.2">
      <c r="B856" s="79"/>
      <c r="C856" s="79"/>
      <c r="D856" s="79"/>
      <c r="E856" s="79"/>
      <c r="F856" s="79"/>
      <c r="G856" s="79"/>
    </row>
    <row r="857" spans="2:7" ht="15.75" customHeight="1" x14ac:dyDescent="0.2">
      <c r="B857" s="79"/>
      <c r="C857" s="79"/>
      <c r="D857" s="79"/>
      <c r="E857" s="79"/>
      <c r="F857" s="79"/>
      <c r="G857" s="79"/>
    </row>
    <row r="858" spans="2:7" ht="15.75" customHeight="1" x14ac:dyDescent="0.2">
      <c r="B858" s="79"/>
      <c r="C858" s="79"/>
      <c r="D858" s="79"/>
      <c r="E858" s="79"/>
      <c r="F858" s="79"/>
      <c r="G858" s="79"/>
    </row>
    <row r="859" spans="2:7" ht="15.75" customHeight="1" x14ac:dyDescent="0.2">
      <c r="B859" s="79"/>
      <c r="C859" s="79"/>
      <c r="D859" s="79"/>
      <c r="E859" s="79"/>
      <c r="F859" s="79"/>
      <c r="G859" s="79"/>
    </row>
    <row r="860" spans="2:7" ht="15.75" customHeight="1" x14ac:dyDescent="0.2">
      <c r="B860" s="79"/>
      <c r="C860" s="79"/>
      <c r="D860" s="79"/>
      <c r="E860" s="79"/>
      <c r="F860" s="79"/>
      <c r="G860" s="79"/>
    </row>
    <row r="861" spans="2:7" ht="15.75" customHeight="1" x14ac:dyDescent="0.2">
      <c r="B861" s="79"/>
      <c r="C861" s="79"/>
      <c r="D861" s="79"/>
      <c r="E861" s="79"/>
      <c r="F861" s="79"/>
      <c r="G861" s="79"/>
    </row>
    <row r="862" spans="2:7" ht="15.75" customHeight="1" x14ac:dyDescent="0.2">
      <c r="B862" s="79"/>
      <c r="C862" s="79"/>
      <c r="D862" s="79"/>
      <c r="E862" s="79"/>
      <c r="F862" s="79"/>
      <c r="G862" s="79"/>
    </row>
    <row r="863" spans="2:7" ht="15.75" customHeight="1" x14ac:dyDescent="0.2">
      <c r="B863" s="79"/>
      <c r="C863" s="79"/>
      <c r="D863" s="79"/>
      <c r="E863" s="79"/>
      <c r="F863" s="79"/>
      <c r="G863" s="79"/>
    </row>
    <row r="864" spans="2:7" ht="15.75" customHeight="1" x14ac:dyDescent="0.2">
      <c r="B864" s="79"/>
      <c r="C864" s="79"/>
      <c r="D864" s="79"/>
      <c r="E864" s="79"/>
      <c r="F864" s="79"/>
      <c r="G864" s="79"/>
    </row>
    <row r="865" spans="2:7" ht="15.75" customHeight="1" x14ac:dyDescent="0.2">
      <c r="B865" s="79"/>
      <c r="C865" s="79"/>
      <c r="D865" s="79"/>
      <c r="E865" s="79"/>
      <c r="F865" s="79"/>
      <c r="G865" s="79"/>
    </row>
    <row r="866" spans="2:7" ht="15.75" customHeight="1" x14ac:dyDescent="0.2">
      <c r="B866" s="79"/>
      <c r="C866" s="79"/>
      <c r="D866" s="79"/>
      <c r="E866" s="79"/>
      <c r="F866" s="79"/>
      <c r="G866" s="79"/>
    </row>
    <row r="867" spans="2:7" ht="15.75" customHeight="1" x14ac:dyDescent="0.2">
      <c r="B867" s="79"/>
      <c r="C867" s="79"/>
      <c r="D867" s="79"/>
      <c r="E867" s="79"/>
      <c r="F867" s="79"/>
      <c r="G867" s="79"/>
    </row>
    <row r="868" spans="2:7" ht="15.75" customHeight="1" x14ac:dyDescent="0.2">
      <c r="B868" s="79"/>
      <c r="C868" s="79"/>
      <c r="D868" s="79"/>
      <c r="E868" s="79"/>
      <c r="F868" s="79"/>
      <c r="G868" s="79"/>
    </row>
    <row r="869" spans="2:7" ht="15.75" customHeight="1" x14ac:dyDescent="0.2">
      <c r="B869" s="79"/>
      <c r="C869" s="79"/>
      <c r="D869" s="79"/>
      <c r="E869" s="79"/>
      <c r="F869" s="79"/>
      <c r="G869" s="79"/>
    </row>
    <row r="870" spans="2:7" ht="15.75" customHeight="1" x14ac:dyDescent="0.2">
      <c r="B870" s="79"/>
      <c r="C870" s="79"/>
      <c r="D870" s="79"/>
      <c r="E870" s="79"/>
      <c r="F870" s="79"/>
      <c r="G870" s="79"/>
    </row>
    <row r="871" spans="2:7" ht="15.75" customHeight="1" x14ac:dyDescent="0.2">
      <c r="B871" s="79"/>
      <c r="C871" s="79"/>
      <c r="D871" s="79"/>
      <c r="E871" s="79"/>
      <c r="F871" s="79"/>
      <c r="G871" s="79"/>
    </row>
    <row r="872" spans="2:7" ht="15.75" customHeight="1" x14ac:dyDescent="0.2">
      <c r="B872" s="79"/>
      <c r="C872" s="79"/>
      <c r="D872" s="79"/>
      <c r="E872" s="79"/>
      <c r="F872" s="79"/>
      <c r="G872" s="79"/>
    </row>
    <row r="873" spans="2:7" ht="15.75" customHeight="1" x14ac:dyDescent="0.2">
      <c r="B873" s="79"/>
      <c r="C873" s="79"/>
      <c r="D873" s="79"/>
      <c r="E873" s="79"/>
      <c r="F873" s="79"/>
      <c r="G873" s="79"/>
    </row>
    <row r="874" spans="2:7" ht="15.75" customHeight="1" x14ac:dyDescent="0.2">
      <c r="B874" s="79"/>
      <c r="C874" s="79"/>
      <c r="D874" s="79"/>
      <c r="E874" s="79"/>
      <c r="F874" s="79"/>
      <c r="G874" s="79"/>
    </row>
    <row r="875" spans="2:7" ht="15.75" customHeight="1" x14ac:dyDescent="0.2">
      <c r="B875" s="79"/>
      <c r="C875" s="79"/>
      <c r="D875" s="79"/>
      <c r="E875" s="79"/>
      <c r="F875" s="79"/>
      <c r="G875" s="79"/>
    </row>
    <row r="876" spans="2:7" ht="15.75" customHeight="1" x14ac:dyDescent="0.2">
      <c r="B876" s="79"/>
      <c r="C876" s="79"/>
      <c r="D876" s="79"/>
      <c r="E876" s="79"/>
      <c r="F876" s="79"/>
      <c r="G876" s="79"/>
    </row>
    <row r="877" spans="2:7" ht="15.75" customHeight="1" x14ac:dyDescent="0.2">
      <c r="B877" s="79"/>
      <c r="C877" s="79"/>
      <c r="D877" s="79"/>
      <c r="E877" s="79"/>
      <c r="F877" s="79"/>
      <c r="G877" s="79"/>
    </row>
    <row r="878" spans="2:7" ht="15.75" customHeight="1" x14ac:dyDescent="0.2">
      <c r="B878" s="79"/>
      <c r="C878" s="79"/>
      <c r="D878" s="79"/>
      <c r="E878" s="79"/>
      <c r="F878" s="79"/>
      <c r="G878" s="79"/>
    </row>
    <row r="879" spans="2:7" ht="15.75" customHeight="1" x14ac:dyDescent="0.2">
      <c r="B879" s="79"/>
      <c r="C879" s="79"/>
      <c r="D879" s="79"/>
      <c r="E879" s="79"/>
      <c r="F879" s="79"/>
      <c r="G879" s="79"/>
    </row>
    <row r="880" spans="2:7" ht="15.75" customHeight="1" x14ac:dyDescent="0.2">
      <c r="B880" s="79"/>
      <c r="C880" s="79"/>
      <c r="D880" s="79"/>
      <c r="E880" s="79"/>
      <c r="F880" s="79"/>
      <c r="G880" s="79"/>
    </row>
    <row r="881" spans="2:7" ht="15.75" customHeight="1" x14ac:dyDescent="0.2">
      <c r="B881" s="79"/>
      <c r="C881" s="79"/>
      <c r="D881" s="79"/>
      <c r="E881" s="79"/>
      <c r="F881" s="79"/>
      <c r="G881" s="79"/>
    </row>
    <row r="882" spans="2:7" ht="15.75" customHeight="1" x14ac:dyDescent="0.2">
      <c r="B882" s="79"/>
      <c r="C882" s="79"/>
      <c r="D882" s="79"/>
      <c r="E882" s="79"/>
      <c r="F882" s="79"/>
      <c r="G882" s="79"/>
    </row>
    <row r="883" spans="2:7" ht="15.75" customHeight="1" x14ac:dyDescent="0.2">
      <c r="B883" s="79"/>
      <c r="C883" s="79"/>
      <c r="D883" s="79"/>
      <c r="E883" s="79"/>
      <c r="F883" s="79"/>
      <c r="G883" s="79"/>
    </row>
    <row r="884" spans="2:7" ht="15.75" customHeight="1" x14ac:dyDescent="0.2">
      <c r="B884" s="79"/>
      <c r="C884" s="79"/>
      <c r="D884" s="79"/>
      <c r="E884" s="79"/>
      <c r="F884" s="79"/>
      <c r="G884" s="79"/>
    </row>
    <row r="885" spans="2:7" ht="15.75" customHeight="1" x14ac:dyDescent="0.2">
      <c r="B885" s="79"/>
      <c r="C885" s="79"/>
      <c r="D885" s="79"/>
      <c r="E885" s="79"/>
      <c r="F885" s="79"/>
      <c r="G885" s="79"/>
    </row>
    <row r="886" spans="2:7" ht="15.75" customHeight="1" x14ac:dyDescent="0.2">
      <c r="B886" s="79"/>
      <c r="C886" s="79"/>
      <c r="D886" s="79"/>
      <c r="E886" s="79"/>
      <c r="F886" s="79"/>
      <c r="G886" s="79"/>
    </row>
    <row r="887" spans="2:7" ht="15.75" customHeight="1" x14ac:dyDescent="0.2">
      <c r="B887" s="79"/>
      <c r="C887" s="79"/>
      <c r="D887" s="79"/>
      <c r="E887" s="79"/>
      <c r="F887" s="79"/>
      <c r="G887" s="79"/>
    </row>
    <row r="888" spans="2:7" ht="15.75" customHeight="1" x14ac:dyDescent="0.2">
      <c r="B888" s="79"/>
      <c r="C888" s="79"/>
      <c r="D888" s="79"/>
      <c r="E888" s="79"/>
      <c r="F888" s="79"/>
      <c r="G888" s="79"/>
    </row>
    <row r="889" spans="2:7" ht="15.75" customHeight="1" x14ac:dyDescent="0.2">
      <c r="B889" s="79"/>
      <c r="C889" s="79"/>
      <c r="D889" s="79"/>
      <c r="E889" s="79"/>
      <c r="F889" s="79"/>
      <c r="G889" s="79"/>
    </row>
    <row r="890" spans="2:7" ht="15.75" customHeight="1" x14ac:dyDescent="0.2">
      <c r="B890" s="79"/>
      <c r="C890" s="79"/>
      <c r="D890" s="79"/>
      <c r="E890" s="79"/>
      <c r="F890" s="79"/>
      <c r="G890" s="79"/>
    </row>
    <row r="891" spans="2:7" ht="15.75" customHeight="1" x14ac:dyDescent="0.2">
      <c r="B891" s="79"/>
      <c r="C891" s="79"/>
      <c r="D891" s="79"/>
      <c r="E891" s="79"/>
      <c r="F891" s="79"/>
      <c r="G891" s="79"/>
    </row>
    <row r="892" spans="2:7" ht="15.75" customHeight="1" x14ac:dyDescent="0.2">
      <c r="B892" s="79"/>
      <c r="C892" s="79"/>
      <c r="D892" s="79"/>
      <c r="E892" s="79"/>
      <c r="F892" s="79"/>
      <c r="G892" s="79"/>
    </row>
    <row r="893" spans="2:7" ht="15.75" customHeight="1" x14ac:dyDescent="0.2">
      <c r="B893" s="79"/>
      <c r="C893" s="79"/>
      <c r="D893" s="79"/>
      <c r="E893" s="79"/>
      <c r="F893" s="79"/>
      <c r="G893" s="79"/>
    </row>
    <row r="894" spans="2:7" ht="15.75" customHeight="1" x14ac:dyDescent="0.2">
      <c r="B894" s="79"/>
      <c r="C894" s="79"/>
      <c r="D894" s="79"/>
      <c r="E894" s="79"/>
      <c r="F894" s="79"/>
      <c r="G894" s="79"/>
    </row>
    <row r="895" spans="2:7" ht="15.75" customHeight="1" x14ac:dyDescent="0.2">
      <c r="B895" s="79"/>
      <c r="C895" s="79"/>
      <c r="D895" s="79"/>
      <c r="E895" s="79"/>
      <c r="F895" s="79"/>
      <c r="G895" s="79"/>
    </row>
    <row r="896" spans="2:7" ht="15.75" customHeight="1" x14ac:dyDescent="0.2">
      <c r="B896" s="79"/>
      <c r="C896" s="79"/>
      <c r="D896" s="79"/>
      <c r="E896" s="79"/>
      <c r="F896" s="79"/>
      <c r="G896" s="79"/>
    </row>
    <row r="897" spans="2:7" ht="15.75" customHeight="1" x14ac:dyDescent="0.2">
      <c r="B897" s="79"/>
      <c r="C897" s="79"/>
      <c r="D897" s="79"/>
      <c r="E897" s="79"/>
      <c r="F897" s="79"/>
      <c r="G897" s="79"/>
    </row>
    <row r="898" spans="2:7" ht="15.75" customHeight="1" x14ac:dyDescent="0.2">
      <c r="B898" s="79"/>
      <c r="C898" s="79"/>
      <c r="D898" s="79"/>
      <c r="E898" s="79"/>
      <c r="F898" s="79"/>
      <c r="G898" s="79"/>
    </row>
    <row r="899" spans="2:7" ht="15.75" customHeight="1" x14ac:dyDescent="0.2">
      <c r="B899" s="79"/>
      <c r="C899" s="79"/>
      <c r="D899" s="79"/>
      <c r="E899" s="79"/>
      <c r="F899" s="79"/>
      <c r="G899" s="79"/>
    </row>
    <row r="900" spans="2:7" ht="15.75" customHeight="1" x14ac:dyDescent="0.2">
      <c r="B900" s="79"/>
      <c r="C900" s="79"/>
      <c r="D900" s="79"/>
      <c r="E900" s="79"/>
      <c r="F900" s="79"/>
      <c r="G900" s="79"/>
    </row>
    <row r="901" spans="2:7" ht="15.75" customHeight="1" x14ac:dyDescent="0.2">
      <c r="B901" s="79"/>
      <c r="C901" s="79"/>
      <c r="D901" s="79"/>
      <c r="E901" s="79"/>
      <c r="F901" s="79"/>
      <c r="G901" s="79"/>
    </row>
    <row r="902" spans="2:7" ht="15.75" customHeight="1" x14ac:dyDescent="0.2">
      <c r="B902" s="79"/>
      <c r="C902" s="79"/>
      <c r="D902" s="79"/>
      <c r="E902" s="79"/>
      <c r="F902" s="79"/>
      <c r="G902" s="79"/>
    </row>
    <row r="903" spans="2:7" ht="15.75" customHeight="1" x14ac:dyDescent="0.2">
      <c r="B903" s="79"/>
      <c r="C903" s="79"/>
      <c r="D903" s="79"/>
      <c r="E903" s="79"/>
      <c r="F903" s="79"/>
      <c r="G903" s="79"/>
    </row>
    <row r="904" spans="2:7" ht="15.75" customHeight="1" x14ac:dyDescent="0.2">
      <c r="B904" s="79"/>
      <c r="C904" s="79"/>
      <c r="D904" s="79"/>
      <c r="E904" s="79"/>
      <c r="F904" s="79"/>
      <c r="G904" s="79"/>
    </row>
    <row r="905" spans="2:7" ht="15.75" customHeight="1" x14ac:dyDescent="0.2">
      <c r="B905" s="79"/>
      <c r="C905" s="79"/>
      <c r="D905" s="79"/>
      <c r="E905" s="79"/>
      <c r="F905" s="79"/>
      <c r="G905" s="79"/>
    </row>
    <row r="906" spans="2:7" ht="15.75" customHeight="1" x14ac:dyDescent="0.2">
      <c r="B906" s="79"/>
      <c r="C906" s="79"/>
      <c r="D906" s="79"/>
      <c r="E906" s="79"/>
      <c r="F906" s="79"/>
      <c r="G906" s="79"/>
    </row>
    <row r="907" spans="2:7" ht="15.75" customHeight="1" x14ac:dyDescent="0.2">
      <c r="B907" s="79"/>
      <c r="C907" s="79"/>
      <c r="D907" s="79"/>
      <c r="E907" s="79"/>
      <c r="F907" s="79"/>
      <c r="G907" s="79"/>
    </row>
    <row r="908" spans="2:7" ht="15.75" customHeight="1" x14ac:dyDescent="0.2">
      <c r="B908" s="79"/>
      <c r="C908" s="79"/>
      <c r="D908" s="79"/>
      <c r="E908" s="79"/>
      <c r="F908" s="79"/>
      <c r="G908" s="79"/>
    </row>
    <row r="909" spans="2:7" ht="15.75" customHeight="1" x14ac:dyDescent="0.2">
      <c r="B909" s="79"/>
      <c r="C909" s="79"/>
      <c r="D909" s="79"/>
      <c r="E909" s="79"/>
      <c r="F909" s="79"/>
      <c r="G909" s="79"/>
    </row>
    <row r="910" spans="2:7" ht="15.75" customHeight="1" x14ac:dyDescent="0.2">
      <c r="B910" s="79"/>
      <c r="C910" s="79"/>
      <c r="D910" s="79"/>
      <c r="E910" s="79"/>
      <c r="F910" s="79"/>
      <c r="G910" s="79"/>
    </row>
    <row r="911" spans="2:7" ht="15.75" customHeight="1" x14ac:dyDescent="0.2">
      <c r="B911" s="79"/>
      <c r="C911" s="79"/>
      <c r="D911" s="79"/>
      <c r="E911" s="79"/>
      <c r="F911" s="79"/>
      <c r="G911" s="79"/>
    </row>
    <row r="912" spans="2:7" ht="15.75" customHeight="1" x14ac:dyDescent="0.2">
      <c r="B912" s="79"/>
      <c r="C912" s="79"/>
      <c r="D912" s="79"/>
      <c r="E912" s="79"/>
      <c r="F912" s="79"/>
      <c r="G912" s="79"/>
    </row>
    <row r="913" spans="2:7" ht="15.75" customHeight="1" x14ac:dyDescent="0.2">
      <c r="B913" s="79"/>
      <c r="C913" s="79"/>
      <c r="D913" s="79"/>
      <c r="E913" s="79"/>
      <c r="F913" s="79"/>
      <c r="G913" s="79"/>
    </row>
    <row r="914" spans="2:7" ht="15.75" customHeight="1" x14ac:dyDescent="0.2">
      <c r="B914" s="79"/>
      <c r="C914" s="79"/>
      <c r="D914" s="79"/>
      <c r="E914" s="79"/>
      <c r="F914" s="79"/>
      <c r="G914" s="79"/>
    </row>
    <row r="915" spans="2:7" ht="15.75" customHeight="1" x14ac:dyDescent="0.2">
      <c r="B915" s="79"/>
      <c r="C915" s="79"/>
      <c r="D915" s="79"/>
      <c r="E915" s="79"/>
      <c r="F915" s="79"/>
      <c r="G915" s="79"/>
    </row>
    <row r="916" spans="2:7" ht="15.75" customHeight="1" x14ac:dyDescent="0.2">
      <c r="B916" s="79"/>
      <c r="C916" s="79"/>
      <c r="D916" s="79"/>
      <c r="E916" s="79"/>
      <c r="F916" s="79"/>
      <c r="G916" s="79"/>
    </row>
    <row r="917" spans="2:7" ht="15.75" customHeight="1" x14ac:dyDescent="0.2">
      <c r="B917" s="79"/>
      <c r="C917" s="79"/>
      <c r="D917" s="79"/>
      <c r="E917" s="79"/>
      <c r="F917" s="79"/>
      <c r="G917" s="79"/>
    </row>
    <row r="918" spans="2:7" ht="15.75" customHeight="1" x14ac:dyDescent="0.2">
      <c r="B918" s="79"/>
      <c r="C918" s="79"/>
      <c r="D918" s="79"/>
      <c r="E918" s="79"/>
      <c r="F918" s="79"/>
      <c r="G918" s="79"/>
    </row>
    <row r="919" spans="2:7" ht="15.75" customHeight="1" x14ac:dyDescent="0.2">
      <c r="B919" s="79"/>
      <c r="C919" s="79"/>
      <c r="D919" s="79"/>
      <c r="E919" s="79"/>
      <c r="F919" s="79"/>
      <c r="G919" s="79"/>
    </row>
    <row r="920" spans="2:7" ht="15.75" customHeight="1" x14ac:dyDescent="0.2">
      <c r="B920" s="79"/>
      <c r="C920" s="79"/>
      <c r="D920" s="79"/>
      <c r="E920" s="79"/>
      <c r="F920" s="79"/>
      <c r="G920" s="79"/>
    </row>
    <row r="921" spans="2:7" ht="15.75" customHeight="1" x14ac:dyDescent="0.2">
      <c r="B921" s="79"/>
      <c r="C921" s="79"/>
      <c r="D921" s="79"/>
      <c r="E921" s="79"/>
      <c r="F921" s="79"/>
      <c r="G921" s="79"/>
    </row>
    <row r="922" spans="2:7" ht="15.75" customHeight="1" x14ac:dyDescent="0.2">
      <c r="B922" s="79"/>
      <c r="C922" s="79"/>
      <c r="D922" s="79"/>
      <c r="E922" s="79"/>
      <c r="F922" s="79"/>
      <c r="G922" s="79"/>
    </row>
    <row r="923" spans="2:7" ht="15.75" customHeight="1" x14ac:dyDescent="0.2">
      <c r="B923" s="79"/>
      <c r="C923" s="79"/>
      <c r="D923" s="79"/>
      <c r="E923" s="79"/>
      <c r="F923" s="79"/>
      <c r="G923" s="79"/>
    </row>
    <row r="924" spans="2:7" ht="15.75" customHeight="1" x14ac:dyDescent="0.2">
      <c r="B924" s="79"/>
      <c r="C924" s="79"/>
      <c r="D924" s="79"/>
      <c r="E924" s="79"/>
      <c r="F924" s="79"/>
      <c r="G924" s="79"/>
    </row>
    <row r="925" spans="2:7" ht="15.75" customHeight="1" x14ac:dyDescent="0.2">
      <c r="B925" s="79"/>
      <c r="C925" s="79"/>
      <c r="D925" s="79"/>
      <c r="E925" s="79"/>
      <c r="F925" s="79"/>
      <c r="G925" s="79"/>
    </row>
    <row r="926" spans="2:7" ht="15.75" customHeight="1" x14ac:dyDescent="0.2">
      <c r="B926" s="79"/>
      <c r="C926" s="79"/>
      <c r="D926" s="79"/>
      <c r="E926" s="79"/>
      <c r="F926" s="79"/>
      <c r="G926" s="79"/>
    </row>
    <row r="927" spans="2:7" ht="15.75" customHeight="1" x14ac:dyDescent="0.2">
      <c r="B927" s="79"/>
      <c r="C927" s="79"/>
      <c r="D927" s="79"/>
      <c r="E927" s="79"/>
      <c r="F927" s="79"/>
      <c r="G927" s="79"/>
    </row>
    <row r="928" spans="2:7" ht="15.75" customHeight="1" x14ac:dyDescent="0.2">
      <c r="B928" s="79"/>
      <c r="C928" s="79"/>
      <c r="D928" s="79"/>
      <c r="E928" s="79"/>
      <c r="F928" s="79"/>
      <c r="G928" s="79"/>
    </row>
    <row r="929" spans="2:7" ht="15.75" customHeight="1" x14ac:dyDescent="0.2">
      <c r="B929" s="79"/>
      <c r="C929" s="79"/>
      <c r="D929" s="79"/>
      <c r="E929" s="79"/>
      <c r="F929" s="79"/>
      <c r="G929" s="79"/>
    </row>
    <row r="930" spans="2:7" ht="15.75" customHeight="1" x14ac:dyDescent="0.2">
      <c r="B930" s="79"/>
      <c r="C930" s="79"/>
      <c r="D930" s="79"/>
      <c r="E930" s="79"/>
      <c r="F930" s="79"/>
      <c r="G930" s="79"/>
    </row>
    <row r="931" spans="2:7" ht="15.75" customHeight="1" x14ac:dyDescent="0.2">
      <c r="B931" s="79"/>
      <c r="C931" s="79"/>
      <c r="D931" s="79"/>
      <c r="E931" s="79"/>
      <c r="F931" s="79"/>
      <c r="G931" s="79"/>
    </row>
    <row r="932" spans="2:7" ht="15.75" customHeight="1" x14ac:dyDescent="0.2">
      <c r="B932" s="79"/>
      <c r="C932" s="79"/>
      <c r="D932" s="79"/>
      <c r="E932" s="79"/>
      <c r="F932" s="79"/>
      <c r="G932" s="79"/>
    </row>
    <row r="933" spans="2:7" ht="15.75" customHeight="1" x14ac:dyDescent="0.2">
      <c r="B933" s="79"/>
      <c r="C933" s="79"/>
      <c r="D933" s="79"/>
      <c r="E933" s="79"/>
      <c r="F933" s="79"/>
      <c r="G933" s="79"/>
    </row>
    <row r="934" spans="2:7" ht="15.75" customHeight="1" x14ac:dyDescent="0.2">
      <c r="B934" s="79"/>
      <c r="C934" s="79"/>
      <c r="D934" s="79"/>
      <c r="E934" s="79"/>
      <c r="F934" s="79"/>
      <c r="G934" s="79"/>
    </row>
    <row r="935" spans="2:7" ht="15.75" customHeight="1" x14ac:dyDescent="0.2">
      <c r="B935" s="79"/>
      <c r="C935" s="79"/>
      <c r="D935" s="79"/>
      <c r="E935" s="79"/>
      <c r="F935" s="79"/>
      <c r="G935" s="79"/>
    </row>
    <row r="936" spans="2:7" ht="15.75" customHeight="1" x14ac:dyDescent="0.2">
      <c r="B936" s="79"/>
      <c r="C936" s="79"/>
      <c r="D936" s="79"/>
      <c r="E936" s="79"/>
      <c r="F936" s="79"/>
      <c r="G936" s="79"/>
    </row>
    <row r="937" spans="2:7" ht="15.75" customHeight="1" x14ac:dyDescent="0.2">
      <c r="B937" s="79"/>
      <c r="C937" s="79"/>
      <c r="D937" s="79"/>
      <c r="E937" s="79"/>
      <c r="F937" s="79"/>
      <c r="G937" s="79"/>
    </row>
    <row r="938" spans="2:7" ht="15.75" customHeight="1" x14ac:dyDescent="0.2">
      <c r="B938" s="79"/>
      <c r="C938" s="79"/>
      <c r="D938" s="79"/>
      <c r="E938" s="79"/>
      <c r="F938" s="79"/>
      <c r="G938" s="79"/>
    </row>
    <row r="939" spans="2:7" ht="15.75" customHeight="1" x14ac:dyDescent="0.2">
      <c r="B939" s="79"/>
      <c r="C939" s="79"/>
      <c r="D939" s="79"/>
      <c r="E939" s="79"/>
      <c r="F939" s="79"/>
      <c r="G939" s="79"/>
    </row>
    <row r="940" spans="2:7" ht="15.75" customHeight="1" x14ac:dyDescent="0.2">
      <c r="B940" s="79"/>
      <c r="C940" s="79"/>
      <c r="D940" s="79"/>
      <c r="E940" s="79"/>
      <c r="F940" s="79"/>
      <c r="G940" s="79"/>
    </row>
    <row r="941" spans="2:7" ht="15.75" customHeight="1" x14ac:dyDescent="0.2">
      <c r="B941" s="79"/>
      <c r="C941" s="79"/>
      <c r="D941" s="79"/>
      <c r="E941" s="79"/>
      <c r="F941" s="79"/>
      <c r="G941" s="79"/>
    </row>
    <row r="942" spans="2:7" ht="15.75" customHeight="1" x14ac:dyDescent="0.2">
      <c r="B942" s="79"/>
      <c r="C942" s="79"/>
      <c r="D942" s="79"/>
      <c r="E942" s="79"/>
      <c r="F942" s="79"/>
      <c r="G942" s="79"/>
    </row>
    <row r="943" spans="2:7" ht="15.75" customHeight="1" x14ac:dyDescent="0.2">
      <c r="B943" s="79"/>
      <c r="C943" s="79"/>
      <c r="D943" s="79"/>
      <c r="E943" s="79"/>
      <c r="F943" s="79"/>
      <c r="G943" s="79"/>
    </row>
    <row r="944" spans="2:7" ht="15.75" customHeight="1" x14ac:dyDescent="0.2">
      <c r="B944" s="79"/>
      <c r="C944" s="79"/>
      <c r="D944" s="79"/>
      <c r="E944" s="79"/>
      <c r="F944" s="79"/>
      <c r="G944" s="79"/>
    </row>
    <row r="945" spans="2:7" ht="15.75" customHeight="1" x14ac:dyDescent="0.2">
      <c r="B945" s="79"/>
      <c r="C945" s="79"/>
      <c r="D945" s="79"/>
      <c r="E945" s="79"/>
      <c r="F945" s="79"/>
      <c r="G945" s="79"/>
    </row>
    <row r="946" spans="2:7" ht="15.75" customHeight="1" x14ac:dyDescent="0.2">
      <c r="B946" s="79"/>
      <c r="C946" s="79"/>
      <c r="D946" s="79"/>
      <c r="E946" s="79"/>
      <c r="F946" s="79"/>
      <c r="G946" s="79"/>
    </row>
    <row r="947" spans="2:7" ht="15.75" customHeight="1" x14ac:dyDescent="0.2">
      <c r="B947" s="79"/>
      <c r="C947" s="79"/>
      <c r="D947" s="79"/>
      <c r="E947" s="79"/>
      <c r="F947" s="79"/>
      <c r="G947" s="79"/>
    </row>
    <row r="948" spans="2:7" ht="15.75" customHeight="1" x14ac:dyDescent="0.2">
      <c r="B948" s="79"/>
      <c r="C948" s="79"/>
      <c r="D948" s="79"/>
      <c r="E948" s="79"/>
      <c r="F948" s="79"/>
      <c r="G948" s="79"/>
    </row>
    <row r="949" spans="2:7" ht="15.75" customHeight="1" x14ac:dyDescent="0.2">
      <c r="B949" s="79"/>
      <c r="C949" s="79"/>
      <c r="D949" s="79"/>
      <c r="E949" s="79"/>
      <c r="F949" s="79"/>
      <c r="G949" s="79"/>
    </row>
    <row r="950" spans="2:7" ht="15.75" customHeight="1" x14ac:dyDescent="0.2">
      <c r="B950" s="79"/>
      <c r="C950" s="79"/>
      <c r="D950" s="79"/>
      <c r="E950" s="79"/>
      <c r="F950" s="79"/>
      <c r="G950" s="79"/>
    </row>
    <row r="951" spans="2:7" ht="15.75" customHeight="1" x14ac:dyDescent="0.2">
      <c r="B951" s="79"/>
      <c r="C951" s="79"/>
      <c r="D951" s="79"/>
      <c r="E951" s="79"/>
      <c r="F951" s="79"/>
      <c r="G951" s="79"/>
    </row>
    <row r="952" spans="2:7" ht="15.75" customHeight="1" x14ac:dyDescent="0.2">
      <c r="B952" s="79"/>
      <c r="C952" s="79"/>
      <c r="D952" s="79"/>
      <c r="E952" s="79"/>
      <c r="F952" s="79"/>
      <c r="G952" s="79"/>
    </row>
    <row r="953" spans="2:7" ht="15.75" customHeight="1" x14ac:dyDescent="0.2">
      <c r="B953" s="79"/>
      <c r="C953" s="79"/>
      <c r="D953" s="79"/>
      <c r="E953" s="79"/>
      <c r="F953" s="79"/>
      <c r="G953" s="79"/>
    </row>
    <row r="954" spans="2:7" ht="15.75" customHeight="1" x14ac:dyDescent="0.2">
      <c r="B954" s="79"/>
      <c r="C954" s="79"/>
      <c r="D954" s="79"/>
      <c r="E954" s="79"/>
      <c r="F954" s="79"/>
      <c r="G954" s="79"/>
    </row>
    <row r="955" spans="2:7" ht="15.75" customHeight="1" x14ac:dyDescent="0.2">
      <c r="B955" s="79"/>
      <c r="C955" s="79"/>
      <c r="D955" s="79"/>
      <c r="E955" s="79"/>
      <c r="F955" s="79"/>
      <c r="G955" s="79"/>
    </row>
    <row r="956" spans="2:7" ht="15.75" customHeight="1" x14ac:dyDescent="0.2">
      <c r="B956" s="79"/>
      <c r="C956" s="79"/>
      <c r="D956" s="79"/>
      <c r="E956" s="79"/>
      <c r="F956" s="79"/>
      <c r="G956" s="79"/>
    </row>
    <row r="957" spans="2:7" ht="15.75" customHeight="1" x14ac:dyDescent="0.2">
      <c r="B957" s="79"/>
      <c r="C957" s="79"/>
      <c r="D957" s="79"/>
      <c r="E957" s="79"/>
      <c r="F957" s="79"/>
      <c r="G957" s="79"/>
    </row>
    <row r="958" spans="2:7" ht="15.75" customHeight="1" x14ac:dyDescent="0.2">
      <c r="B958" s="79"/>
      <c r="C958" s="79"/>
      <c r="D958" s="79"/>
      <c r="E958" s="79"/>
      <c r="F958" s="79"/>
      <c r="G958" s="79"/>
    </row>
    <row r="959" spans="2:7" ht="15.75" customHeight="1" x14ac:dyDescent="0.2">
      <c r="B959" s="79"/>
      <c r="C959" s="79"/>
      <c r="D959" s="79"/>
      <c r="E959" s="79"/>
      <c r="F959" s="79"/>
      <c r="G959" s="79"/>
    </row>
    <row r="960" spans="2:7" ht="15.75" customHeight="1" x14ac:dyDescent="0.2">
      <c r="B960" s="79"/>
      <c r="C960" s="79"/>
      <c r="D960" s="79"/>
      <c r="E960" s="79"/>
      <c r="F960" s="79"/>
      <c r="G960" s="79"/>
    </row>
    <row r="961" spans="2:7" ht="15.75" customHeight="1" x14ac:dyDescent="0.2">
      <c r="B961" s="79"/>
      <c r="C961" s="79"/>
      <c r="D961" s="79"/>
      <c r="E961" s="79"/>
      <c r="F961" s="79"/>
      <c r="G961" s="79"/>
    </row>
    <row r="962" spans="2:7" ht="15.75" customHeight="1" x14ac:dyDescent="0.2">
      <c r="B962" s="79"/>
      <c r="C962" s="79"/>
      <c r="D962" s="79"/>
      <c r="E962" s="79"/>
      <c r="F962" s="79"/>
      <c r="G962" s="79"/>
    </row>
    <row r="963" spans="2:7" ht="15.75" customHeight="1" x14ac:dyDescent="0.2">
      <c r="B963" s="79"/>
      <c r="C963" s="79"/>
      <c r="D963" s="79"/>
      <c r="E963" s="79"/>
      <c r="F963" s="79"/>
      <c r="G963" s="79"/>
    </row>
    <row r="964" spans="2:7" ht="15.75" customHeight="1" x14ac:dyDescent="0.2">
      <c r="B964" s="79"/>
      <c r="C964" s="79"/>
      <c r="D964" s="79"/>
      <c r="E964" s="79"/>
      <c r="F964" s="79"/>
      <c r="G964" s="79"/>
    </row>
    <row r="965" spans="2:7" ht="15.75" customHeight="1" x14ac:dyDescent="0.2">
      <c r="B965" s="79"/>
      <c r="C965" s="79"/>
      <c r="D965" s="79"/>
      <c r="E965" s="79"/>
      <c r="F965" s="79"/>
      <c r="G965" s="79"/>
    </row>
    <row r="966" spans="2:7" ht="15.75" customHeight="1" x14ac:dyDescent="0.2">
      <c r="B966" s="79"/>
      <c r="C966" s="79"/>
      <c r="D966" s="79"/>
      <c r="E966" s="79"/>
      <c r="F966" s="79"/>
      <c r="G966" s="79"/>
    </row>
    <row r="967" spans="2:7" ht="15.75" customHeight="1" x14ac:dyDescent="0.2">
      <c r="B967" s="79"/>
      <c r="C967" s="79"/>
      <c r="D967" s="79"/>
      <c r="E967" s="79"/>
      <c r="F967" s="79"/>
      <c r="G967" s="79"/>
    </row>
    <row r="968" spans="2:7" ht="15.75" customHeight="1" x14ac:dyDescent="0.2">
      <c r="B968" s="79"/>
      <c r="C968" s="79"/>
      <c r="D968" s="79"/>
      <c r="E968" s="79"/>
      <c r="F968" s="79"/>
      <c r="G968" s="79"/>
    </row>
    <row r="969" spans="2:7" ht="15.75" customHeight="1" x14ac:dyDescent="0.2">
      <c r="B969" s="79"/>
      <c r="C969" s="79"/>
      <c r="D969" s="79"/>
      <c r="E969" s="79"/>
      <c r="F969" s="79"/>
      <c r="G969" s="79"/>
    </row>
    <row r="970" spans="2:7" ht="15.75" customHeight="1" x14ac:dyDescent="0.2">
      <c r="B970" s="79"/>
      <c r="C970" s="79"/>
      <c r="D970" s="79"/>
      <c r="E970" s="79"/>
      <c r="F970" s="79"/>
      <c r="G970" s="79"/>
    </row>
    <row r="971" spans="2:7" ht="15.75" customHeight="1" x14ac:dyDescent="0.2">
      <c r="B971" s="79"/>
      <c r="C971" s="79"/>
      <c r="D971" s="79"/>
      <c r="E971" s="79"/>
      <c r="F971" s="79"/>
      <c r="G971" s="79"/>
    </row>
    <row r="972" spans="2:7" ht="15.75" customHeight="1" x14ac:dyDescent="0.2">
      <c r="B972" s="79"/>
      <c r="C972" s="79"/>
      <c r="D972" s="79"/>
      <c r="E972" s="79"/>
      <c r="F972" s="79"/>
      <c r="G972" s="79"/>
    </row>
    <row r="973" spans="2:7" ht="15.75" customHeight="1" x14ac:dyDescent="0.2">
      <c r="B973" s="79"/>
      <c r="C973" s="79"/>
      <c r="D973" s="79"/>
      <c r="E973" s="79"/>
      <c r="F973" s="79"/>
      <c r="G973" s="79"/>
    </row>
    <row r="974" spans="2:7" ht="15.75" customHeight="1" x14ac:dyDescent="0.2">
      <c r="B974" s="79"/>
      <c r="C974" s="79"/>
      <c r="D974" s="79"/>
      <c r="E974" s="79"/>
      <c r="F974" s="79"/>
      <c r="G974" s="79"/>
    </row>
    <row r="975" spans="2:7" ht="15.75" customHeight="1" x14ac:dyDescent="0.2">
      <c r="B975" s="79"/>
      <c r="C975" s="79"/>
      <c r="D975" s="79"/>
      <c r="E975" s="79"/>
      <c r="F975" s="79"/>
      <c r="G975" s="79"/>
    </row>
    <row r="976" spans="2:7" ht="15.75" customHeight="1" x14ac:dyDescent="0.2">
      <c r="B976" s="79"/>
      <c r="C976" s="79"/>
      <c r="D976" s="79"/>
      <c r="E976" s="79"/>
      <c r="F976" s="79"/>
      <c r="G976" s="79"/>
    </row>
    <row r="977" spans="2:7" ht="15.75" customHeight="1" x14ac:dyDescent="0.2">
      <c r="B977" s="79"/>
      <c r="C977" s="79"/>
      <c r="D977" s="79"/>
      <c r="E977" s="79"/>
      <c r="F977" s="79"/>
      <c r="G977" s="79"/>
    </row>
    <row r="978" spans="2:7" ht="15.75" customHeight="1" x14ac:dyDescent="0.2">
      <c r="B978" s="79"/>
      <c r="C978" s="79"/>
      <c r="D978" s="79"/>
      <c r="E978" s="79"/>
      <c r="F978" s="79"/>
      <c r="G978" s="79"/>
    </row>
    <row r="979" spans="2:7" ht="15.75" customHeight="1" x14ac:dyDescent="0.2">
      <c r="B979" s="79"/>
      <c r="C979" s="79"/>
      <c r="D979" s="79"/>
      <c r="E979" s="79"/>
      <c r="F979" s="79"/>
      <c r="G979" s="79"/>
    </row>
    <row r="980" spans="2:7" ht="15.75" customHeight="1" x14ac:dyDescent="0.2">
      <c r="B980" s="79"/>
      <c r="C980" s="79"/>
      <c r="D980" s="79"/>
      <c r="E980" s="79"/>
      <c r="F980" s="79"/>
      <c r="G980" s="79"/>
    </row>
    <row r="981" spans="2:7" ht="15.75" customHeight="1" x14ac:dyDescent="0.2">
      <c r="B981" s="79"/>
      <c r="C981" s="79"/>
      <c r="D981" s="79"/>
      <c r="E981" s="79"/>
      <c r="F981" s="79"/>
      <c r="G981" s="79"/>
    </row>
    <row r="982" spans="2:7" ht="15.75" customHeight="1" x14ac:dyDescent="0.2">
      <c r="B982" s="79"/>
      <c r="C982" s="79"/>
      <c r="D982" s="79"/>
      <c r="E982" s="79"/>
      <c r="F982" s="79"/>
      <c r="G982" s="79"/>
    </row>
    <row r="983" spans="2:7" ht="15.75" customHeight="1" x14ac:dyDescent="0.2">
      <c r="B983" s="79"/>
      <c r="C983" s="79"/>
      <c r="D983" s="79"/>
      <c r="E983" s="79"/>
      <c r="F983" s="79"/>
      <c r="G983" s="79"/>
    </row>
    <row r="984" spans="2:7" ht="15.75" customHeight="1" x14ac:dyDescent="0.2">
      <c r="B984" s="79"/>
      <c r="C984" s="79"/>
      <c r="D984" s="79"/>
      <c r="E984" s="79"/>
      <c r="F984" s="79"/>
      <c r="G984" s="79"/>
    </row>
    <row r="985" spans="2:7" ht="15.75" customHeight="1" x14ac:dyDescent="0.2">
      <c r="B985" s="79"/>
      <c r="C985" s="79"/>
      <c r="D985" s="79"/>
      <c r="E985" s="79"/>
      <c r="F985" s="79"/>
      <c r="G985" s="79"/>
    </row>
    <row r="986" spans="2:7" ht="15.75" customHeight="1" x14ac:dyDescent="0.2">
      <c r="B986" s="79"/>
      <c r="C986" s="79"/>
      <c r="D986" s="79"/>
      <c r="E986" s="79"/>
      <c r="F986" s="79"/>
      <c r="G986" s="79"/>
    </row>
    <row r="987" spans="2:7" ht="15.75" customHeight="1" x14ac:dyDescent="0.2">
      <c r="B987" s="79"/>
      <c r="C987" s="79"/>
      <c r="D987" s="79"/>
      <c r="E987" s="79"/>
      <c r="F987" s="79"/>
      <c r="G987" s="79"/>
    </row>
    <row r="988" spans="2:7" ht="15.75" customHeight="1" x14ac:dyDescent="0.2">
      <c r="B988" s="79"/>
      <c r="C988" s="79"/>
      <c r="D988" s="79"/>
      <c r="E988" s="79"/>
      <c r="F988" s="79"/>
      <c r="G988" s="79"/>
    </row>
    <row r="989" spans="2:7" ht="15.75" customHeight="1" x14ac:dyDescent="0.2">
      <c r="B989" s="79"/>
      <c r="C989" s="79"/>
      <c r="D989" s="79"/>
      <c r="E989" s="79"/>
      <c r="F989" s="79"/>
      <c r="G989" s="79"/>
    </row>
    <row r="990" spans="2:7" ht="15.75" customHeight="1" x14ac:dyDescent="0.2">
      <c r="B990" s="79"/>
      <c r="C990" s="79"/>
      <c r="D990" s="79"/>
      <c r="E990" s="79"/>
      <c r="F990" s="79"/>
      <c r="G990" s="79"/>
    </row>
    <row r="991" spans="2:7" ht="15.75" customHeight="1" x14ac:dyDescent="0.2">
      <c r="B991" s="79"/>
      <c r="C991" s="79"/>
      <c r="D991" s="79"/>
      <c r="E991" s="79"/>
      <c r="F991" s="79"/>
      <c r="G991" s="79"/>
    </row>
    <row r="992" spans="2:7" ht="15.75" customHeight="1" x14ac:dyDescent="0.2">
      <c r="B992" s="79"/>
      <c r="C992" s="79"/>
      <c r="D992" s="79"/>
      <c r="E992" s="79"/>
      <c r="F992" s="79"/>
      <c r="G992" s="79"/>
    </row>
    <row r="993" spans="2:7" ht="15.75" customHeight="1" x14ac:dyDescent="0.2">
      <c r="B993" s="79"/>
      <c r="C993" s="79"/>
      <c r="D993" s="79"/>
      <c r="E993" s="79"/>
      <c r="F993" s="79"/>
      <c r="G993" s="79"/>
    </row>
    <row r="994" spans="2:7" ht="15.75" customHeight="1" x14ac:dyDescent="0.2">
      <c r="B994" s="79"/>
      <c r="C994" s="79"/>
      <c r="D994" s="79"/>
      <c r="E994" s="79"/>
      <c r="F994" s="79"/>
      <c r="G994" s="79"/>
    </row>
    <row r="995" spans="2:7" ht="15.75" customHeight="1" x14ac:dyDescent="0.2">
      <c r="B995" s="79"/>
      <c r="C995" s="79"/>
      <c r="D995" s="79"/>
      <c r="E995" s="79"/>
      <c r="F995" s="79"/>
      <c r="G995" s="79"/>
    </row>
    <row r="996" spans="2:7" ht="15.75" customHeight="1" x14ac:dyDescent="0.2">
      <c r="B996" s="79"/>
      <c r="C996" s="79"/>
      <c r="D996" s="79"/>
      <c r="E996" s="79"/>
      <c r="F996" s="79"/>
      <c r="G996" s="79"/>
    </row>
    <row r="997" spans="2:7" ht="15.75" customHeight="1" x14ac:dyDescent="0.2">
      <c r="B997" s="79"/>
      <c r="C997" s="79"/>
      <c r="D997" s="79"/>
      <c r="E997" s="79"/>
      <c r="F997" s="79"/>
      <c r="G997" s="79"/>
    </row>
    <row r="998" spans="2:7" ht="15.75" customHeight="1" x14ac:dyDescent="0.2">
      <c r="B998" s="79"/>
      <c r="C998" s="79"/>
      <c r="D998" s="79"/>
      <c r="E998" s="79"/>
      <c r="F998" s="79"/>
      <c r="G998" s="79"/>
    </row>
    <row r="999" spans="2:7" ht="15.75" customHeight="1" x14ac:dyDescent="0.2">
      <c r="B999" s="79"/>
      <c r="C999" s="79"/>
      <c r="D999" s="79"/>
      <c r="E999" s="79"/>
      <c r="F999" s="79"/>
      <c r="G999" s="79"/>
    </row>
    <row r="1000" spans="2:7" ht="15.75" customHeight="1" x14ac:dyDescent="0.2">
      <c r="B1000" s="79"/>
      <c r="C1000" s="79"/>
      <c r="D1000" s="79"/>
      <c r="E1000" s="79"/>
      <c r="F1000" s="79"/>
      <c r="G1000" s="79"/>
    </row>
    <row r="1001" spans="2:7" ht="15.75" customHeight="1" x14ac:dyDescent="0.2">
      <c r="B1001" s="79"/>
      <c r="C1001" s="79"/>
      <c r="D1001" s="79"/>
      <c r="E1001" s="79"/>
      <c r="F1001" s="79"/>
      <c r="G1001" s="79"/>
    </row>
    <row r="1002" spans="2:7" ht="15.75" customHeight="1" x14ac:dyDescent="0.2">
      <c r="B1002" s="79"/>
      <c r="C1002" s="79"/>
      <c r="D1002" s="79"/>
      <c r="E1002" s="79"/>
      <c r="F1002" s="79"/>
      <c r="G1002" s="79"/>
    </row>
    <row r="1003" spans="2:7" ht="15.75" customHeight="1" x14ac:dyDescent="0.2">
      <c r="B1003" s="79"/>
      <c r="C1003" s="79"/>
      <c r="D1003" s="79"/>
      <c r="E1003" s="79"/>
      <c r="F1003" s="79"/>
      <c r="G1003" s="79"/>
    </row>
  </sheetData>
  <conditionalFormatting sqref="B34:F34">
    <cfRule type="cellIs" dxfId="11" priority="1" operator="lessThan">
      <formula>B33</formula>
    </cfRule>
    <cfRule type="cellIs" dxfId="10" priority="2" operator="greaterThanOrEqual">
      <formula>B33</formula>
    </cfRule>
  </conditionalFormatting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50" customWidth="1"/>
    <col min="2" max="8" width="15" customWidth="1"/>
    <col min="9" max="9" width="29.6640625" customWidth="1"/>
    <col min="10" max="26" width="8.6640625" customWidth="1"/>
  </cols>
  <sheetData>
    <row r="1" spans="1:7" ht="15.75" customHeight="1" x14ac:dyDescent="0.2">
      <c r="A1" s="78" t="s">
        <v>553</v>
      </c>
      <c r="B1" s="79"/>
      <c r="C1" s="79"/>
      <c r="D1" s="79"/>
      <c r="E1" s="79"/>
      <c r="F1" s="79"/>
      <c r="G1" s="79"/>
    </row>
    <row r="2" spans="1:7" x14ac:dyDescent="0.2">
      <c r="B2" s="81">
        <v>0.96</v>
      </c>
      <c r="C2" s="79"/>
      <c r="D2" s="79"/>
      <c r="E2" s="79"/>
      <c r="F2" s="79"/>
      <c r="G2" s="79"/>
    </row>
    <row r="3" spans="1:7" ht="15" customHeight="1" x14ac:dyDescent="0.2">
      <c r="A3" s="42" t="s">
        <v>554</v>
      </c>
      <c r="B3" s="80">
        <v>2026</v>
      </c>
      <c r="C3" s="80">
        <v>2027</v>
      </c>
      <c r="D3" s="80">
        <v>2028</v>
      </c>
      <c r="E3" s="80">
        <v>2029</v>
      </c>
      <c r="F3" s="80">
        <v>2030</v>
      </c>
      <c r="G3" s="80" t="s">
        <v>555</v>
      </c>
    </row>
    <row r="4" spans="1:7" ht="15" customHeight="1" x14ac:dyDescent="0.2">
      <c r="A4" s="44" t="s">
        <v>556</v>
      </c>
      <c r="B4" s="79"/>
      <c r="C4" s="86"/>
      <c r="D4" s="79"/>
      <c r="E4" s="79"/>
      <c r="F4" s="79"/>
      <c r="G4" s="79"/>
    </row>
    <row r="5" spans="1:7" ht="15" customHeight="1" x14ac:dyDescent="0.2">
      <c r="A5" s="48" t="s">
        <v>557</v>
      </c>
      <c r="B5" s="82">
        <f>(B44*(1-SUPUESTOS!$B$36-SUPUESTOS!$B$37)+B14)*B2</f>
        <v>2829600</v>
      </c>
      <c r="C5" s="83">
        <f t="shared" ref="C5:F5" si="0">(C44+C14)</f>
        <v>3258256.5182266012</v>
      </c>
      <c r="D5" s="83">
        <f t="shared" si="0"/>
        <v>5081919.879593771</v>
      </c>
      <c r="E5" s="83">
        <f t="shared" si="0"/>
        <v>5343094.1544760242</v>
      </c>
      <c r="F5" s="83">
        <f t="shared" si="0"/>
        <v>5580772.9887416475</v>
      </c>
      <c r="G5" s="84"/>
    </row>
    <row r="6" spans="1:7" ht="15" customHeight="1" x14ac:dyDescent="0.2">
      <c r="A6" s="48" t="s">
        <v>558</v>
      </c>
      <c r="B6" s="82">
        <f>B5*SUPUESTOS!$B$22</f>
        <v>975724.13793103443</v>
      </c>
      <c r="C6" s="82">
        <f>(C5*SUPUESTOS!$B$22)*($B2)</f>
        <v>1078595.2612060471</v>
      </c>
      <c r="D6" s="82">
        <f>(D5*SUPUESTOS!$B$22)*($B2)</f>
        <v>1682290.7187620755</v>
      </c>
      <c r="E6" s="82">
        <f>(E5*SUPUESTOS!$B$22)*($B2)</f>
        <v>1768748.4097575801</v>
      </c>
      <c r="F6" s="82">
        <f>(F5*SUPUESTOS!$B$22)*($B2)</f>
        <v>1847428.2997213728</v>
      </c>
      <c r="G6" s="84"/>
    </row>
    <row r="7" spans="1:7" ht="15" customHeight="1" x14ac:dyDescent="0.2">
      <c r="A7" s="48" t="s">
        <v>559</v>
      </c>
      <c r="B7" s="85">
        <v>1</v>
      </c>
      <c r="C7" s="85">
        <v>1</v>
      </c>
      <c r="D7" s="85">
        <v>1</v>
      </c>
      <c r="E7" s="85">
        <v>1</v>
      </c>
      <c r="F7" s="85">
        <v>0</v>
      </c>
      <c r="G7" s="79"/>
    </row>
    <row r="8" spans="1:7" ht="15" customHeight="1" x14ac:dyDescent="0.2">
      <c r="A8" s="48" t="s">
        <v>560</v>
      </c>
      <c r="B8" s="83">
        <f>IF(B7=1,B6*SUPUESTOS!$B$23,0)</f>
        <v>975724.13793103443</v>
      </c>
      <c r="C8" s="83">
        <f>IF(C7=1,C6*SUPUESTOS!$B$23,0)</f>
        <v>1078595.2612060471</v>
      </c>
      <c r="D8" s="83">
        <f>IF(D7=1,D6*SUPUESTOS!$B$23,0)</f>
        <v>1682290.7187620755</v>
      </c>
      <c r="E8" s="83">
        <f>IF(E7=1,E6*SUPUESTOS!$B$23,0)</f>
        <v>1768748.4097575801</v>
      </c>
      <c r="F8" s="83">
        <f>IF(F7=1,F6*SUPUESTOS!$B$23,0)</f>
        <v>0</v>
      </c>
      <c r="G8" s="84"/>
    </row>
    <row r="9" spans="1:7" ht="15" customHeight="1" x14ac:dyDescent="0.2">
      <c r="A9" s="48" t="s">
        <v>561</v>
      </c>
      <c r="B9" s="83">
        <f t="shared" ref="B9:F9" si="1">B5-B6+B8</f>
        <v>2829600</v>
      </c>
      <c r="C9" s="83">
        <f t="shared" si="1"/>
        <v>3258256.5182266012</v>
      </c>
      <c r="D9" s="83">
        <f t="shared" si="1"/>
        <v>5081919.879593771</v>
      </c>
      <c r="E9" s="83">
        <f t="shared" si="1"/>
        <v>5343094.1544760242</v>
      </c>
      <c r="F9" s="83">
        <f t="shared" si="1"/>
        <v>3733344.6890202747</v>
      </c>
      <c r="G9" s="84"/>
    </row>
    <row r="10" spans="1:7" ht="15" customHeight="1" x14ac:dyDescent="0.2">
      <c r="A10" s="48" t="s">
        <v>562</v>
      </c>
      <c r="B10" s="84">
        <f>B5+B8</f>
        <v>3805324.1379310344</v>
      </c>
      <c r="C10" s="84">
        <f t="shared" ref="C10:F10" si="2">C8+MAX(0,C5-B9)</f>
        <v>1507251.7794326483</v>
      </c>
      <c r="D10" s="84">
        <f t="shared" si="2"/>
        <v>3505954.0801292453</v>
      </c>
      <c r="E10" s="84">
        <f t="shared" si="2"/>
        <v>2029922.6846398334</v>
      </c>
      <c r="F10" s="84">
        <f t="shared" si="2"/>
        <v>237678.83426562324</v>
      </c>
      <c r="G10" s="84">
        <f>SUM(B10:F10)</f>
        <v>11086131.516398385</v>
      </c>
    </row>
    <row r="11" spans="1:7" x14ac:dyDescent="0.2">
      <c r="B11" s="86"/>
      <c r="C11" s="86"/>
      <c r="D11" s="86"/>
      <c r="E11" s="86"/>
      <c r="F11" s="86"/>
      <c r="G11" s="79"/>
    </row>
    <row r="12" spans="1:7" ht="15" customHeight="1" x14ac:dyDescent="0.2">
      <c r="A12" s="87" t="s">
        <v>563</v>
      </c>
      <c r="B12" s="79"/>
      <c r="C12" s="79"/>
      <c r="D12" s="79"/>
      <c r="E12" s="79"/>
      <c r="F12" s="79"/>
      <c r="G12" s="79"/>
    </row>
    <row r="13" spans="1:7" ht="15" customHeight="1" x14ac:dyDescent="0.2">
      <c r="A13" s="48" t="s">
        <v>564</v>
      </c>
      <c r="B13" s="88">
        <v>0</v>
      </c>
      <c r="C13" s="88">
        <v>0</v>
      </c>
      <c r="D13" s="88">
        <v>1</v>
      </c>
      <c r="E13" s="88">
        <v>0</v>
      </c>
      <c r="F13" s="88">
        <v>0</v>
      </c>
      <c r="G13" s="79">
        <v>0</v>
      </c>
    </row>
    <row r="14" spans="1:7" ht="15" customHeight="1" x14ac:dyDescent="0.2">
      <c r="A14" s="48" t="s">
        <v>565</v>
      </c>
      <c r="B14" s="83">
        <f>IF(B13=1, B44*SUPUESTOS!$B$52, 0)</f>
        <v>0</v>
      </c>
      <c r="C14" s="83">
        <f>IF(C13=1, C44*SUPUESTOS!$B$52, B14)</f>
        <v>0</v>
      </c>
      <c r="D14" s="83">
        <f>IF(D13=1, D44*SUPUESTOS!$B$52, C14)</f>
        <v>1693973.2931979238</v>
      </c>
      <c r="E14" s="83">
        <f>IF(E13=1, E44*SUPUESTOS!$B$52, D14)</f>
        <v>1693973.2931979238</v>
      </c>
      <c r="F14" s="83">
        <f>IF(F13=1, F44*SUPUESTOS!$B$52, E14)</f>
        <v>1693973.2931979238</v>
      </c>
      <c r="G14" s="84"/>
    </row>
    <row r="15" spans="1:7" ht="15" customHeight="1" x14ac:dyDescent="0.2">
      <c r="A15" s="48" t="s">
        <v>566</v>
      </c>
      <c r="B15" s="89">
        <f t="shared" ref="B15:F15" si="3">B5</f>
        <v>2829600</v>
      </c>
      <c r="C15" s="89">
        <f t="shared" si="3"/>
        <v>3258256.5182266012</v>
      </c>
      <c r="D15" s="89">
        <f t="shared" si="3"/>
        <v>5081919.879593771</v>
      </c>
      <c r="E15" s="89">
        <f t="shared" si="3"/>
        <v>5343094.1544760242</v>
      </c>
      <c r="F15" s="89">
        <f t="shared" si="3"/>
        <v>5580772.9887416475</v>
      </c>
      <c r="G15" s="84"/>
    </row>
    <row r="16" spans="1:7" ht="15" customHeight="1" x14ac:dyDescent="0.2">
      <c r="A16" s="48" t="s">
        <v>567</v>
      </c>
      <c r="B16" s="90">
        <f t="shared" ref="B16:F16" si="4">IF(B5&gt;0,B14/B5,0)</f>
        <v>0</v>
      </c>
      <c r="C16" s="90">
        <f t="shared" si="4"/>
        <v>0</v>
      </c>
      <c r="D16" s="90">
        <f t="shared" si="4"/>
        <v>0.33333333333333337</v>
      </c>
      <c r="E16" s="90">
        <f t="shared" si="4"/>
        <v>0.31703976089937441</v>
      </c>
      <c r="F16" s="90">
        <f t="shared" si="4"/>
        <v>0.30353739466114366</v>
      </c>
      <c r="G16" s="79"/>
    </row>
    <row r="17" spans="1:7" x14ac:dyDescent="0.2">
      <c r="B17" s="79"/>
      <c r="C17" s="79"/>
      <c r="D17" s="79"/>
      <c r="E17" s="79"/>
      <c r="F17" s="79"/>
      <c r="G17" s="79"/>
    </row>
    <row r="18" spans="1:7" ht="15" customHeight="1" x14ac:dyDescent="0.2">
      <c r="A18" s="44" t="s">
        <v>568</v>
      </c>
      <c r="B18" s="79"/>
      <c r="C18" s="79"/>
      <c r="D18" s="79"/>
      <c r="E18" s="79"/>
      <c r="F18" s="79"/>
      <c r="G18" s="79"/>
    </row>
    <row r="19" spans="1:7" ht="15" customHeight="1" x14ac:dyDescent="0.2">
      <c r="A19" s="48" t="s">
        <v>569</v>
      </c>
      <c r="B19" s="82">
        <f>IF(B7=1,B5*SUPUESTOS!$B$24,B5*SUPUESTOS!$B$24/2)</f>
        <v>350870.4</v>
      </c>
      <c r="C19" s="82">
        <f>IF(C7=1,C5*SUPUESTOS!$B$24,C5*SUPUESTOS!$B$24/2)</f>
        <v>404023.80826009857</v>
      </c>
      <c r="D19" s="82">
        <f>IF(D7=1,D5*SUPUESTOS!$B$24,D5*SUPUESTOS!$B$24/2)</f>
        <v>630158.0650696276</v>
      </c>
      <c r="E19" s="82">
        <f>IF(E7=1,E5*SUPUESTOS!$B$24,E5*SUPUESTOS!$B$24/2)</f>
        <v>662543.67515502695</v>
      </c>
      <c r="F19" s="82">
        <f>IF(F7=1,F5*SUPUESTOS!$B$24,F5*SUPUESTOS!$B$24/2)</f>
        <v>346007.92530198215</v>
      </c>
      <c r="G19" s="84">
        <f t="shared" ref="G19:G21" si="5">SUM(B19:F19)</f>
        <v>2393603.8737867353</v>
      </c>
    </row>
    <row r="20" spans="1:7" ht="15" customHeight="1" x14ac:dyDescent="0.2">
      <c r="A20" s="48" t="s">
        <v>570</v>
      </c>
      <c r="B20" s="82">
        <f>(B10/(1+SUPUESTOS!$B$38))*SUPUESTOS!$B$38</f>
        <v>181205.91133004928</v>
      </c>
      <c r="C20" s="82">
        <f>(C10/(1+SUPUESTOS!$B$38))*SUPUESTOS!$B$38</f>
        <v>71773.894258697546</v>
      </c>
      <c r="D20" s="82">
        <f>(D10/(1+SUPUESTOS!$B$38))*SUPUESTOS!$B$38</f>
        <v>166950.19429186883</v>
      </c>
      <c r="E20" s="82">
        <f>(E10/(1+SUPUESTOS!$B$38))*SUPUESTOS!$B$38</f>
        <v>96662.984982849215</v>
      </c>
      <c r="F20" s="82">
        <f>(F10/(1+SUPUESTOS!$B$38))*SUPUESTOS!$B$38</f>
        <v>11318.039726934439</v>
      </c>
      <c r="G20" s="84">
        <f t="shared" si="5"/>
        <v>527911.02459039923</v>
      </c>
    </row>
    <row r="21" spans="1:7" ht="15" customHeight="1" x14ac:dyDescent="0.2">
      <c r="A21" s="42" t="s">
        <v>571</v>
      </c>
      <c r="B21" s="84">
        <f t="shared" ref="B21:F21" si="6">B19+B20</f>
        <v>532076.3113300493</v>
      </c>
      <c r="C21" s="84">
        <f t="shared" si="6"/>
        <v>475797.70251879608</v>
      </c>
      <c r="D21" s="84">
        <f t="shared" si="6"/>
        <v>797108.25936149643</v>
      </c>
      <c r="E21" s="84">
        <f t="shared" si="6"/>
        <v>759206.66013787617</v>
      </c>
      <c r="F21" s="84">
        <f t="shared" si="6"/>
        <v>357325.9650289166</v>
      </c>
      <c r="G21" s="84">
        <f t="shared" si="5"/>
        <v>2921514.8983771345</v>
      </c>
    </row>
    <row r="22" spans="1:7" ht="15.75" customHeight="1" x14ac:dyDescent="0.2">
      <c r="B22" s="79"/>
      <c r="C22" s="79"/>
      <c r="D22" s="79"/>
      <c r="E22" s="79"/>
      <c r="F22" s="79"/>
      <c r="G22" s="79"/>
    </row>
    <row r="23" spans="1:7" ht="15" customHeight="1" x14ac:dyDescent="0.2">
      <c r="A23" s="44" t="s">
        <v>572</v>
      </c>
      <c r="B23" s="79"/>
      <c r="C23" s="79"/>
      <c r="D23" s="79"/>
      <c r="E23" s="79"/>
      <c r="F23" s="79"/>
      <c r="G23" s="79"/>
    </row>
    <row r="24" spans="1:7" ht="15" customHeight="1" x14ac:dyDescent="0.2">
      <c r="A24" s="48" t="s">
        <v>573</v>
      </c>
      <c r="B24" s="84">
        <f>B44*SUPUESTOS!$B$28</f>
        <v>36000</v>
      </c>
      <c r="C24" s="84">
        <f>C44*SUPUESTOS!$B$28</f>
        <v>39099.078218719216</v>
      </c>
      <c r="D24" s="84">
        <f>D44*SUPUESTOS!$B$28</f>
        <v>40655.359036750175</v>
      </c>
      <c r="E24" s="84">
        <f>E44*SUPUESTOS!$B$28</f>
        <v>43789.450335337213</v>
      </c>
      <c r="F24" s="84">
        <f>F44*SUPUESTOS!$B$28</f>
        <v>46641.596346524682</v>
      </c>
      <c r="G24" s="84">
        <f t="shared" ref="G24:G32" si="7">SUM(B24:F24)</f>
        <v>206185.4839373313</v>
      </c>
    </row>
    <row r="25" spans="1:7" ht="15" customHeight="1" x14ac:dyDescent="0.2">
      <c r="A25" s="48" t="s">
        <v>574</v>
      </c>
      <c r="B25" s="84">
        <f>MAX(B44*SUPUESTOS!$B$29,SUPUESTOS!$B$40)+10000</f>
        <v>31600</v>
      </c>
      <c r="C25" s="84">
        <f>MAX(C44*SUPUESTOS!$B$29,SUPUESTOS!$B$40)</f>
        <v>21600</v>
      </c>
      <c r="D25" s="84">
        <f>MAX(D44*SUPUESTOS!$B$29,SUPUESTOS!$B$40)</f>
        <v>21600</v>
      </c>
      <c r="E25" s="84">
        <f>MAX(E44*SUPUESTOS!$B$29,SUPUESTOS!$B$40)</f>
        <v>21600</v>
      </c>
      <c r="F25" s="84">
        <f>MAX(F44*SUPUESTOS!$B$29,SUPUESTOS!$B$40)</f>
        <v>21600</v>
      </c>
      <c r="G25" s="84">
        <f t="shared" si="7"/>
        <v>118000</v>
      </c>
    </row>
    <row r="26" spans="1:7" ht="15" customHeight="1" x14ac:dyDescent="0.2">
      <c r="A26" s="66" t="s">
        <v>575</v>
      </c>
      <c r="B26" s="92">
        <f>B44*SUPUESTOS!$B$30</f>
        <v>0</v>
      </c>
      <c r="C26" s="92">
        <f>C44*SUPUESTOS!$B$30</f>
        <v>0</v>
      </c>
      <c r="D26" s="92">
        <f>D44*SUPUESTOS!$B$30</f>
        <v>0</v>
      </c>
      <c r="E26" s="92">
        <f>E44*SUPUESTOS!$B$30</f>
        <v>0</v>
      </c>
      <c r="F26" s="92">
        <f>F44*SUPUESTOS!$B$30</f>
        <v>0</v>
      </c>
      <c r="G26" s="92">
        <f t="shared" si="7"/>
        <v>0</v>
      </c>
    </row>
    <row r="27" spans="1:7" ht="15" customHeight="1" x14ac:dyDescent="0.2">
      <c r="A27" s="66" t="s">
        <v>576</v>
      </c>
      <c r="B27" s="92">
        <f>B10*(SUPUESTOS!$B$31)</f>
        <v>47566.551724137935</v>
      </c>
      <c r="C27" s="92">
        <f>C10*(SUPUESTOS!$B$31)</f>
        <v>18840.647242908104</v>
      </c>
      <c r="D27" s="92">
        <f>D10*(SUPUESTOS!$B$31)</f>
        <v>43824.426001615568</v>
      </c>
      <c r="E27" s="92">
        <f>E10*(SUPUESTOS!$B$31)</f>
        <v>25374.033557997918</v>
      </c>
      <c r="F27" s="92">
        <f>F10*(SUPUESTOS!$B$31)</f>
        <v>2970.9854283202908</v>
      </c>
      <c r="G27" s="92">
        <f t="shared" si="7"/>
        <v>138576.64395497984</v>
      </c>
    </row>
    <row r="28" spans="1:7" ht="15" customHeight="1" x14ac:dyDescent="0.2">
      <c r="A28" s="48" t="s">
        <v>577</v>
      </c>
      <c r="B28" s="84">
        <f>SUPUESTOS!$B$42+SUPUESTOS!$B$43+SUPUESTOS!$B$44+SUPUESTOS!$B$45+SUPUESTOS!$B$46+SUPUESTOS!$B$47+SUPUESTOS!$B$48</f>
        <v>68100</v>
      </c>
      <c r="C28" s="84">
        <f>SUPUESTOS!$B$42+SUPUESTOS!$B$43+SUPUESTOS!$B$45+SUPUESTOS!$B$46+SUPUESTOS!$B$47+SUPUESTOS!$B$48</f>
        <v>56000</v>
      </c>
      <c r="D28" s="84">
        <f>SUPUESTOS!$B$42+SUPUESTOS!$B$43+SUPUESTOS!$B$45+SUPUESTOS!$B$46+SUPUESTOS!$B$47+SUPUESTOS!$B$48</f>
        <v>56000</v>
      </c>
      <c r="E28" s="84">
        <f>SUPUESTOS!$B$42+SUPUESTOS!$B$43+SUPUESTOS!$B$45+SUPUESTOS!$B$46+SUPUESTOS!$B$47+SUPUESTOS!$B$48</f>
        <v>56000</v>
      </c>
      <c r="F28" s="84">
        <f>SUPUESTOS!$B$42+SUPUESTOS!$B$43+SUPUESTOS!$B$45+SUPUESTOS!$B$46+SUPUESTOS!$B$47+SUPUESTOS!$B$48</f>
        <v>56000</v>
      </c>
      <c r="G28" s="84">
        <f t="shared" si="7"/>
        <v>292100</v>
      </c>
    </row>
    <row r="29" spans="1:7" ht="15" customHeight="1" x14ac:dyDescent="0.2">
      <c r="A29" s="48" t="s">
        <v>578</v>
      </c>
      <c r="B29" s="84">
        <f>(SUPUESTOS!$B$6+B42)*(SUPUESTOS!$B$36+SUPUESTOS!$B$37)</f>
        <v>52499.999999999993</v>
      </c>
      <c r="C29" s="84">
        <f>C42*(SUPUESTOS!$B$36+SUPUESTOS!$B$37)</f>
        <v>0</v>
      </c>
      <c r="D29" s="84">
        <f>D42*(SUPUESTOS!$B$36+SUPUESTOS!$B$37)</f>
        <v>0</v>
      </c>
      <c r="E29" s="84">
        <f>E42*(SUPUESTOS!$B$36+SUPUESTOS!$B$37)</f>
        <v>0</v>
      </c>
      <c r="F29" s="84">
        <f>F42*(SUPUESTOS!$B$36+SUPUESTOS!$B$37)</f>
        <v>0</v>
      </c>
      <c r="G29" s="84">
        <f t="shared" si="7"/>
        <v>52499.999999999993</v>
      </c>
    </row>
    <row r="30" spans="1:7" ht="15" customHeight="1" x14ac:dyDescent="0.2">
      <c r="A30" s="66" t="s">
        <v>579</v>
      </c>
      <c r="B30" s="84">
        <f>B20*SUPUESTOS!$B$39</f>
        <v>38053.241379310348</v>
      </c>
      <c r="C30" s="84">
        <f>C20*SUPUESTOS!$B$39</f>
        <v>15072.517794326484</v>
      </c>
      <c r="D30" s="84">
        <f>D20*SUPUESTOS!$B$39</f>
        <v>35059.540801292453</v>
      </c>
      <c r="E30" s="84">
        <f>E20*SUPUESTOS!$B$39</f>
        <v>20299.226846398335</v>
      </c>
      <c r="F30" s="84">
        <f>F20*SUPUESTOS!$B$39</f>
        <v>2376.7883426562321</v>
      </c>
      <c r="G30" s="84">
        <f t="shared" si="7"/>
        <v>110861.31516398385</v>
      </c>
    </row>
    <row r="31" spans="1:7" ht="15" customHeight="1" x14ac:dyDescent="0.2">
      <c r="A31" s="93" t="s">
        <v>580</v>
      </c>
      <c r="B31" s="84">
        <f>B14*SUPUESTOS!$B$54</f>
        <v>0</v>
      </c>
      <c r="C31" s="84">
        <f>C14*SUPUESTOS!$B$54</f>
        <v>0</v>
      </c>
      <c r="D31" s="84">
        <f>D14*SUPUESTOS!$B$54</f>
        <v>135517.8634558339</v>
      </c>
      <c r="E31" s="84">
        <f>E14*SUPUESTOS!$B$54</f>
        <v>135517.8634558339</v>
      </c>
      <c r="F31" s="84">
        <f>F14*SUPUESTOS!$B$54</f>
        <v>135517.8634558339</v>
      </c>
      <c r="G31" s="84">
        <f t="shared" si="7"/>
        <v>406553.59036750172</v>
      </c>
    </row>
    <row r="32" spans="1:7" ht="15" customHeight="1" x14ac:dyDescent="0.2">
      <c r="A32" s="42" t="s">
        <v>581</v>
      </c>
      <c r="B32" s="84">
        <f t="shared" ref="B32:F32" si="8">B24+B25+B26+B27+B28+B29+B30+B31+B34</f>
        <v>273819.79310344829</v>
      </c>
      <c r="C32" s="84">
        <f t="shared" si="8"/>
        <v>150612.2432559538</v>
      </c>
      <c r="D32" s="84">
        <f t="shared" si="8"/>
        <v>332657.18929549213</v>
      </c>
      <c r="E32" s="84">
        <f t="shared" si="8"/>
        <v>302580.5741955674</v>
      </c>
      <c r="F32" s="84">
        <f t="shared" si="8"/>
        <v>338976.2264789266</v>
      </c>
      <c r="G32" s="84">
        <f t="shared" si="7"/>
        <v>1398646.0263293881</v>
      </c>
    </row>
    <row r="33" spans="1:7" ht="15" customHeight="1" x14ac:dyDescent="0.2">
      <c r="A33" s="94" t="s">
        <v>582</v>
      </c>
      <c r="B33" s="95">
        <f>'RESULTADOS ASESOR TCMC (5Y)'!B14</f>
        <v>6030.9873152709279</v>
      </c>
      <c r="C33" s="95">
        <f>'RESULTADOS ASESOR TCMC (5Y)'!C14</f>
        <v>11803.445062140254</v>
      </c>
      <c r="D33" s="95">
        <f>'RESULTADOS ASESOR TCMC (5Y)'!D14</f>
        <v>25273.051791775852</v>
      </c>
      <c r="E33" s="95">
        <f>'RESULTADOS ASESOR TCMC (5Y)'!E14</f>
        <v>22926.582246034381</v>
      </c>
      <c r="F33" s="95">
        <f>'RESULTADOS ASESOR TCMC (5Y)'!F14</f>
        <v>7834.9264903700741</v>
      </c>
      <c r="G33" s="95">
        <f>'RESULTADOS ASESOR TCMC (5Y)'!G14</f>
        <v>73868.992905591484</v>
      </c>
    </row>
    <row r="34" spans="1:7" ht="15" customHeight="1" x14ac:dyDescent="0.2">
      <c r="A34" s="96" t="s">
        <v>583</v>
      </c>
      <c r="B34" s="97">
        <f>'RESULTADOS ASESOR TCMC (5Y)'!B18</f>
        <v>0</v>
      </c>
      <c r="C34" s="97">
        <f>'RESULTADOS ASESOR TCMC (5Y)'!C18</f>
        <v>0</v>
      </c>
      <c r="D34" s="97">
        <f>'RESULTADOS ASESOR TCMC (5Y)'!D18</f>
        <v>0</v>
      </c>
      <c r="E34" s="97">
        <f>'RESULTADOS ASESOR TCMC (5Y)'!E18</f>
        <v>0</v>
      </c>
      <c r="F34" s="97">
        <f>'RESULTADOS ASESOR TCMC (5Y)'!F18</f>
        <v>73868.992905591484</v>
      </c>
      <c r="G34" s="97">
        <f>'RESULTADOS ASESOR TCMC (5Y)'!G18</f>
        <v>73868.992905591484</v>
      </c>
    </row>
    <row r="35" spans="1:7" ht="15" customHeight="1" x14ac:dyDescent="0.2">
      <c r="A35" s="44" t="s">
        <v>584</v>
      </c>
      <c r="B35" s="79"/>
      <c r="C35" s="79"/>
      <c r="D35" s="79"/>
      <c r="E35" s="79"/>
      <c r="F35" s="79"/>
      <c r="G35" s="79"/>
    </row>
    <row r="36" spans="1:7" ht="15" customHeight="1" x14ac:dyDescent="0.2">
      <c r="A36" s="42" t="s">
        <v>585</v>
      </c>
      <c r="B36" s="84">
        <f t="shared" ref="B36:F36" si="9">B21-B32</f>
        <v>258256.51822660101</v>
      </c>
      <c r="C36" s="84">
        <f t="shared" si="9"/>
        <v>325185.45926284231</v>
      </c>
      <c r="D36" s="84">
        <f t="shared" si="9"/>
        <v>464451.07006600429</v>
      </c>
      <c r="E36" s="84">
        <f t="shared" si="9"/>
        <v>456626.08594230877</v>
      </c>
      <c r="F36" s="84">
        <f t="shared" si="9"/>
        <v>18349.738549989997</v>
      </c>
      <c r="G36" s="84">
        <f>SUM(B36:F36)</f>
        <v>1522868.8720477466</v>
      </c>
    </row>
    <row r="37" spans="1:7" ht="15" customHeight="1" x14ac:dyDescent="0.2">
      <c r="A37" s="48" t="s">
        <v>586</v>
      </c>
      <c r="B37" s="100">
        <f t="shared" ref="B37:F37" si="10">IF(B44&gt;0,B36/B44,0)</f>
        <v>8.6085506075533669E-2</v>
      </c>
      <c r="C37" s="100">
        <f t="shared" si="10"/>
        <v>9.9803516832933023E-2</v>
      </c>
      <c r="D37" s="100">
        <f t="shared" si="10"/>
        <v>0.13708925398381056</v>
      </c>
      <c r="E37" s="100">
        <f t="shared" si="10"/>
        <v>0.12513317681190092</v>
      </c>
      <c r="F37" s="100">
        <f t="shared" si="10"/>
        <v>4.7210404413245838E-3</v>
      </c>
      <c r="G37" s="79"/>
    </row>
    <row r="38" spans="1:7" ht="15" customHeight="1" x14ac:dyDescent="0.2">
      <c r="A38" s="48" t="s">
        <v>587</v>
      </c>
      <c r="B38" s="84">
        <f t="shared" ref="B38:F38" si="11">B76</f>
        <v>0</v>
      </c>
      <c r="C38" s="84">
        <f t="shared" si="11"/>
        <v>195495.39109359606</v>
      </c>
      <c r="D38" s="84">
        <f t="shared" si="11"/>
        <v>203276.79518375086</v>
      </c>
      <c r="E38" s="84">
        <f t="shared" si="11"/>
        <v>218947.25167668605</v>
      </c>
      <c r="F38" s="84">
        <f t="shared" si="11"/>
        <v>0</v>
      </c>
      <c r="G38" s="84">
        <f t="shared" ref="G38:G39" si="12">SUM(B38:F38)</f>
        <v>617719.43795403303</v>
      </c>
    </row>
    <row r="39" spans="1:7" ht="15" customHeight="1" x14ac:dyDescent="0.2">
      <c r="A39" s="48" t="s">
        <v>588</v>
      </c>
      <c r="B39" s="84">
        <f t="shared" ref="B39:F39" si="13">B36-B38</f>
        <v>258256.51822660101</v>
      </c>
      <c r="C39" s="84">
        <f t="shared" si="13"/>
        <v>129690.06816924625</v>
      </c>
      <c r="D39" s="84">
        <f t="shared" si="13"/>
        <v>261174.27488225343</v>
      </c>
      <c r="E39" s="84">
        <f t="shared" si="13"/>
        <v>237678.83426562272</v>
      </c>
      <c r="F39" s="84">
        <f t="shared" si="13"/>
        <v>18349.738549989997</v>
      </c>
      <c r="G39" s="84">
        <f t="shared" si="12"/>
        <v>905149.43409371341</v>
      </c>
    </row>
    <row r="40" spans="1:7" ht="15.75" customHeight="1" x14ac:dyDescent="0.2">
      <c r="B40" s="79"/>
      <c r="C40" s="79"/>
      <c r="D40" s="79"/>
      <c r="E40" s="79"/>
      <c r="F40" s="79"/>
      <c r="G40" s="79"/>
    </row>
    <row r="41" spans="1:7" ht="15" customHeight="1" x14ac:dyDescent="0.2">
      <c r="A41" s="44" t="s">
        <v>589</v>
      </c>
      <c r="B41" s="79"/>
      <c r="C41" s="79"/>
      <c r="D41" s="79"/>
      <c r="E41" s="79"/>
      <c r="F41" s="79"/>
      <c r="G41" s="79"/>
    </row>
    <row r="42" spans="1:7" ht="15" customHeight="1" x14ac:dyDescent="0.2">
      <c r="A42" s="42" t="s">
        <v>590</v>
      </c>
      <c r="B42" s="101">
        <v>0</v>
      </c>
      <c r="C42" s="101">
        <v>0</v>
      </c>
      <c r="D42" s="101">
        <v>0</v>
      </c>
      <c r="E42" s="101">
        <v>0</v>
      </c>
      <c r="F42" s="101">
        <v>0</v>
      </c>
      <c r="G42" s="91">
        <f>SUM(B42:F42)</f>
        <v>0</v>
      </c>
    </row>
    <row r="43" spans="1:7" ht="15" customHeight="1" x14ac:dyDescent="0.2">
      <c r="A43" s="48" t="s">
        <v>591</v>
      </c>
      <c r="B43" s="79"/>
      <c r="C43" s="79"/>
      <c r="D43" s="79"/>
      <c r="E43" s="79"/>
      <c r="F43" s="79"/>
      <c r="G43" s="79"/>
    </row>
    <row r="44" spans="1:7" ht="15" customHeight="1" x14ac:dyDescent="0.2">
      <c r="A44" s="48" t="s">
        <v>592</v>
      </c>
      <c r="B44" s="82">
        <f>SUPUESTOS!$B$6+B42</f>
        <v>3000000</v>
      </c>
      <c r="C44" s="84">
        <f t="shared" ref="C44:F44" si="14">B45-B38+C42</f>
        <v>3258256.5182266012</v>
      </c>
      <c r="D44" s="84">
        <f t="shared" si="14"/>
        <v>3387946.5863958476</v>
      </c>
      <c r="E44" s="84">
        <f t="shared" si="14"/>
        <v>3649120.8612781009</v>
      </c>
      <c r="F44" s="84">
        <f t="shared" si="14"/>
        <v>3886799.6955437236</v>
      </c>
      <c r="G44" s="84"/>
    </row>
    <row r="45" spans="1:7" ht="15" customHeight="1" x14ac:dyDescent="0.2">
      <c r="A45" s="48" t="s">
        <v>593</v>
      </c>
      <c r="B45" s="84">
        <f t="shared" ref="B45:F45" si="15">B44+B36</f>
        <v>3258256.5182266012</v>
      </c>
      <c r="C45" s="84">
        <f t="shared" si="15"/>
        <v>3583441.9774894435</v>
      </c>
      <c r="D45" s="84">
        <f t="shared" si="15"/>
        <v>3852397.6564618517</v>
      </c>
      <c r="E45" s="84">
        <f t="shared" si="15"/>
        <v>4105746.9472204098</v>
      </c>
      <c r="F45" s="84">
        <f t="shared" si="15"/>
        <v>3905149.4340937138</v>
      </c>
      <c r="G45" s="84"/>
    </row>
    <row r="46" spans="1:7" ht="15" customHeight="1" x14ac:dyDescent="0.2">
      <c r="B46" s="79"/>
      <c r="C46" s="84"/>
      <c r="D46" s="84"/>
      <c r="E46" s="84"/>
      <c r="F46" s="79"/>
      <c r="G46" s="79"/>
    </row>
    <row r="47" spans="1:7" ht="15" customHeight="1" x14ac:dyDescent="0.2">
      <c r="A47" s="73" t="s">
        <v>594</v>
      </c>
      <c r="B47" s="79"/>
      <c r="C47" s="79"/>
      <c r="D47" s="79"/>
      <c r="E47" s="79"/>
      <c r="F47" s="79"/>
      <c r="G47" s="79"/>
    </row>
    <row r="48" spans="1:7" ht="15" customHeight="1" x14ac:dyDescent="0.2">
      <c r="A48" s="48" t="s">
        <v>595</v>
      </c>
      <c r="B48" s="84"/>
      <c r="C48" s="84"/>
      <c r="D48" s="84"/>
      <c r="E48" s="84"/>
      <c r="F48" s="84">
        <f>IF(F7=0,F6,0)</f>
        <v>1847428.2997213728</v>
      </c>
      <c r="G48" s="84"/>
    </row>
    <row r="49" spans="1:9" ht="15" customHeight="1" x14ac:dyDescent="0.2">
      <c r="A49" s="48" t="s">
        <v>596</v>
      </c>
      <c r="B49" s="84"/>
      <c r="C49" s="84"/>
      <c r="D49" s="84"/>
      <c r="E49" s="84"/>
      <c r="F49" s="84">
        <f>F9</f>
        <v>3733344.6890202747</v>
      </c>
      <c r="G49" s="84"/>
    </row>
    <row r="50" spans="1:9" ht="15" customHeight="1" x14ac:dyDescent="0.2">
      <c r="A50" s="48" t="s">
        <v>597</v>
      </c>
      <c r="B50" s="84"/>
      <c r="C50" s="84"/>
      <c r="D50" s="84"/>
      <c r="E50" s="84"/>
      <c r="F50" s="84">
        <f>F49/(1+SUPUESTOS!$B$69)</f>
        <v>3425086.8706608023</v>
      </c>
      <c r="G50" s="84"/>
    </row>
    <row r="51" spans="1:9" ht="15" customHeight="1" x14ac:dyDescent="0.2">
      <c r="A51" s="48" t="s">
        <v>598</v>
      </c>
      <c r="B51" s="84"/>
      <c r="C51" s="84"/>
      <c r="D51" s="84"/>
      <c r="E51" s="84"/>
      <c r="F51" s="84">
        <f>F14</f>
        <v>1693973.2931979238</v>
      </c>
      <c r="G51" s="84"/>
    </row>
    <row r="52" spans="1:9" ht="15" customHeight="1" x14ac:dyDescent="0.2">
      <c r="A52" s="42" t="s">
        <v>599</v>
      </c>
      <c r="B52" s="84"/>
      <c r="C52" s="84"/>
      <c r="D52" s="84"/>
      <c r="E52" s="84"/>
      <c r="F52" s="84">
        <f>F48+F50-F51</f>
        <v>3578541.8771842518</v>
      </c>
      <c r="G52" s="84"/>
    </row>
    <row r="53" spans="1:9" ht="15.75" customHeight="1" x14ac:dyDescent="0.2">
      <c r="B53" s="79"/>
      <c r="C53" s="79"/>
      <c r="D53" s="79"/>
      <c r="E53" s="79"/>
      <c r="F53" s="79"/>
      <c r="G53" s="79"/>
    </row>
    <row r="54" spans="1:9" ht="15" customHeight="1" x14ac:dyDescent="0.2">
      <c r="A54" s="44" t="s">
        <v>600</v>
      </c>
      <c r="B54" s="79"/>
      <c r="C54" s="79"/>
      <c r="D54" s="79"/>
      <c r="E54" s="79"/>
      <c r="F54" s="79"/>
      <c r="G54" s="79"/>
    </row>
    <row r="55" spans="1:9" ht="15" customHeight="1" x14ac:dyDescent="0.2">
      <c r="A55" s="48" t="s">
        <v>601</v>
      </c>
      <c r="B55" s="84">
        <f t="shared" ref="B55:F55" si="16">B79</f>
        <v>0</v>
      </c>
      <c r="C55" s="84">
        <f t="shared" si="16"/>
        <v>195495.39109359606</v>
      </c>
      <c r="D55" s="84">
        <f t="shared" si="16"/>
        <v>203276.79518375086</v>
      </c>
      <c r="E55" s="84">
        <f t="shared" si="16"/>
        <v>218947.25167668605</v>
      </c>
      <c r="F55" s="84">
        <f t="shared" si="16"/>
        <v>0</v>
      </c>
      <c r="G55" s="84">
        <f t="shared" ref="G55:G56" si="17">SUM(B55:F55)</f>
        <v>617719.43795403303</v>
      </c>
    </row>
    <row r="56" spans="1:9" ht="15" customHeight="1" x14ac:dyDescent="0.2">
      <c r="A56" s="48" t="s">
        <v>602</v>
      </c>
      <c r="B56" s="84">
        <v>0</v>
      </c>
      <c r="C56" s="84">
        <v>0</v>
      </c>
      <c r="D56" s="84">
        <v>0</v>
      </c>
      <c r="E56" s="84">
        <v>0</v>
      </c>
      <c r="F56" s="84">
        <f>F52</f>
        <v>3578541.8771842518</v>
      </c>
      <c r="G56" s="84">
        <f t="shared" si="17"/>
        <v>3578541.8771842518</v>
      </c>
    </row>
    <row r="57" spans="1:9" ht="15" customHeight="1" x14ac:dyDescent="0.2">
      <c r="A57" s="42" t="s">
        <v>603</v>
      </c>
      <c r="B57" s="84">
        <f t="shared" ref="B57:G57" si="18">B55+B56</f>
        <v>0</v>
      </c>
      <c r="C57" s="84">
        <f t="shared" si="18"/>
        <v>195495.39109359606</v>
      </c>
      <c r="D57" s="84">
        <f t="shared" si="18"/>
        <v>203276.79518375086</v>
      </c>
      <c r="E57" s="84">
        <f t="shared" si="18"/>
        <v>218947.25167668605</v>
      </c>
      <c r="F57" s="84">
        <f t="shared" si="18"/>
        <v>3578541.8771842518</v>
      </c>
      <c r="G57" s="84">
        <f t="shared" si="18"/>
        <v>4196261.315138285</v>
      </c>
    </row>
    <row r="58" spans="1:9" ht="15" customHeight="1" x14ac:dyDescent="0.2">
      <c r="A58" s="48" t="s">
        <v>604</v>
      </c>
      <c r="B58" s="84">
        <f>B57</f>
        <v>0</v>
      </c>
      <c r="C58" s="84">
        <f t="shared" ref="C58:F58" si="19">B58+C57</f>
        <v>195495.39109359606</v>
      </c>
      <c r="D58" s="84">
        <f t="shared" si="19"/>
        <v>398772.18627734692</v>
      </c>
      <c r="E58" s="84">
        <f t="shared" si="19"/>
        <v>617719.43795403303</v>
      </c>
      <c r="F58" s="84">
        <f t="shared" si="19"/>
        <v>4196261.315138285</v>
      </c>
      <c r="G58" s="84"/>
    </row>
    <row r="59" spans="1:9" ht="15.75" customHeight="1" x14ac:dyDescent="0.2">
      <c r="B59" s="79"/>
      <c r="C59" s="79"/>
      <c r="D59" s="79"/>
      <c r="E59" s="79"/>
      <c r="F59" s="79"/>
      <c r="G59" s="79"/>
    </row>
    <row r="60" spans="1:9" ht="15" customHeight="1" x14ac:dyDescent="0.2">
      <c r="A60" s="44" t="s">
        <v>605</v>
      </c>
      <c r="B60" s="79"/>
      <c r="C60" s="79"/>
      <c r="D60" s="79"/>
      <c r="E60" s="79"/>
      <c r="F60" s="79"/>
      <c r="G60" s="79"/>
    </row>
    <row r="61" spans="1:9" ht="15" customHeight="1" x14ac:dyDescent="0.2">
      <c r="A61" s="48" t="s">
        <v>606</v>
      </c>
      <c r="B61" s="102">
        <f>-SUPUESTOS!$B$6-B42+B57</f>
        <v>-3000000</v>
      </c>
      <c r="C61" s="102">
        <f t="shared" ref="C61:E61" si="20">C57-C42</f>
        <v>195495.39109359606</v>
      </c>
      <c r="D61" s="102">
        <f t="shared" si="20"/>
        <v>203276.79518375086</v>
      </c>
      <c r="E61" s="102">
        <f t="shared" si="20"/>
        <v>218947.25167668605</v>
      </c>
      <c r="F61" s="103">
        <f>-F42+F57</f>
        <v>3578541.8771842518</v>
      </c>
      <c r="G61" s="102"/>
      <c r="H61" s="104"/>
      <c r="I61" s="105" t="s">
        <v>607</v>
      </c>
    </row>
    <row r="62" spans="1:9" ht="15" customHeight="1" x14ac:dyDescent="0.2">
      <c r="A62" s="106" t="s">
        <v>608</v>
      </c>
      <c r="B62" s="107">
        <f>IFERROR(IRR(B61:G61),"-")</f>
        <v>9.5396806057810313E-2</v>
      </c>
      <c r="C62" s="79"/>
      <c r="D62" s="79"/>
      <c r="E62" s="79"/>
      <c r="F62" s="79"/>
      <c r="G62" s="79"/>
    </row>
    <row r="63" spans="1:9" ht="15" customHeight="1" x14ac:dyDescent="0.2">
      <c r="A63" s="48" t="s">
        <v>609</v>
      </c>
      <c r="B63" s="108">
        <f>IF((SUPUESTOS!$B$6+G42)&gt;0,G57/(SUPUESTOS!$B$6+G42),0)</f>
        <v>1.3987537717127616</v>
      </c>
      <c r="C63" s="79"/>
      <c r="D63" s="79"/>
      <c r="E63" s="79"/>
      <c r="F63" s="79"/>
      <c r="G63" s="79"/>
    </row>
    <row r="64" spans="1:9" ht="15" customHeight="1" x14ac:dyDescent="0.2">
      <c r="B64" s="84"/>
      <c r="C64" s="109"/>
      <c r="D64" s="109"/>
      <c r="E64" s="109"/>
      <c r="F64" s="109"/>
      <c r="G64" s="109"/>
    </row>
    <row r="65" spans="1:7" ht="15" customHeight="1" x14ac:dyDescent="0.2">
      <c r="A65" s="110" t="s">
        <v>610</v>
      </c>
      <c r="B65" s="79"/>
      <c r="C65" s="79"/>
      <c r="D65" s="79"/>
      <c r="E65" s="79"/>
      <c r="F65" s="79"/>
      <c r="G65" s="79"/>
    </row>
    <row r="66" spans="1:7" ht="15" customHeight="1" x14ac:dyDescent="0.2">
      <c r="A66" s="26" t="s">
        <v>611</v>
      </c>
      <c r="B66" s="79"/>
      <c r="C66" s="79"/>
      <c r="D66" s="79"/>
      <c r="E66" s="79"/>
      <c r="F66" s="79"/>
      <c r="G66" s="79"/>
    </row>
    <row r="67" spans="1:7" ht="15.75" customHeight="1" x14ac:dyDescent="0.2">
      <c r="B67" s="79"/>
      <c r="C67" s="79"/>
      <c r="D67" s="79"/>
      <c r="E67" s="79"/>
      <c r="F67" s="79"/>
      <c r="G67" s="79"/>
    </row>
    <row r="68" spans="1:7" ht="15.75" customHeight="1" x14ac:dyDescent="0.2">
      <c r="B68" s="79"/>
      <c r="C68" s="79"/>
      <c r="D68" s="79"/>
      <c r="E68" s="79"/>
      <c r="F68" s="79"/>
      <c r="G68" s="79"/>
    </row>
    <row r="69" spans="1:7" ht="15" customHeight="1" x14ac:dyDescent="0.2">
      <c r="A69" s="78" t="s">
        <v>612</v>
      </c>
      <c r="B69" s="79"/>
      <c r="C69" s="79"/>
      <c r="D69" s="79"/>
      <c r="E69" s="79"/>
      <c r="F69" s="79"/>
      <c r="G69" s="79"/>
    </row>
    <row r="70" spans="1:7" ht="15" customHeight="1" x14ac:dyDescent="0.2">
      <c r="A70" s="73" t="s">
        <v>102</v>
      </c>
      <c r="B70" s="80">
        <v>2026</v>
      </c>
      <c r="C70" s="80">
        <v>2027</v>
      </c>
      <c r="D70" s="80">
        <v>2028</v>
      </c>
      <c r="E70" s="80">
        <v>2029</v>
      </c>
      <c r="F70" s="80">
        <v>2030</v>
      </c>
      <c r="G70" s="80" t="s">
        <v>555</v>
      </c>
    </row>
    <row r="71" spans="1:7" ht="15" customHeight="1" x14ac:dyDescent="0.2">
      <c r="A71" s="73" t="s">
        <v>613</v>
      </c>
      <c r="B71" s="84">
        <f t="shared" ref="B71:F71" si="21">MIN(B72, B44)</f>
        <v>0</v>
      </c>
      <c r="C71" s="84">
        <f t="shared" si="21"/>
        <v>0</v>
      </c>
      <c r="D71" s="84">
        <f t="shared" si="21"/>
        <v>0</v>
      </c>
      <c r="E71" s="84">
        <f t="shared" si="21"/>
        <v>0</v>
      </c>
      <c r="F71" s="84">
        <f t="shared" si="21"/>
        <v>0</v>
      </c>
      <c r="G71" s="84">
        <f>SUM(B71:F71)</f>
        <v>0</v>
      </c>
    </row>
    <row r="72" spans="1:7" ht="15" customHeight="1" x14ac:dyDescent="0.2">
      <c r="A72" s="111" t="s">
        <v>614</v>
      </c>
      <c r="B72" s="112">
        <v>0</v>
      </c>
      <c r="C72" s="112">
        <v>0</v>
      </c>
      <c r="D72" s="112">
        <v>0</v>
      </c>
      <c r="E72" s="112">
        <v>0</v>
      </c>
      <c r="F72" s="112">
        <v>0</v>
      </c>
      <c r="G72" s="79"/>
    </row>
    <row r="73" spans="1:7" ht="15" customHeight="1" x14ac:dyDescent="0.2">
      <c r="A73" s="111" t="s">
        <v>615</v>
      </c>
      <c r="B73" s="113">
        <v>0</v>
      </c>
      <c r="C73" s="113">
        <v>0.06</v>
      </c>
      <c r="D73" s="113">
        <v>0.06</v>
      </c>
      <c r="E73" s="113">
        <v>0.06</v>
      </c>
      <c r="F73" s="79"/>
      <c r="G73" s="79"/>
    </row>
    <row r="74" spans="1:7" ht="15" customHeight="1" x14ac:dyDescent="0.2">
      <c r="A74" s="48" t="s">
        <v>616</v>
      </c>
      <c r="B74" s="84">
        <f>IF(1&gt;=SUPUESTOS!$B$58, B44*B73, 0)</f>
        <v>0</v>
      </c>
      <c r="C74" s="84">
        <f>IF(2&gt;=SUPUESTOS!$B$58, C44*C73, 0)</f>
        <v>195495.39109359606</v>
      </c>
      <c r="D74" s="84">
        <f>IF(3&gt;=SUPUESTOS!$B$58, D44*D73, 0)</f>
        <v>203276.79518375086</v>
      </c>
      <c r="E74" s="84">
        <f>IF(4&gt;=SUPUESTOS!$B$58, E44*E73, 0)</f>
        <v>218947.25167668605</v>
      </c>
      <c r="F74" s="84">
        <f>IF(5&gt;=SUPUESTOS!$B$58, F44*F73, 0)</f>
        <v>0</v>
      </c>
      <c r="G74" s="84">
        <f>SUM(B74:F74)</f>
        <v>617719.43795403303</v>
      </c>
    </row>
    <row r="75" spans="1:7" ht="15.75" customHeight="1" x14ac:dyDescent="0.2">
      <c r="B75" s="79"/>
      <c r="C75" s="79"/>
      <c r="D75" s="79"/>
      <c r="E75" s="79"/>
      <c r="F75" s="79"/>
      <c r="G75" s="79"/>
    </row>
    <row r="76" spans="1:7" ht="15" customHeight="1" x14ac:dyDescent="0.2">
      <c r="A76" s="73" t="s">
        <v>617</v>
      </c>
      <c r="B76" s="114">
        <f t="shared" ref="B76:F76" si="22">B71+B74</f>
        <v>0</v>
      </c>
      <c r="C76" s="114">
        <f t="shared" si="22"/>
        <v>195495.39109359606</v>
      </c>
      <c r="D76" s="114">
        <f t="shared" si="22"/>
        <v>203276.79518375086</v>
      </c>
      <c r="E76" s="114">
        <f t="shared" si="22"/>
        <v>218947.25167668605</v>
      </c>
      <c r="F76" s="114">
        <f t="shared" si="22"/>
        <v>0</v>
      </c>
      <c r="G76" s="114">
        <f>SUM(B76:F76)</f>
        <v>617719.43795403303</v>
      </c>
    </row>
    <row r="77" spans="1:7" ht="15" customHeight="1" x14ac:dyDescent="0.2">
      <c r="A77" s="48" t="s">
        <v>618</v>
      </c>
      <c r="B77" s="115">
        <f>SUPUESTOS!$B$59</f>
        <v>0</v>
      </c>
      <c r="C77" s="115">
        <f>SUPUESTOS!$B$59</f>
        <v>0</v>
      </c>
      <c r="D77" s="115">
        <f>SUPUESTOS!$B$59</f>
        <v>0</v>
      </c>
      <c r="E77" s="115">
        <f>SUPUESTOS!$B$59</f>
        <v>0</v>
      </c>
      <c r="F77" s="115">
        <f>SUPUESTOS!$B$59</f>
        <v>0</v>
      </c>
      <c r="G77" s="79"/>
    </row>
    <row r="78" spans="1:7" ht="15" customHeight="1" x14ac:dyDescent="0.2">
      <c r="A78" s="48" t="s">
        <v>619</v>
      </c>
      <c r="B78" s="84">
        <f t="shared" ref="B78:F78" si="23">B76*B77</f>
        <v>0</v>
      </c>
      <c r="C78" s="84">
        <f t="shared" si="23"/>
        <v>0</v>
      </c>
      <c r="D78" s="84">
        <f t="shared" si="23"/>
        <v>0</v>
      </c>
      <c r="E78" s="84">
        <f t="shared" si="23"/>
        <v>0</v>
      </c>
      <c r="F78" s="84">
        <f t="shared" si="23"/>
        <v>0</v>
      </c>
      <c r="G78" s="84">
        <f t="shared" ref="G78:G79" si="24">SUM(B78:F78)</f>
        <v>0</v>
      </c>
    </row>
    <row r="79" spans="1:7" ht="15" customHeight="1" x14ac:dyDescent="0.2">
      <c r="A79" s="73" t="s">
        <v>620</v>
      </c>
      <c r="B79" s="114">
        <f t="shared" ref="B79:F79" si="25">B76-B78</f>
        <v>0</v>
      </c>
      <c r="C79" s="114">
        <f t="shared" si="25"/>
        <v>195495.39109359606</v>
      </c>
      <c r="D79" s="114">
        <f t="shared" si="25"/>
        <v>203276.79518375086</v>
      </c>
      <c r="E79" s="114">
        <f t="shared" si="25"/>
        <v>218947.25167668605</v>
      </c>
      <c r="F79" s="114">
        <f t="shared" si="25"/>
        <v>0</v>
      </c>
      <c r="G79" s="114">
        <f t="shared" si="24"/>
        <v>617719.43795403303</v>
      </c>
    </row>
    <row r="80" spans="1:7" ht="15" customHeight="1" x14ac:dyDescent="0.2">
      <c r="A80" s="48" t="s">
        <v>621</v>
      </c>
      <c r="B80" s="84">
        <f t="shared" ref="B80:F80" si="26">B76</f>
        <v>0</v>
      </c>
      <c r="C80" s="84">
        <f t="shared" si="26"/>
        <v>195495.39109359606</v>
      </c>
      <c r="D80" s="84">
        <f t="shared" si="26"/>
        <v>203276.79518375086</v>
      </c>
      <c r="E80" s="84">
        <f t="shared" si="26"/>
        <v>218947.25167668605</v>
      </c>
      <c r="F80" s="84">
        <f t="shared" si="26"/>
        <v>0</v>
      </c>
      <c r="G80" s="79"/>
    </row>
    <row r="81" spans="1:7" ht="15" customHeight="1" x14ac:dyDescent="0.2">
      <c r="A81" s="48" t="s">
        <v>622</v>
      </c>
      <c r="B81" s="79"/>
      <c r="C81" s="79"/>
      <c r="D81" s="79"/>
      <c r="E81" s="79"/>
      <c r="F81" s="79"/>
      <c r="G81" s="79"/>
    </row>
    <row r="82" spans="1:7" ht="15.75" customHeight="1" x14ac:dyDescent="0.2">
      <c r="B82" s="79"/>
      <c r="C82" s="79"/>
      <c r="D82" s="79"/>
      <c r="E82" s="79"/>
      <c r="F82" s="79"/>
      <c r="G82" s="79"/>
    </row>
    <row r="83" spans="1:7" ht="15.75" customHeight="1" x14ac:dyDescent="0.2">
      <c r="B83" s="79"/>
      <c r="C83" s="79"/>
      <c r="D83" s="79"/>
      <c r="E83" s="79"/>
      <c r="F83" s="79"/>
      <c r="G83" s="79"/>
    </row>
    <row r="84" spans="1:7" ht="15.75" customHeight="1" x14ac:dyDescent="0.2">
      <c r="B84" s="79"/>
      <c r="C84" s="79"/>
      <c r="D84" s="79"/>
      <c r="E84" s="79"/>
      <c r="F84" s="79"/>
      <c r="G84" s="79"/>
    </row>
    <row r="85" spans="1:7" ht="15.75" customHeight="1" x14ac:dyDescent="0.2">
      <c r="B85" s="79"/>
      <c r="C85" s="79"/>
      <c r="D85" s="79"/>
      <c r="E85" s="79"/>
      <c r="F85" s="79"/>
      <c r="G85" s="79"/>
    </row>
    <row r="86" spans="1:7" ht="15.75" customHeight="1" x14ac:dyDescent="0.2">
      <c r="B86" s="79"/>
      <c r="C86" s="79"/>
      <c r="D86" s="79"/>
      <c r="E86" s="79"/>
      <c r="F86" s="79"/>
      <c r="G86" s="79"/>
    </row>
    <row r="87" spans="1:7" ht="15.75" customHeight="1" x14ac:dyDescent="0.2">
      <c r="B87" s="79"/>
      <c r="C87" s="79"/>
      <c r="D87" s="79"/>
      <c r="E87" s="79"/>
      <c r="F87" s="79"/>
      <c r="G87" s="79"/>
    </row>
    <row r="88" spans="1:7" ht="15.75" customHeight="1" x14ac:dyDescent="0.2">
      <c r="B88" s="79"/>
      <c r="C88" s="79"/>
      <c r="D88" s="79"/>
      <c r="E88" s="79"/>
      <c r="F88" s="79"/>
      <c r="G88" s="79"/>
    </row>
    <row r="89" spans="1:7" ht="15.75" customHeight="1" x14ac:dyDescent="0.2">
      <c r="B89" s="79"/>
      <c r="C89" s="79"/>
      <c r="D89" s="79"/>
      <c r="E89" s="79"/>
      <c r="F89" s="79"/>
      <c r="G89" s="79"/>
    </row>
    <row r="90" spans="1:7" ht="15.75" customHeight="1" x14ac:dyDescent="0.2">
      <c r="B90" s="79"/>
      <c r="C90" s="79"/>
      <c r="D90" s="79"/>
      <c r="E90" s="79"/>
      <c r="F90" s="79"/>
      <c r="G90" s="79"/>
    </row>
    <row r="91" spans="1:7" ht="15.75" customHeight="1" x14ac:dyDescent="0.2">
      <c r="B91" s="79"/>
      <c r="C91" s="79"/>
      <c r="D91" s="79"/>
      <c r="E91" s="79"/>
      <c r="F91" s="79"/>
      <c r="G91" s="79"/>
    </row>
    <row r="92" spans="1:7" ht="15.75" customHeight="1" x14ac:dyDescent="0.2">
      <c r="B92" s="79"/>
      <c r="C92" s="79"/>
      <c r="D92" s="79"/>
      <c r="E92" s="79"/>
      <c r="F92" s="79"/>
      <c r="G92" s="79"/>
    </row>
    <row r="93" spans="1:7" ht="15.75" customHeight="1" x14ac:dyDescent="0.2">
      <c r="B93" s="79"/>
      <c r="C93" s="79"/>
      <c r="D93" s="79"/>
      <c r="E93" s="79"/>
      <c r="F93" s="79"/>
      <c r="G93" s="79"/>
    </row>
    <row r="94" spans="1:7" ht="15.75" customHeight="1" x14ac:dyDescent="0.2">
      <c r="B94" s="79"/>
      <c r="C94" s="79"/>
      <c r="D94" s="79"/>
      <c r="E94" s="79"/>
      <c r="F94" s="79"/>
      <c r="G94" s="79"/>
    </row>
    <row r="95" spans="1:7" ht="15.75" customHeight="1" x14ac:dyDescent="0.2">
      <c r="B95" s="79"/>
      <c r="C95" s="79"/>
      <c r="D95" s="79"/>
      <c r="E95" s="79"/>
      <c r="F95" s="79"/>
      <c r="G95" s="79"/>
    </row>
    <row r="96" spans="1:7" ht="15.75" customHeight="1" x14ac:dyDescent="0.2">
      <c r="B96" s="79"/>
      <c r="C96" s="79"/>
      <c r="D96" s="79"/>
      <c r="E96" s="79"/>
      <c r="F96" s="79"/>
      <c r="G96" s="79"/>
    </row>
    <row r="97" spans="2:7" ht="15.75" customHeight="1" x14ac:dyDescent="0.2">
      <c r="B97" s="79"/>
      <c r="C97" s="79"/>
      <c r="D97" s="79"/>
      <c r="E97" s="79"/>
      <c r="F97" s="79"/>
      <c r="G97" s="79"/>
    </row>
    <row r="98" spans="2:7" ht="15.75" customHeight="1" x14ac:dyDescent="0.2">
      <c r="B98" s="79"/>
      <c r="C98" s="79"/>
      <c r="D98" s="79"/>
      <c r="E98" s="79"/>
      <c r="F98" s="79"/>
      <c r="G98" s="79"/>
    </row>
    <row r="99" spans="2:7" ht="15.75" customHeight="1" x14ac:dyDescent="0.2">
      <c r="B99" s="79"/>
      <c r="C99" s="79"/>
      <c r="D99" s="79"/>
      <c r="E99" s="79"/>
      <c r="F99" s="79"/>
      <c r="G99" s="79"/>
    </row>
    <row r="100" spans="2:7" ht="15.75" customHeight="1" x14ac:dyDescent="0.2">
      <c r="B100" s="79"/>
      <c r="C100" s="79"/>
      <c r="D100" s="79"/>
      <c r="E100" s="79"/>
      <c r="F100" s="79"/>
      <c r="G100" s="79"/>
    </row>
    <row r="101" spans="2:7" ht="15.75" customHeight="1" x14ac:dyDescent="0.2">
      <c r="B101" s="79"/>
      <c r="C101" s="79"/>
      <c r="D101" s="79"/>
      <c r="E101" s="79"/>
      <c r="F101" s="79"/>
      <c r="G101" s="79"/>
    </row>
    <row r="102" spans="2:7" ht="15.75" customHeight="1" x14ac:dyDescent="0.2">
      <c r="B102" s="79"/>
      <c r="C102" s="79"/>
      <c r="D102" s="79"/>
      <c r="E102" s="79"/>
      <c r="F102" s="79"/>
      <c r="G102" s="79"/>
    </row>
    <row r="103" spans="2:7" ht="15.75" customHeight="1" x14ac:dyDescent="0.2">
      <c r="B103" s="79"/>
      <c r="C103" s="79"/>
      <c r="D103" s="79"/>
      <c r="E103" s="79"/>
      <c r="F103" s="79"/>
      <c r="G103" s="79"/>
    </row>
    <row r="104" spans="2:7" ht="15.75" customHeight="1" x14ac:dyDescent="0.2">
      <c r="B104" s="79"/>
      <c r="C104" s="79"/>
      <c r="D104" s="79"/>
      <c r="E104" s="79"/>
      <c r="F104" s="79"/>
      <c r="G104" s="79"/>
    </row>
    <row r="105" spans="2:7" ht="15.75" customHeight="1" x14ac:dyDescent="0.2">
      <c r="B105" s="79"/>
      <c r="C105" s="79"/>
      <c r="D105" s="79"/>
      <c r="E105" s="79"/>
      <c r="F105" s="79"/>
      <c r="G105" s="79"/>
    </row>
    <row r="106" spans="2:7" ht="15.75" customHeight="1" x14ac:dyDescent="0.2">
      <c r="B106" s="79"/>
      <c r="C106" s="79"/>
      <c r="D106" s="79"/>
      <c r="E106" s="79"/>
      <c r="F106" s="79"/>
      <c r="G106" s="79"/>
    </row>
    <row r="107" spans="2:7" ht="15.75" customHeight="1" x14ac:dyDescent="0.2">
      <c r="B107" s="79"/>
      <c r="C107" s="79"/>
      <c r="D107" s="79"/>
      <c r="E107" s="79"/>
      <c r="F107" s="79"/>
      <c r="G107" s="79"/>
    </row>
    <row r="108" spans="2:7" ht="15.75" customHeight="1" x14ac:dyDescent="0.2">
      <c r="B108" s="79"/>
      <c r="C108" s="79"/>
      <c r="D108" s="79"/>
      <c r="E108" s="79"/>
      <c r="F108" s="79"/>
      <c r="G108" s="79"/>
    </row>
    <row r="109" spans="2:7" ht="15.75" customHeight="1" x14ac:dyDescent="0.2">
      <c r="B109" s="79"/>
      <c r="C109" s="79"/>
      <c r="D109" s="79"/>
      <c r="E109" s="79"/>
      <c r="F109" s="79"/>
      <c r="G109" s="79"/>
    </row>
    <row r="110" spans="2:7" ht="15.75" customHeight="1" x14ac:dyDescent="0.2">
      <c r="B110" s="79"/>
      <c r="C110" s="79"/>
      <c r="D110" s="79"/>
      <c r="E110" s="79"/>
      <c r="F110" s="79"/>
      <c r="G110" s="79"/>
    </row>
    <row r="111" spans="2:7" ht="15.75" customHeight="1" x14ac:dyDescent="0.2">
      <c r="B111" s="79"/>
      <c r="C111" s="79"/>
      <c r="D111" s="79"/>
      <c r="E111" s="79"/>
      <c r="F111" s="79"/>
      <c r="G111" s="79"/>
    </row>
    <row r="112" spans="2:7" ht="15.75" customHeight="1" x14ac:dyDescent="0.2">
      <c r="B112" s="79"/>
      <c r="C112" s="79"/>
      <c r="D112" s="79"/>
      <c r="E112" s="79"/>
      <c r="F112" s="79"/>
      <c r="G112" s="79"/>
    </row>
    <row r="113" spans="2:7" ht="15.75" customHeight="1" x14ac:dyDescent="0.2">
      <c r="B113" s="79"/>
      <c r="C113" s="79"/>
      <c r="D113" s="79"/>
      <c r="E113" s="79"/>
      <c r="F113" s="79"/>
      <c r="G113" s="79"/>
    </row>
    <row r="114" spans="2:7" ht="15.75" customHeight="1" x14ac:dyDescent="0.2">
      <c r="B114" s="79"/>
      <c r="C114" s="79"/>
      <c r="D114" s="79"/>
      <c r="E114" s="79"/>
      <c r="F114" s="79"/>
      <c r="G114" s="79"/>
    </row>
    <row r="115" spans="2:7" ht="15.75" customHeight="1" x14ac:dyDescent="0.2">
      <c r="B115" s="79"/>
      <c r="C115" s="79"/>
      <c r="D115" s="79"/>
      <c r="E115" s="79"/>
      <c r="F115" s="79"/>
      <c r="G115" s="79"/>
    </row>
    <row r="116" spans="2:7" ht="15.75" customHeight="1" x14ac:dyDescent="0.2">
      <c r="B116" s="79"/>
      <c r="C116" s="79"/>
      <c r="D116" s="79"/>
      <c r="E116" s="79"/>
      <c r="F116" s="79"/>
      <c r="G116" s="79"/>
    </row>
    <row r="117" spans="2:7" ht="15.75" customHeight="1" x14ac:dyDescent="0.2">
      <c r="B117" s="79"/>
      <c r="C117" s="79"/>
      <c r="D117" s="79"/>
      <c r="E117" s="79"/>
      <c r="F117" s="79"/>
      <c r="G117" s="79"/>
    </row>
    <row r="118" spans="2:7" ht="15.75" customHeight="1" x14ac:dyDescent="0.2">
      <c r="B118" s="79"/>
      <c r="C118" s="79"/>
      <c r="D118" s="79"/>
      <c r="E118" s="79"/>
      <c r="F118" s="79"/>
      <c r="G118" s="79"/>
    </row>
    <row r="119" spans="2:7" ht="15.75" customHeight="1" x14ac:dyDescent="0.2">
      <c r="B119" s="79"/>
      <c r="C119" s="79"/>
      <c r="D119" s="79"/>
      <c r="E119" s="79"/>
      <c r="F119" s="79"/>
      <c r="G119" s="79"/>
    </row>
    <row r="120" spans="2:7" ht="15.75" customHeight="1" x14ac:dyDescent="0.2">
      <c r="B120" s="79"/>
      <c r="C120" s="79"/>
      <c r="D120" s="79"/>
      <c r="E120" s="79"/>
      <c r="F120" s="79"/>
      <c r="G120" s="79"/>
    </row>
    <row r="121" spans="2:7" ht="15.75" customHeight="1" x14ac:dyDescent="0.2">
      <c r="B121" s="79"/>
      <c r="C121" s="79"/>
      <c r="D121" s="79"/>
      <c r="E121" s="79"/>
      <c r="F121" s="79"/>
      <c r="G121" s="79"/>
    </row>
    <row r="122" spans="2:7" ht="15.75" customHeight="1" x14ac:dyDescent="0.2">
      <c r="B122" s="79"/>
      <c r="C122" s="79"/>
      <c r="D122" s="79"/>
      <c r="E122" s="79"/>
      <c r="F122" s="79"/>
      <c r="G122" s="79"/>
    </row>
    <row r="123" spans="2:7" ht="15.75" customHeight="1" x14ac:dyDescent="0.2">
      <c r="B123" s="79"/>
      <c r="C123" s="79"/>
      <c r="D123" s="79"/>
      <c r="E123" s="79"/>
      <c r="F123" s="79"/>
      <c r="G123" s="79"/>
    </row>
    <row r="124" spans="2:7" ht="15.75" customHeight="1" x14ac:dyDescent="0.2">
      <c r="B124" s="79"/>
      <c r="C124" s="79"/>
      <c r="D124" s="79"/>
      <c r="E124" s="79"/>
      <c r="F124" s="79"/>
      <c r="G124" s="79"/>
    </row>
    <row r="125" spans="2:7" ht="15.75" customHeight="1" x14ac:dyDescent="0.2">
      <c r="B125" s="79"/>
      <c r="C125" s="79"/>
      <c r="D125" s="79"/>
      <c r="E125" s="79"/>
      <c r="F125" s="79"/>
      <c r="G125" s="79"/>
    </row>
    <row r="126" spans="2:7" ht="15.75" customHeight="1" x14ac:dyDescent="0.2">
      <c r="B126" s="79"/>
      <c r="C126" s="79"/>
      <c r="D126" s="79"/>
      <c r="E126" s="79"/>
      <c r="F126" s="79"/>
      <c r="G126" s="79"/>
    </row>
    <row r="127" spans="2:7" ht="15.75" customHeight="1" x14ac:dyDescent="0.2">
      <c r="B127" s="79"/>
      <c r="C127" s="79"/>
      <c r="D127" s="79"/>
      <c r="E127" s="79"/>
      <c r="F127" s="79"/>
      <c r="G127" s="79"/>
    </row>
    <row r="128" spans="2:7" ht="15.75" customHeight="1" x14ac:dyDescent="0.2">
      <c r="B128" s="79"/>
      <c r="C128" s="79"/>
      <c r="D128" s="79"/>
      <c r="E128" s="79"/>
      <c r="F128" s="79"/>
      <c r="G128" s="79"/>
    </row>
    <row r="129" spans="2:7" ht="15.75" customHeight="1" x14ac:dyDescent="0.2">
      <c r="B129" s="79"/>
      <c r="C129" s="79"/>
      <c r="D129" s="79"/>
      <c r="E129" s="79"/>
      <c r="F129" s="79"/>
      <c r="G129" s="79"/>
    </row>
    <row r="130" spans="2:7" ht="15.75" customHeight="1" x14ac:dyDescent="0.2">
      <c r="B130" s="79"/>
      <c r="C130" s="79"/>
      <c r="D130" s="79"/>
      <c r="E130" s="79"/>
      <c r="F130" s="79"/>
      <c r="G130" s="79"/>
    </row>
    <row r="131" spans="2:7" ht="15.75" customHeight="1" x14ac:dyDescent="0.2">
      <c r="B131" s="79"/>
      <c r="C131" s="79"/>
      <c r="D131" s="79"/>
      <c r="E131" s="79"/>
      <c r="F131" s="79"/>
      <c r="G131" s="79"/>
    </row>
    <row r="132" spans="2:7" ht="15.75" customHeight="1" x14ac:dyDescent="0.2">
      <c r="B132" s="79"/>
      <c r="C132" s="79"/>
      <c r="D132" s="79"/>
      <c r="E132" s="79"/>
      <c r="F132" s="79"/>
      <c r="G132" s="79"/>
    </row>
    <row r="133" spans="2:7" ht="15.75" customHeight="1" x14ac:dyDescent="0.2">
      <c r="B133" s="79"/>
      <c r="C133" s="79"/>
      <c r="D133" s="79"/>
      <c r="E133" s="79"/>
      <c r="F133" s="79"/>
      <c r="G133" s="79"/>
    </row>
    <row r="134" spans="2:7" ht="15.75" customHeight="1" x14ac:dyDescent="0.2">
      <c r="B134" s="79"/>
      <c r="C134" s="79"/>
      <c r="D134" s="79"/>
      <c r="E134" s="79"/>
      <c r="F134" s="79"/>
      <c r="G134" s="79"/>
    </row>
    <row r="135" spans="2:7" ht="15.75" customHeight="1" x14ac:dyDescent="0.2">
      <c r="B135" s="79"/>
      <c r="C135" s="79"/>
      <c r="D135" s="79"/>
      <c r="E135" s="79"/>
      <c r="F135" s="79"/>
      <c r="G135" s="79"/>
    </row>
    <row r="136" spans="2:7" ht="15.75" customHeight="1" x14ac:dyDescent="0.2">
      <c r="B136" s="79"/>
      <c r="C136" s="79"/>
      <c r="D136" s="79"/>
      <c r="E136" s="79"/>
      <c r="F136" s="79"/>
      <c r="G136" s="79"/>
    </row>
    <row r="137" spans="2:7" ht="15.75" customHeight="1" x14ac:dyDescent="0.2">
      <c r="B137" s="79"/>
      <c r="C137" s="79"/>
      <c r="D137" s="79"/>
      <c r="E137" s="79"/>
      <c r="F137" s="79"/>
      <c r="G137" s="79"/>
    </row>
    <row r="138" spans="2:7" ht="15.75" customHeight="1" x14ac:dyDescent="0.2">
      <c r="B138" s="79"/>
      <c r="C138" s="79"/>
      <c r="D138" s="79"/>
      <c r="E138" s="79"/>
      <c r="F138" s="79"/>
      <c r="G138" s="79"/>
    </row>
    <row r="139" spans="2:7" ht="15.75" customHeight="1" x14ac:dyDescent="0.2">
      <c r="B139" s="79"/>
      <c r="C139" s="79"/>
      <c r="D139" s="79"/>
      <c r="E139" s="79"/>
      <c r="F139" s="79"/>
      <c r="G139" s="79"/>
    </row>
    <row r="140" spans="2:7" ht="15.75" customHeight="1" x14ac:dyDescent="0.2">
      <c r="B140" s="79"/>
      <c r="C140" s="79"/>
      <c r="D140" s="79"/>
      <c r="E140" s="79"/>
      <c r="F140" s="79"/>
      <c r="G140" s="79"/>
    </row>
    <row r="141" spans="2:7" ht="15.75" customHeight="1" x14ac:dyDescent="0.2">
      <c r="B141" s="79"/>
      <c r="C141" s="79"/>
      <c r="D141" s="79"/>
      <c r="E141" s="79"/>
      <c r="F141" s="79"/>
      <c r="G141" s="79"/>
    </row>
    <row r="142" spans="2:7" ht="15.75" customHeight="1" x14ac:dyDescent="0.2">
      <c r="B142" s="79"/>
      <c r="C142" s="79"/>
      <c r="D142" s="79"/>
      <c r="E142" s="79"/>
      <c r="F142" s="79"/>
      <c r="G142" s="79"/>
    </row>
    <row r="143" spans="2:7" ht="15.75" customHeight="1" x14ac:dyDescent="0.2">
      <c r="B143" s="79"/>
      <c r="C143" s="79"/>
      <c r="D143" s="79"/>
      <c r="E143" s="79"/>
      <c r="F143" s="79"/>
      <c r="G143" s="79"/>
    </row>
    <row r="144" spans="2:7" ht="15.75" customHeight="1" x14ac:dyDescent="0.2">
      <c r="B144" s="79"/>
      <c r="C144" s="79"/>
      <c r="D144" s="79"/>
      <c r="E144" s="79"/>
      <c r="F144" s="79"/>
      <c r="G144" s="79"/>
    </row>
    <row r="145" spans="2:7" ht="15.75" customHeight="1" x14ac:dyDescent="0.2">
      <c r="B145" s="79"/>
      <c r="C145" s="79"/>
      <c r="D145" s="79"/>
      <c r="E145" s="79"/>
      <c r="F145" s="79"/>
      <c r="G145" s="79"/>
    </row>
    <row r="146" spans="2:7" ht="15.75" customHeight="1" x14ac:dyDescent="0.2">
      <c r="B146" s="79"/>
      <c r="C146" s="79"/>
      <c r="D146" s="79"/>
      <c r="E146" s="79"/>
      <c r="F146" s="79"/>
      <c r="G146" s="79"/>
    </row>
    <row r="147" spans="2:7" ht="15.75" customHeight="1" x14ac:dyDescent="0.2">
      <c r="B147" s="79"/>
      <c r="C147" s="79"/>
      <c r="D147" s="79"/>
      <c r="E147" s="79"/>
      <c r="F147" s="79"/>
      <c r="G147" s="79"/>
    </row>
    <row r="148" spans="2:7" ht="15.75" customHeight="1" x14ac:dyDescent="0.2">
      <c r="B148" s="79"/>
      <c r="C148" s="79"/>
      <c r="D148" s="79"/>
      <c r="E148" s="79"/>
      <c r="F148" s="79"/>
      <c r="G148" s="79"/>
    </row>
    <row r="149" spans="2:7" ht="15.75" customHeight="1" x14ac:dyDescent="0.2">
      <c r="B149" s="79"/>
      <c r="C149" s="79"/>
      <c r="D149" s="79"/>
      <c r="E149" s="79"/>
      <c r="F149" s="79"/>
      <c r="G149" s="79"/>
    </row>
    <row r="150" spans="2:7" ht="15.75" customHeight="1" x14ac:dyDescent="0.2">
      <c r="B150" s="79"/>
      <c r="C150" s="79"/>
      <c r="D150" s="79"/>
      <c r="E150" s="79"/>
      <c r="F150" s="79"/>
      <c r="G150" s="79"/>
    </row>
    <row r="151" spans="2:7" ht="15.75" customHeight="1" x14ac:dyDescent="0.2">
      <c r="B151" s="79"/>
      <c r="C151" s="79"/>
      <c r="D151" s="79"/>
      <c r="E151" s="79"/>
      <c r="F151" s="79"/>
      <c r="G151" s="79"/>
    </row>
    <row r="152" spans="2:7" ht="15.75" customHeight="1" x14ac:dyDescent="0.2">
      <c r="B152" s="79"/>
      <c r="C152" s="79"/>
      <c r="D152" s="79"/>
      <c r="E152" s="79"/>
      <c r="F152" s="79"/>
      <c r="G152" s="79"/>
    </row>
    <row r="153" spans="2:7" ht="15.75" customHeight="1" x14ac:dyDescent="0.2">
      <c r="B153" s="79"/>
      <c r="C153" s="79"/>
      <c r="D153" s="79"/>
      <c r="E153" s="79"/>
      <c r="F153" s="79"/>
      <c r="G153" s="79"/>
    </row>
    <row r="154" spans="2:7" ht="15.75" customHeight="1" x14ac:dyDescent="0.2">
      <c r="B154" s="79"/>
      <c r="C154" s="79"/>
      <c r="D154" s="79"/>
      <c r="E154" s="79"/>
      <c r="F154" s="79"/>
      <c r="G154" s="79"/>
    </row>
    <row r="155" spans="2:7" ht="15.75" customHeight="1" x14ac:dyDescent="0.2">
      <c r="B155" s="79"/>
      <c r="C155" s="79"/>
      <c r="D155" s="79"/>
      <c r="E155" s="79"/>
      <c r="F155" s="79"/>
      <c r="G155" s="79"/>
    </row>
    <row r="156" spans="2:7" ht="15.75" customHeight="1" x14ac:dyDescent="0.2">
      <c r="B156" s="79"/>
      <c r="C156" s="79"/>
      <c r="D156" s="79"/>
      <c r="E156" s="79"/>
      <c r="F156" s="79"/>
      <c r="G156" s="79"/>
    </row>
    <row r="157" spans="2:7" ht="15.75" customHeight="1" x14ac:dyDescent="0.2">
      <c r="B157" s="79"/>
      <c r="C157" s="79"/>
      <c r="D157" s="79"/>
      <c r="E157" s="79"/>
      <c r="F157" s="79"/>
      <c r="G157" s="79"/>
    </row>
    <row r="158" spans="2:7" ht="15.75" customHeight="1" x14ac:dyDescent="0.2">
      <c r="B158" s="79"/>
      <c r="C158" s="79"/>
      <c r="D158" s="79"/>
      <c r="E158" s="79"/>
      <c r="F158" s="79"/>
      <c r="G158" s="79"/>
    </row>
    <row r="159" spans="2:7" ht="15.75" customHeight="1" x14ac:dyDescent="0.2">
      <c r="B159" s="79"/>
      <c r="C159" s="79"/>
      <c r="D159" s="79"/>
      <c r="E159" s="79"/>
      <c r="F159" s="79"/>
      <c r="G159" s="79"/>
    </row>
    <row r="160" spans="2:7" ht="15.75" customHeight="1" x14ac:dyDescent="0.2">
      <c r="B160" s="79"/>
      <c r="C160" s="79"/>
      <c r="D160" s="79"/>
      <c r="E160" s="79"/>
      <c r="F160" s="79"/>
      <c r="G160" s="79"/>
    </row>
    <row r="161" spans="2:7" ht="15.75" customHeight="1" x14ac:dyDescent="0.2">
      <c r="B161" s="79"/>
      <c r="C161" s="79"/>
      <c r="D161" s="79"/>
      <c r="E161" s="79"/>
      <c r="F161" s="79"/>
      <c r="G161" s="79"/>
    </row>
    <row r="162" spans="2:7" ht="15.75" customHeight="1" x14ac:dyDescent="0.2">
      <c r="B162" s="79"/>
      <c r="C162" s="79"/>
      <c r="D162" s="79"/>
      <c r="E162" s="79"/>
      <c r="F162" s="79"/>
      <c r="G162" s="79"/>
    </row>
    <row r="163" spans="2:7" ht="15.75" customHeight="1" x14ac:dyDescent="0.2">
      <c r="B163" s="79"/>
      <c r="C163" s="79"/>
      <c r="D163" s="79"/>
      <c r="E163" s="79"/>
      <c r="F163" s="79"/>
      <c r="G163" s="79"/>
    </row>
    <row r="164" spans="2:7" ht="15.75" customHeight="1" x14ac:dyDescent="0.2">
      <c r="B164" s="79"/>
      <c r="C164" s="79"/>
      <c r="D164" s="79"/>
      <c r="E164" s="79"/>
      <c r="F164" s="79"/>
      <c r="G164" s="79"/>
    </row>
    <row r="165" spans="2:7" ht="15.75" customHeight="1" x14ac:dyDescent="0.2">
      <c r="B165" s="79"/>
      <c r="C165" s="79"/>
      <c r="D165" s="79"/>
      <c r="E165" s="79"/>
      <c r="F165" s="79"/>
      <c r="G165" s="79"/>
    </row>
    <row r="166" spans="2:7" ht="15.75" customHeight="1" x14ac:dyDescent="0.2">
      <c r="B166" s="79"/>
      <c r="C166" s="79"/>
      <c r="D166" s="79"/>
      <c r="E166" s="79"/>
      <c r="F166" s="79"/>
      <c r="G166" s="79"/>
    </row>
    <row r="167" spans="2:7" ht="15.75" customHeight="1" x14ac:dyDescent="0.2">
      <c r="B167" s="79"/>
      <c r="C167" s="79"/>
      <c r="D167" s="79"/>
      <c r="E167" s="79"/>
      <c r="F167" s="79"/>
      <c r="G167" s="79"/>
    </row>
    <row r="168" spans="2:7" ht="15.75" customHeight="1" x14ac:dyDescent="0.2">
      <c r="B168" s="79"/>
      <c r="C168" s="79"/>
      <c r="D168" s="79"/>
      <c r="E168" s="79"/>
      <c r="F168" s="79"/>
      <c r="G168" s="79"/>
    </row>
    <row r="169" spans="2:7" ht="15.75" customHeight="1" x14ac:dyDescent="0.2">
      <c r="B169" s="79"/>
      <c r="C169" s="79"/>
      <c r="D169" s="79"/>
      <c r="E169" s="79"/>
      <c r="F169" s="79"/>
      <c r="G169" s="79"/>
    </row>
    <row r="170" spans="2:7" ht="15.75" customHeight="1" x14ac:dyDescent="0.2">
      <c r="B170" s="79"/>
      <c r="C170" s="79"/>
      <c r="D170" s="79"/>
      <c r="E170" s="79"/>
      <c r="F170" s="79"/>
      <c r="G170" s="79"/>
    </row>
    <row r="171" spans="2:7" ht="15.75" customHeight="1" x14ac:dyDescent="0.2">
      <c r="B171" s="79"/>
      <c r="C171" s="79"/>
      <c r="D171" s="79"/>
      <c r="E171" s="79"/>
      <c r="F171" s="79"/>
      <c r="G171" s="79"/>
    </row>
    <row r="172" spans="2:7" ht="15.75" customHeight="1" x14ac:dyDescent="0.2">
      <c r="B172" s="79"/>
      <c r="C172" s="79"/>
      <c r="D172" s="79"/>
      <c r="E172" s="79"/>
      <c r="F172" s="79"/>
      <c r="G172" s="79"/>
    </row>
    <row r="173" spans="2:7" ht="15.75" customHeight="1" x14ac:dyDescent="0.2">
      <c r="B173" s="79"/>
      <c r="C173" s="79"/>
      <c r="D173" s="79"/>
      <c r="E173" s="79"/>
      <c r="F173" s="79"/>
      <c r="G173" s="79"/>
    </row>
    <row r="174" spans="2:7" ht="15.75" customHeight="1" x14ac:dyDescent="0.2">
      <c r="B174" s="79"/>
      <c r="C174" s="79"/>
      <c r="D174" s="79"/>
      <c r="E174" s="79"/>
      <c r="F174" s="79"/>
      <c r="G174" s="79"/>
    </row>
    <row r="175" spans="2:7" ht="15.75" customHeight="1" x14ac:dyDescent="0.2">
      <c r="B175" s="79"/>
      <c r="C175" s="79"/>
      <c r="D175" s="79"/>
      <c r="E175" s="79"/>
      <c r="F175" s="79"/>
      <c r="G175" s="79"/>
    </row>
    <row r="176" spans="2:7" ht="15.75" customHeight="1" x14ac:dyDescent="0.2">
      <c r="B176" s="79"/>
      <c r="C176" s="79"/>
      <c r="D176" s="79"/>
      <c r="E176" s="79"/>
      <c r="F176" s="79"/>
      <c r="G176" s="79"/>
    </row>
    <row r="177" spans="2:7" ht="15.75" customHeight="1" x14ac:dyDescent="0.2">
      <c r="B177" s="79"/>
      <c r="C177" s="79"/>
      <c r="D177" s="79"/>
      <c r="E177" s="79"/>
      <c r="F177" s="79"/>
      <c r="G177" s="79"/>
    </row>
    <row r="178" spans="2:7" ht="15.75" customHeight="1" x14ac:dyDescent="0.2">
      <c r="B178" s="79"/>
      <c r="C178" s="79"/>
      <c r="D178" s="79"/>
      <c r="E178" s="79"/>
      <c r="F178" s="79"/>
      <c r="G178" s="79"/>
    </row>
    <row r="179" spans="2:7" ht="15.75" customHeight="1" x14ac:dyDescent="0.2">
      <c r="B179" s="79"/>
      <c r="C179" s="79"/>
      <c r="D179" s="79"/>
      <c r="E179" s="79"/>
      <c r="F179" s="79"/>
      <c r="G179" s="79"/>
    </row>
    <row r="180" spans="2:7" ht="15.75" customHeight="1" x14ac:dyDescent="0.2">
      <c r="B180" s="79"/>
      <c r="C180" s="79"/>
      <c r="D180" s="79"/>
      <c r="E180" s="79"/>
      <c r="F180" s="79"/>
      <c r="G180" s="79"/>
    </row>
    <row r="181" spans="2:7" ht="15.75" customHeight="1" x14ac:dyDescent="0.2">
      <c r="B181" s="79"/>
      <c r="C181" s="79"/>
      <c r="D181" s="79"/>
      <c r="E181" s="79"/>
      <c r="F181" s="79"/>
      <c r="G181" s="79"/>
    </row>
    <row r="182" spans="2:7" ht="15.75" customHeight="1" x14ac:dyDescent="0.2">
      <c r="B182" s="79"/>
      <c r="C182" s="79"/>
      <c r="D182" s="79"/>
      <c r="E182" s="79"/>
      <c r="F182" s="79"/>
      <c r="G182" s="79"/>
    </row>
    <row r="183" spans="2:7" ht="15.75" customHeight="1" x14ac:dyDescent="0.2">
      <c r="B183" s="79"/>
      <c r="C183" s="79"/>
      <c r="D183" s="79"/>
      <c r="E183" s="79"/>
      <c r="F183" s="79"/>
      <c r="G183" s="79"/>
    </row>
    <row r="184" spans="2:7" ht="15.75" customHeight="1" x14ac:dyDescent="0.2">
      <c r="B184" s="79"/>
      <c r="C184" s="79"/>
      <c r="D184" s="79"/>
      <c r="E184" s="79"/>
      <c r="F184" s="79"/>
      <c r="G184" s="79"/>
    </row>
    <row r="185" spans="2:7" ht="15.75" customHeight="1" x14ac:dyDescent="0.2">
      <c r="B185" s="79"/>
      <c r="C185" s="79"/>
      <c r="D185" s="79"/>
      <c r="E185" s="79"/>
      <c r="F185" s="79"/>
      <c r="G185" s="79"/>
    </row>
    <row r="186" spans="2:7" ht="15.75" customHeight="1" x14ac:dyDescent="0.2">
      <c r="B186" s="79"/>
      <c r="C186" s="79"/>
      <c r="D186" s="79"/>
      <c r="E186" s="79"/>
      <c r="F186" s="79"/>
      <c r="G186" s="79"/>
    </row>
    <row r="187" spans="2:7" ht="15.75" customHeight="1" x14ac:dyDescent="0.2">
      <c r="B187" s="79"/>
      <c r="C187" s="79"/>
      <c r="D187" s="79"/>
      <c r="E187" s="79"/>
      <c r="F187" s="79"/>
      <c r="G187" s="79"/>
    </row>
    <row r="188" spans="2:7" ht="15.75" customHeight="1" x14ac:dyDescent="0.2">
      <c r="B188" s="79"/>
      <c r="C188" s="79"/>
      <c r="D188" s="79"/>
      <c r="E188" s="79"/>
      <c r="F188" s="79"/>
      <c r="G188" s="79"/>
    </row>
    <row r="189" spans="2:7" ht="15.75" customHeight="1" x14ac:dyDescent="0.2">
      <c r="B189" s="79"/>
      <c r="C189" s="79"/>
      <c r="D189" s="79"/>
      <c r="E189" s="79"/>
      <c r="F189" s="79"/>
      <c r="G189" s="79"/>
    </row>
    <row r="190" spans="2:7" ht="15.75" customHeight="1" x14ac:dyDescent="0.2">
      <c r="B190" s="79"/>
      <c r="C190" s="79"/>
      <c r="D190" s="79"/>
      <c r="E190" s="79"/>
      <c r="F190" s="79"/>
      <c r="G190" s="79"/>
    </row>
    <row r="191" spans="2:7" ht="15.75" customHeight="1" x14ac:dyDescent="0.2">
      <c r="B191" s="79"/>
      <c r="C191" s="79"/>
      <c r="D191" s="79"/>
      <c r="E191" s="79"/>
      <c r="F191" s="79"/>
      <c r="G191" s="79"/>
    </row>
    <row r="192" spans="2:7" ht="15.75" customHeight="1" x14ac:dyDescent="0.2">
      <c r="B192" s="79"/>
      <c r="C192" s="79"/>
      <c r="D192" s="79"/>
      <c r="E192" s="79"/>
      <c r="F192" s="79"/>
      <c r="G192" s="79"/>
    </row>
    <row r="193" spans="2:7" ht="15.75" customHeight="1" x14ac:dyDescent="0.2">
      <c r="B193" s="79"/>
      <c r="C193" s="79"/>
      <c r="D193" s="79"/>
      <c r="E193" s="79"/>
      <c r="F193" s="79"/>
      <c r="G193" s="79"/>
    </row>
    <row r="194" spans="2:7" ht="15.75" customHeight="1" x14ac:dyDescent="0.2">
      <c r="B194" s="79"/>
      <c r="C194" s="79"/>
      <c r="D194" s="79"/>
      <c r="E194" s="79"/>
      <c r="F194" s="79"/>
      <c r="G194" s="79"/>
    </row>
    <row r="195" spans="2:7" ht="15.75" customHeight="1" x14ac:dyDescent="0.2">
      <c r="B195" s="79"/>
      <c r="C195" s="79"/>
      <c r="D195" s="79"/>
      <c r="E195" s="79"/>
      <c r="F195" s="79"/>
      <c r="G195" s="79"/>
    </row>
    <row r="196" spans="2:7" ht="15.75" customHeight="1" x14ac:dyDescent="0.2">
      <c r="B196" s="79"/>
      <c r="C196" s="79"/>
      <c r="D196" s="79"/>
      <c r="E196" s="79"/>
      <c r="F196" s="79"/>
      <c r="G196" s="79"/>
    </row>
    <row r="197" spans="2:7" ht="15.75" customHeight="1" x14ac:dyDescent="0.2">
      <c r="B197" s="79"/>
      <c r="C197" s="79"/>
      <c r="D197" s="79"/>
      <c r="E197" s="79"/>
      <c r="F197" s="79"/>
      <c r="G197" s="79"/>
    </row>
    <row r="198" spans="2:7" ht="15.75" customHeight="1" x14ac:dyDescent="0.2">
      <c r="B198" s="79"/>
      <c r="C198" s="79"/>
      <c r="D198" s="79"/>
      <c r="E198" s="79"/>
      <c r="F198" s="79"/>
      <c r="G198" s="79"/>
    </row>
    <row r="199" spans="2:7" ht="15.75" customHeight="1" x14ac:dyDescent="0.2">
      <c r="B199" s="79"/>
      <c r="C199" s="79"/>
      <c r="D199" s="79"/>
      <c r="E199" s="79"/>
      <c r="F199" s="79"/>
      <c r="G199" s="79"/>
    </row>
    <row r="200" spans="2:7" ht="15.75" customHeight="1" x14ac:dyDescent="0.2">
      <c r="B200" s="79"/>
      <c r="C200" s="79"/>
      <c r="D200" s="79"/>
      <c r="E200" s="79"/>
      <c r="F200" s="79"/>
      <c r="G200" s="79"/>
    </row>
    <row r="201" spans="2:7" ht="15.75" customHeight="1" x14ac:dyDescent="0.2">
      <c r="B201" s="79"/>
      <c r="C201" s="79"/>
      <c r="D201" s="79"/>
      <c r="E201" s="79"/>
      <c r="F201" s="79"/>
      <c r="G201" s="79"/>
    </row>
    <row r="202" spans="2:7" ht="15.75" customHeight="1" x14ac:dyDescent="0.2">
      <c r="B202" s="79"/>
      <c r="C202" s="79"/>
      <c r="D202" s="79"/>
      <c r="E202" s="79"/>
      <c r="F202" s="79"/>
      <c r="G202" s="79"/>
    </row>
    <row r="203" spans="2:7" ht="15.75" customHeight="1" x14ac:dyDescent="0.2">
      <c r="B203" s="79"/>
      <c r="C203" s="79"/>
      <c r="D203" s="79"/>
      <c r="E203" s="79"/>
      <c r="F203" s="79"/>
      <c r="G203" s="79"/>
    </row>
    <row r="204" spans="2:7" ht="15.75" customHeight="1" x14ac:dyDescent="0.2">
      <c r="B204" s="79"/>
      <c r="C204" s="79"/>
      <c r="D204" s="79"/>
      <c r="E204" s="79"/>
      <c r="F204" s="79"/>
      <c r="G204" s="79"/>
    </row>
    <row r="205" spans="2:7" ht="15.75" customHeight="1" x14ac:dyDescent="0.2">
      <c r="B205" s="79"/>
      <c r="C205" s="79"/>
      <c r="D205" s="79"/>
      <c r="E205" s="79"/>
      <c r="F205" s="79"/>
      <c r="G205" s="79"/>
    </row>
    <row r="206" spans="2:7" ht="15.75" customHeight="1" x14ac:dyDescent="0.2">
      <c r="B206" s="79"/>
      <c r="C206" s="79"/>
      <c r="D206" s="79"/>
      <c r="E206" s="79"/>
      <c r="F206" s="79"/>
      <c r="G206" s="79"/>
    </row>
    <row r="207" spans="2:7" ht="15.75" customHeight="1" x14ac:dyDescent="0.2">
      <c r="B207" s="79"/>
      <c r="C207" s="79"/>
      <c r="D207" s="79"/>
      <c r="E207" s="79"/>
      <c r="F207" s="79"/>
      <c r="G207" s="79"/>
    </row>
    <row r="208" spans="2:7" ht="15.75" customHeight="1" x14ac:dyDescent="0.2">
      <c r="B208" s="79"/>
      <c r="C208" s="79"/>
      <c r="D208" s="79"/>
      <c r="E208" s="79"/>
      <c r="F208" s="79"/>
      <c r="G208" s="79"/>
    </row>
    <row r="209" spans="2:7" ht="15.75" customHeight="1" x14ac:dyDescent="0.2">
      <c r="B209" s="79"/>
      <c r="C209" s="79"/>
      <c r="D209" s="79"/>
      <c r="E209" s="79"/>
      <c r="F209" s="79"/>
      <c r="G209" s="79"/>
    </row>
    <row r="210" spans="2:7" ht="15.75" customHeight="1" x14ac:dyDescent="0.2">
      <c r="B210" s="79"/>
      <c r="C210" s="79"/>
      <c r="D210" s="79"/>
      <c r="E210" s="79"/>
      <c r="F210" s="79"/>
      <c r="G210" s="79"/>
    </row>
    <row r="211" spans="2:7" ht="15.75" customHeight="1" x14ac:dyDescent="0.2">
      <c r="B211" s="79"/>
      <c r="C211" s="79"/>
      <c r="D211" s="79"/>
      <c r="E211" s="79"/>
      <c r="F211" s="79"/>
      <c r="G211" s="79"/>
    </row>
    <row r="212" spans="2:7" ht="15.75" customHeight="1" x14ac:dyDescent="0.2">
      <c r="B212" s="79"/>
      <c r="C212" s="79"/>
      <c r="D212" s="79"/>
      <c r="E212" s="79"/>
      <c r="F212" s="79"/>
      <c r="G212" s="79"/>
    </row>
    <row r="213" spans="2:7" ht="15.75" customHeight="1" x14ac:dyDescent="0.2">
      <c r="B213" s="79"/>
      <c r="C213" s="79"/>
      <c r="D213" s="79"/>
      <c r="E213" s="79"/>
      <c r="F213" s="79"/>
      <c r="G213" s="79"/>
    </row>
    <row r="214" spans="2:7" ht="15.75" customHeight="1" x14ac:dyDescent="0.2">
      <c r="B214" s="79"/>
      <c r="C214" s="79"/>
      <c r="D214" s="79"/>
      <c r="E214" s="79"/>
      <c r="F214" s="79"/>
      <c r="G214" s="79"/>
    </row>
    <row r="215" spans="2:7" ht="15.75" customHeight="1" x14ac:dyDescent="0.2">
      <c r="B215" s="79"/>
      <c r="C215" s="79"/>
      <c r="D215" s="79"/>
      <c r="E215" s="79"/>
      <c r="F215" s="79"/>
      <c r="G215" s="79"/>
    </row>
    <row r="216" spans="2:7" ht="15.75" customHeight="1" x14ac:dyDescent="0.2">
      <c r="B216" s="79"/>
      <c r="C216" s="79"/>
      <c r="D216" s="79"/>
      <c r="E216" s="79"/>
      <c r="F216" s="79"/>
      <c r="G216" s="79"/>
    </row>
    <row r="217" spans="2:7" ht="15.75" customHeight="1" x14ac:dyDescent="0.2">
      <c r="B217" s="79"/>
      <c r="C217" s="79"/>
      <c r="D217" s="79"/>
      <c r="E217" s="79"/>
      <c r="F217" s="79"/>
      <c r="G217" s="79"/>
    </row>
    <row r="218" spans="2:7" ht="15.75" customHeight="1" x14ac:dyDescent="0.2">
      <c r="B218" s="79"/>
      <c r="C218" s="79"/>
      <c r="D218" s="79"/>
      <c r="E218" s="79"/>
      <c r="F218" s="79"/>
      <c r="G218" s="79"/>
    </row>
    <row r="219" spans="2:7" ht="15.75" customHeight="1" x14ac:dyDescent="0.2">
      <c r="B219" s="79"/>
      <c r="C219" s="79"/>
      <c r="D219" s="79"/>
      <c r="E219" s="79"/>
      <c r="F219" s="79"/>
      <c r="G219" s="79"/>
    </row>
    <row r="220" spans="2:7" ht="15.75" customHeight="1" x14ac:dyDescent="0.2">
      <c r="B220" s="79"/>
      <c r="C220" s="79"/>
      <c r="D220" s="79"/>
      <c r="E220" s="79"/>
      <c r="F220" s="79"/>
      <c r="G220" s="79"/>
    </row>
    <row r="221" spans="2:7" ht="15.75" customHeight="1" x14ac:dyDescent="0.2">
      <c r="B221" s="79"/>
      <c r="C221" s="79"/>
      <c r="D221" s="79"/>
      <c r="E221" s="79"/>
      <c r="F221" s="79"/>
      <c r="G221" s="79"/>
    </row>
    <row r="222" spans="2:7" ht="15.75" customHeight="1" x14ac:dyDescent="0.2">
      <c r="B222" s="79"/>
      <c r="C222" s="79"/>
      <c r="D222" s="79"/>
      <c r="E222" s="79"/>
      <c r="F222" s="79"/>
      <c r="G222" s="79"/>
    </row>
    <row r="223" spans="2:7" ht="15.75" customHeight="1" x14ac:dyDescent="0.2">
      <c r="B223" s="79"/>
      <c r="C223" s="79"/>
      <c r="D223" s="79"/>
      <c r="E223" s="79"/>
      <c r="F223" s="79"/>
      <c r="G223" s="79"/>
    </row>
    <row r="224" spans="2:7" ht="15.75" customHeight="1" x14ac:dyDescent="0.2">
      <c r="B224" s="79"/>
      <c r="C224" s="79"/>
      <c r="D224" s="79"/>
      <c r="E224" s="79"/>
      <c r="F224" s="79"/>
      <c r="G224" s="79"/>
    </row>
    <row r="225" spans="2:7" ht="15.75" customHeight="1" x14ac:dyDescent="0.2">
      <c r="B225" s="79"/>
      <c r="C225" s="79"/>
      <c r="D225" s="79"/>
      <c r="E225" s="79"/>
      <c r="F225" s="79"/>
      <c r="G225" s="79"/>
    </row>
    <row r="226" spans="2:7" ht="15.75" customHeight="1" x14ac:dyDescent="0.2">
      <c r="B226" s="79"/>
      <c r="C226" s="79"/>
      <c r="D226" s="79"/>
      <c r="E226" s="79"/>
      <c r="F226" s="79"/>
      <c r="G226" s="79"/>
    </row>
    <row r="227" spans="2:7" ht="15.75" customHeight="1" x14ac:dyDescent="0.2">
      <c r="B227" s="79"/>
      <c r="C227" s="79"/>
      <c r="D227" s="79"/>
      <c r="E227" s="79"/>
      <c r="F227" s="79"/>
      <c r="G227" s="79"/>
    </row>
    <row r="228" spans="2:7" ht="15.75" customHeight="1" x14ac:dyDescent="0.2">
      <c r="B228" s="79"/>
      <c r="C228" s="79"/>
      <c r="D228" s="79"/>
      <c r="E228" s="79"/>
      <c r="F228" s="79"/>
      <c r="G228" s="79"/>
    </row>
    <row r="229" spans="2:7" ht="15.75" customHeight="1" x14ac:dyDescent="0.2">
      <c r="B229" s="79"/>
      <c r="C229" s="79"/>
      <c r="D229" s="79"/>
      <c r="E229" s="79"/>
      <c r="F229" s="79"/>
      <c r="G229" s="79"/>
    </row>
    <row r="230" spans="2:7" ht="15.75" customHeight="1" x14ac:dyDescent="0.2">
      <c r="B230" s="79"/>
      <c r="C230" s="79"/>
      <c r="D230" s="79"/>
      <c r="E230" s="79"/>
      <c r="F230" s="79"/>
      <c r="G230" s="79"/>
    </row>
    <row r="231" spans="2:7" ht="15.75" customHeight="1" x14ac:dyDescent="0.2">
      <c r="B231" s="79"/>
      <c r="C231" s="79"/>
      <c r="D231" s="79"/>
      <c r="E231" s="79"/>
      <c r="F231" s="79"/>
      <c r="G231" s="79"/>
    </row>
    <row r="232" spans="2:7" ht="15.75" customHeight="1" x14ac:dyDescent="0.2">
      <c r="B232" s="79"/>
      <c r="C232" s="79"/>
      <c r="D232" s="79"/>
      <c r="E232" s="79"/>
      <c r="F232" s="79"/>
      <c r="G232" s="79"/>
    </row>
    <row r="233" spans="2:7" ht="15.75" customHeight="1" x14ac:dyDescent="0.2">
      <c r="B233" s="79"/>
      <c r="C233" s="79"/>
      <c r="D233" s="79"/>
      <c r="E233" s="79"/>
      <c r="F233" s="79"/>
      <c r="G233" s="79"/>
    </row>
    <row r="234" spans="2:7" ht="15.75" customHeight="1" x14ac:dyDescent="0.2">
      <c r="B234" s="79"/>
      <c r="C234" s="79"/>
      <c r="D234" s="79"/>
      <c r="E234" s="79"/>
      <c r="F234" s="79"/>
      <c r="G234" s="79"/>
    </row>
    <row r="235" spans="2:7" ht="15.75" customHeight="1" x14ac:dyDescent="0.2">
      <c r="B235" s="79"/>
      <c r="C235" s="79"/>
      <c r="D235" s="79"/>
      <c r="E235" s="79"/>
      <c r="F235" s="79"/>
      <c r="G235" s="79"/>
    </row>
    <row r="236" spans="2:7" ht="15.75" customHeight="1" x14ac:dyDescent="0.2">
      <c r="B236" s="79"/>
      <c r="C236" s="79"/>
      <c r="D236" s="79"/>
      <c r="E236" s="79"/>
      <c r="F236" s="79"/>
      <c r="G236" s="79"/>
    </row>
    <row r="237" spans="2:7" ht="15.75" customHeight="1" x14ac:dyDescent="0.2">
      <c r="B237" s="79"/>
      <c r="C237" s="79"/>
      <c r="D237" s="79"/>
      <c r="E237" s="79"/>
      <c r="F237" s="79"/>
      <c r="G237" s="79"/>
    </row>
    <row r="238" spans="2:7" ht="15.75" customHeight="1" x14ac:dyDescent="0.2">
      <c r="B238" s="79"/>
      <c r="C238" s="79"/>
      <c r="D238" s="79"/>
      <c r="E238" s="79"/>
      <c r="F238" s="79"/>
      <c r="G238" s="79"/>
    </row>
    <row r="239" spans="2:7" ht="15.75" customHeight="1" x14ac:dyDescent="0.2">
      <c r="B239" s="79"/>
      <c r="C239" s="79"/>
      <c r="D239" s="79"/>
      <c r="E239" s="79"/>
      <c r="F239" s="79"/>
      <c r="G239" s="79"/>
    </row>
    <row r="240" spans="2:7" ht="15.75" customHeight="1" x14ac:dyDescent="0.2">
      <c r="B240" s="79"/>
      <c r="C240" s="79"/>
      <c r="D240" s="79"/>
      <c r="E240" s="79"/>
      <c r="F240" s="79"/>
      <c r="G240" s="79"/>
    </row>
    <row r="241" spans="2:7" ht="15.75" customHeight="1" x14ac:dyDescent="0.2">
      <c r="B241" s="79"/>
      <c r="C241" s="79"/>
      <c r="D241" s="79"/>
      <c r="E241" s="79"/>
      <c r="F241" s="79"/>
      <c r="G241" s="79"/>
    </row>
    <row r="242" spans="2:7" ht="15.75" customHeight="1" x14ac:dyDescent="0.2">
      <c r="B242" s="79"/>
      <c r="C242" s="79"/>
      <c r="D242" s="79"/>
      <c r="E242" s="79"/>
      <c r="F242" s="79"/>
      <c r="G242" s="79"/>
    </row>
    <row r="243" spans="2:7" ht="15.75" customHeight="1" x14ac:dyDescent="0.2">
      <c r="B243" s="79"/>
      <c r="C243" s="79"/>
      <c r="D243" s="79"/>
      <c r="E243" s="79"/>
      <c r="F243" s="79"/>
      <c r="G243" s="79"/>
    </row>
    <row r="244" spans="2:7" ht="15.75" customHeight="1" x14ac:dyDescent="0.2">
      <c r="B244" s="79"/>
      <c r="C244" s="79"/>
      <c r="D244" s="79"/>
      <c r="E244" s="79"/>
      <c r="F244" s="79"/>
      <c r="G244" s="79"/>
    </row>
    <row r="245" spans="2:7" ht="15.75" customHeight="1" x14ac:dyDescent="0.2">
      <c r="B245" s="79"/>
      <c r="C245" s="79"/>
      <c r="D245" s="79"/>
      <c r="E245" s="79"/>
      <c r="F245" s="79"/>
      <c r="G245" s="79"/>
    </row>
    <row r="246" spans="2:7" ht="15.75" customHeight="1" x14ac:dyDescent="0.2">
      <c r="B246" s="79"/>
      <c r="C246" s="79"/>
      <c r="D246" s="79"/>
      <c r="E246" s="79"/>
      <c r="F246" s="79"/>
      <c r="G246" s="79"/>
    </row>
    <row r="247" spans="2:7" ht="15.75" customHeight="1" x14ac:dyDescent="0.2">
      <c r="B247" s="79"/>
      <c r="C247" s="79"/>
      <c r="D247" s="79"/>
      <c r="E247" s="79"/>
      <c r="F247" s="79"/>
      <c r="G247" s="79"/>
    </row>
    <row r="248" spans="2:7" ht="15.75" customHeight="1" x14ac:dyDescent="0.2">
      <c r="B248" s="79"/>
      <c r="C248" s="79"/>
      <c r="D248" s="79"/>
      <c r="E248" s="79"/>
      <c r="F248" s="79"/>
      <c r="G248" s="79"/>
    </row>
    <row r="249" spans="2:7" ht="15.75" customHeight="1" x14ac:dyDescent="0.2">
      <c r="B249" s="79"/>
      <c r="C249" s="79"/>
      <c r="D249" s="79"/>
      <c r="E249" s="79"/>
      <c r="F249" s="79"/>
      <c r="G249" s="79"/>
    </row>
    <row r="250" spans="2:7" ht="15.75" customHeight="1" x14ac:dyDescent="0.2">
      <c r="B250" s="79"/>
      <c r="C250" s="79"/>
      <c r="D250" s="79"/>
      <c r="E250" s="79"/>
      <c r="F250" s="79"/>
      <c r="G250" s="79"/>
    </row>
    <row r="251" spans="2:7" ht="15.75" customHeight="1" x14ac:dyDescent="0.2">
      <c r="B251" s="79"/>
      <c r="C251" s="79"/>
      <c r="D251" s="79"/>
      <c r="E251" s="79"/>
      <c r="F251" s="79"/>
      <c r="G251" s="79"/>
    </row>
    <row r="252" spans="2:7" ht="15.75" customHeight="1" x14ac:dyDescent="0.2">
      <c r="B252" s="79"/>
      <c r="C252" s="79"/>
      <c r="D252" s="79"/>
      <c r="E252" s="79"/>
      <c r="F252" s="79"/>
      <c r="G252" s="79"/>
    </row>
    <row r="253" spans="2:7" ht="15.75" customHeight="1" x14ac:dyDescent="0.2">
      <c r="B253" s="79"/>
      <c r="C253" s="79"/>
      <c r="D253" s="79"/>
      <c r="E253" s="79"/>
      <c r="F253" s="79"/>
      <c r="G253" s="79"/>
    </row>
    <row r="254" spans="2:7" ht="15.75" customHeight="1" x14ac:dyDescent="0.2">
      <c r="B254" s="79"/>
      <c r="C254" s="79"/>
      <c r="D254" s="79"/>
      <c r="E254" s="79"/>
      <c r="F254" s="79"/>
      <c r="G254" s="79"/>
    </row>
    <row r="255" spans="2:7" ht="15.75" customHeight="1" x14ac:dyDescent="0.2">
      <c r="B255" s="79"/>
      <c r="C255" s="79"/>
      <c r="D255" s="79"/>
      <c r="E255" s="79"/>
      <c r="F255" s="79"/>
      <c r="G255" s="79"/>
    </row>
    <row r="256" spans="2:7" ht="15.75" customHeight="1" x14ac:dyDescent="0.2">
      <c r="B256" s="79"/>
      <c r="C256" s="79"/>
      <c r="D256" s="79"/>
      <c r="E256" s="79"/>
      <c r="F256" s="79"/>
      <c r="G256" s="79"/>
    </row>
    <row r="257" spans="2:7" ht="15.75" customHeight="1" x14ac:dyDescent="0.2">
      <c r="B257" s="79"/>
      <c r="C257" s="79"/>
      <c r="D257" s="79"/>
      <c r="E257" s="79"/>
      <c r="F257" s="79"/>
      <c r="G257" s="79"/>
    </row>
    <row r="258" spans="2:7" ht="15.75" customHeight="1" x14ac:dyDescent="0.2">
      <c r="B258" s="79"/>
      <c r="C258" s="79"/>
      <c r="D258" s="79"/>
      <c r="E258" s="79"/>
      <c r="F258" s="79"/>
      <c r="G258" s="79"/>
    </row>
    <row r="259" spans="2:7" ht="15.75" customHeight="1" x14ac:dyDescent="0.2">
      <c r="B259" s="79"/>
      <c r="C259" s="79"/>
      <c r="D259" s="79"/>
      <c r="E259" s="79"/>
      <c r="F259" s="79"/>
      <c r="G259" s="79"/>
    </row>
    <row r="260" spans="2:7" ht="15.75" customHeight="1" x14ac:dyDescent="0.2">
      <c r="B260" s="79"/>
      <c r="C260" s="79"/>
      <c r="D260" s="79"/>
      <c r="E260" s="79"/>
      <c r="F260" s="79"/>
      <c r="G260" s="79"/>
    </row>
    <row r="261" spans="2:7" ht="15.75" customHeight="1" x14ac:dyDescent="0.2">
      <c r="B261" s="79"/>
      <c r="C261" s="79"/>
      <c r="D261" s="79"/>
      <c r="E261" s="79"/>
      <c r="F261" s="79"/>
      <c r="G261" s="79"/>
    </row>
    <row r="262" spans="2:7" ht="15.75" customHeight="1" x14ac:dyDescent="0.2">
      <c r="B262" s="79"/>
      <c r="C262" s="79"/>
      <c r="D262" s="79"/>
      <c r="E262" s="79"/>
      <c r="F262" s="79"/>
      <c r="G262" s="79"/>
    </row>
    <row r="263" spans="2:7" ht="15.75" customHeight="1" x14ac:dyDescent="0.2">
      <c r="B263" s="79"/>
      <c r="C263" s="79"/>
      <c r="D263" s="79"/>
      <c r="E263" s="79"/>
      <c r="F263" s="79"/>
      <c r="G263" s="79"/>
    </row>
    <row r="264" spans="2:7" ht="15.75" customHeight="1" x14ac:dyDescent="0.2">
      <c r="B264" s="79"/>
      <c r="C264" s="79"/>
      <c r="D264" s="79"/>
      <c r="E264" s="79"/>
      <c r="F264" s="79"/>
      <c r="G264" s="79"/>
    </row>
    <row r="265" spans="2:7" ht="15.75" customHeight="1" x14ac:dyDescent="0.2">
      <c r="B265" s="79"/>
      <c r="C265" s="79"/>
      <c r="D265" s="79"/>
      <c r="E265" s="79"/>
      <c r="F265" s="79"/>
      <c r="G265" s="79"/>
    </row>
    <row r="266" spans="2:7" ht="15.75" customHeight="1" x14ac:dyDescent="0.2">
      <c r="B266" s="79"/>
      <c r="C266" s="79"/>
      <c r="D266" s="79"/>
      <c r="E266" s="79"/>
      <c r="F266" s="79"/>
      <c r="G266" s="79"/>
    </row>
    <row r="267" spans="2:7" ht="15.75" customHeight="1" x14ac:dyDescent="0.2">
      <c r="B267" s="79"/>
      <c r="C267" s="79"/>
      <c r="D267" s="79"/>
      <c r="E267" s="79"/>
      <c r="F267" s="79"/>
      <c r="G267" s="79"/>
    </row>
    <row r="268" spans="2:7" ht="15.75" customHeight="1" x14ac:dyDescent="0.2">
      <c r="B268" s="79"/>
      <c r="C268" s="79"/>
      <c r="D268" s="79"/>
      <c r="E268" s="79"/>
      <c r="F268" s="79"/>
      <c r="G268" s="79"/>
    </row>
    <row r="269" spans="2:7" ht="15.75" customHeight="1" x14ac:dyDescent="0.2">
      <c r="B269" s="79"/>
      <c r="C269" s="79"/>
      <c r="D269" s="79"/>
      <c r="E269" s="79"/>
      <c r="F269" s="79"/>
      <c r="G269" s="79"/>
    </row>
    <row r="270" spans="2:7" ht="15.75" customHeight="1" x14ac:dyDescent="0.2">
      <c r="B270" s="79"/>
      <c r="C270" s="79"/>
      <c r="D270" s="79"/>
      <c r="E270" s="79"/>
      <c r="F270" s="79"/>
      <c r="G270" s="79"/>
    </row>
    <row r="271" spans="2:7" ht="15.75" customHeight="1" x14ac:dyDescent="0.2">
      <c r="B271" s="79"/>
      <c r="C271" s="79"/>
      <c r="D271" s="79"/>
      <c r="E271" s="79"/>
      <c r="F271" s="79"/>
      <c r="G271" s="79"/>
    </row>
    <row r="272" spans="2:7" ht="15.75" customHeight="1" x14ac:dyDescent="0.2">
      <c r="B272" s="79"/>
      <c r="C272" s="79"/>
      <c r="D272" s="79"/>
      <c r="E272" s="79"/>
      <c r="F272" s="79"/>
      <c r="G272" s="79"/>
    </row>
    <row r="273" spans="2:7" ht="15.75" customHeight="1" x14ac:dyDescent="0.2">
      <c r="B273" s="79"/>
      <c r="C273" s="79"/>
      <c r="D273" s="79"/>
      <c r="E273" s="79"/>
      <c r="F273" s="79"/>
      <c r="G273" s="79"/>
    </row>
    <row r="274" spans="2:7" ht="15.75" customHeight="1" x14ac:dyDescent="0.2">
      <c r="B274" s="79"/>
      <c r="C274" s="79"/>
      <c r="D274" s="79"/>
      <c r="E274" s="79"/>
      <c r="F274" s="79"/>
      <c r="G274" s="79"/>
    </row>
    <row r="275" spans="2:7" ht="15.75" customHeight="1" x14ac:dyDescent="0.2">
      <c r="B275" s="79"/>
      <c r="C275" s="79"/>
      <c r="D275" s="79"/>
      <c r="E275" s="79"/>
      <c r="F275" s="79"/>
      <c r="G275" s="79"/>
    </row>
    <row r="276" spans="2:7" ht="15.75" customHeight="1" x14ac:dyDescent="0.2">
      <c r="B276" s="79"/>
      <c r="C276" s="79"/>
      <c r="D276" s="79"/>
      <c r="E276" s="79"/>
      <c r="F276" s="79"/>
      <c r="G276" s="79"/>
    </row>
    <row r="277" spans="2:7" ht="15.75" customHeight="1" x14ac:dyDescent="0.2">
      <c r="B277" s="79"/>
      <c r="C277" s="79"/>
      <c r="D277" s="79"/>
      <c r="E277" s="79"/>
      <c r="F277" s="79"/>
      <c r="G277" s="79"/>
    </row>
    <row r="278" spans="2:7" ht="15.75" customHeight="1" x14ac:dyDescent="0.2">
      <c r="B278" s="79"/>
      <c r="C278" s="79"/>
      <c r="D278" s="79"/>
      <c r="E278" s="79"/>
      <c r="F278" s="79"/>
      <c r="G278" s="79"/>
    </row>
    <row r="279" spans="2:7" ht="15.75" customHeight="1" x14ac:dyDescent="0.2">
      <c r="B279" s="79"/>
      <c r="C279" s="79"/>
      <c r="D279" s="79"/>
      <c r="E279" s="79"/>
      <c r="F279" s="79"/>
      <c r="G279" s="79"/>
    </row>
    <row r="280" spans="2:7" ht="15.75" customHeight="1" x14ac:dyDescent="0.2">
      <c r="B280" s="79"/>
      <c r="C280" s="79"/>
      <c r="D280" s="79"/>
      <c r="E280" s="79"/>
      <c r="F280" s="79"/>
      <c r="G280" s="79"/>
    </row>
    <row r="281" spans="2:7" ht="15.75" customHeight="1" x14ac:dyDescent="0.2">
      <c r="B281" s="79"/>
      <c r="C281" s="79"/>
      <c r="D281" s="79"/>
      <c r="E281" s="79"/>
      <c r="F281" s="79"/>
      <c r="G281" s="79"/>
    </row>
    <row r="282" spans="2:7" ht="15.75" customHeight="1" x14ac:dyDescent="0.2">
      <c r="B282" s="79"/>
      <c r="C282" s="79"/>
      <c r="D282" s="79"/>
      <c r="E282" s="79"/>
      <c r="F282" s="79"/>
      <c r="G282" s="79"/>
    </row>
    <row r="283" spans="2:7" ht="15.75" customHeight="1" x14ac:dyDescent="0.2">
      <c r="B283" s="79"/>
      <c r="C283" s="79"/>
      <c r="D283" s="79"/>
      <c r="E283" s="79"/>
      <c r="F283" s="79"/>
      <c r="G283" s="79"/>
    </row>
    <row r="284" spans="2:7" ht="15.75" customHeight="1" x14ac:dyDescent="0.2">
      <c r="B284" s="79"/>
      <c r="C284" s="79"/>
      <c r="D284" s="79"/>
      <c r="E284" s="79"/>
      <c r="F284" s="79"/>
      <c r="G284" s="79"/>
    </row>
    <row r="285" spans="2:7" ht="15.75" customHeight="1" x14ac:dyDescent="0.2">
      <c r="B285" s="79"/>
      <c r="C285" s="79"/>
      <c r="D285" s="79"/>
      <c r="E285" s="79"/>
      <c r="F285" s="79"/>
      <c r="G285" s="79"/>
    </row>
    <row r="286" spans="2:7" ht="15.75" customHeight="1" x14ac:dyDescent="0.2">
      <c r="B286" s="79"/>
      <c r="C286" s="79"/>
      <c r="D286" s="79"/>
      <c r="E286" s="79"/>
      <c r="F286" s="79"/>
      <c r="G286" s="79"/>
    </row>
    <row r="287" spans="2:7" ht="15.75" customHeight="1" x14ac:dyDescent="0.2">
      <c r="B287" s="79"/>
      <c r="C287" s="79"/>
      <c r="D287" s="79"/>
      <c r="E287" s="79"/>
      <c r="F287" s="79"/>
      <c r="G287" s="79"/>
    </row>
    <row r="288" spans="2:7" ht="15.75" customHeight="1" x14ac:dyDescent="0.2">
      <c r="B288" s="79"/>
      <c r="C288" s="79"/>
      <c r="D288" s="79"/>
      <c r="E288" s="79"/>
      <c r="F288" s="79"/>
      <c r="G288" s="79"/>
    </row>
    <row r="289" spans="2:7" ht="15.75" customHeight="1" x14ac:dyDescent="0.2">
      <c r="B289" s="79"/>
      <c r="C289" s="79"/>
      <c r="D289" s="79"/>
      <c r="E289" s="79"/>
      <c r="F289" s="79"/>
      <c r="G289" s="79"/>
    </row>
    <row r="290" spans="2:7" ht="15.75" customHeight="1" x14ac:dyDescent="0.2">
      <c r="B290" s="79"/>
      <c r="C290" s="79"/>
      <c r="D290" s="79"/>
      <c r="E290" s="79"/>
      <c r="F290" s="79"/>
      <c r="G290" s="79"/>
    </row>
    <row r="291" spans="2:7" ht="15.75" customHeight="1" x14ac:dyDescent="0.2">
      <c r="B291" s="79"/>
      <c r="C291" s="79"/>
      <c r="D291" s="79"/>
      <c r="E291" s="79"/>
      <c r="F291" s="79"/>
      <c r="G291" s="79"/>
    </row>
    <row r="292" spans="2:7" ht="15.75" customHeight="1" x14ac:dyDescent="0.2">
      <c r="B292" s="79"/>
      <c r="C292" s="79"/>
      <c r="D292" s="79"/>
      <c r="E292" s="79"/>
      <c r="F292" s="79"/>
      <c r="G292" s="79"/>
    </row>
    <row r="293" spans="2:7" ht="15.75" customHeight="1" x14ac:dyDescent="0.2">
      <c r="B293" s="79"/>
      <c r="C293" s="79"/>
      <c r="D293" s="79"/>
      <c r="E293" s="79"/>
      <c r="F293" s="79"/>
      <c r="G293" s="79"/>
    </row>
    <row r="294" spans="2:7" ht="15.75" customHeight="1" x14ac:dyDescent="0.2">
      <c r="B294" s="79"/>
      <c r="C294" s="79"/>
      <c r="D294" s="79"/>
      <c r="E294" s="79"/>
      <c r="F294" s="79"/>
      <c r="G294" s="79"/>
    </row>
    <row r="295" spans="2:7" ht="15.75" customHeight="1" x14ac:dyDescent="0.2">
      <c r="B295" s="79"/>
      <c r="C295" s="79"/>
      <c r="D295" s="79"/>
      <c r="E295" s="79"/>
      <c r="F295" s="79"/>
      <c r="G295" s="79"/>
    </row>
    <row r="296" spans="2:7" ht="15.75" customHeight="1" x14ac:dyDescent="0.2">
      <c r="B296" s="79"/>
      <c r="C296" s="79"/>
      <c r="D296" s="79"/>
      <c r="E296" s="79"/>
      <c r="F296" s="79"/>
      <c r="G296" s="79"/>
    </row>
    <row r="297" spans="2:7" ht="15.75" customHeight="1" x14ac:dyDescent="0.2">
      <c r="B297" s="79"/>
      <c r="C297" s="79"/>
      <c r="D297" s="79"/>
      <c r="E297" s="79"/>
      <c r="F297" s="79"/>
      <c r="G297" s="79"/>
    </row>
    <row r="298" spans="2:7" ht="15.75" customHeight="1" x14ac:dyDescent="0.2">
      <c r="B298" s="79"/>
      <c r="C298" s="79"/>
      <c r="D298" s="79"/>
      <c r="E298" s="79"/>
      <c r="F298" s="79"/>
      <c r="G298" s="79"/>
    </row>
    <row r="299" spans="2:7" ht="15.75" customHeight="1" x14ac:dyDescent="0.2">
      <c r="B299" s="79"/>
      <c r="C299" s="79"/>
      <c r="D299" s="79"/>
      <c r="E299" s="79"/>
      <c r="F299" s="79"/>
      <c r="G299" s="79"/>
    </row>
    <row r="300" spans="2:7" ht="15.75" customHeight="1" x14ac:dyDescent="0.2">
      <c r="B300" s="79"/>
      <c r="C300" s="79"/>
      <c r="D300" s="79"/>
      <c r="E300" s="79"/>
      <c r="F300" s="79"/>
      <c r="G300" s="79"/>
    </row>
    <row r="301" spans="2:7" ht="15.75" customHeight="1" x14ac:dyDescent="0.2">
      <c r="B301" s="79"/>
      <c r="C301" s="79"/>
      <c r="D301" s="79"/>
      <c r="E301" s="79"/>
      <c r="F301" s="79"/>
      <c r="G301" s="79"/>
    </row>
    <row r="302" spans="2:7" ht="15.75" customHeight="1" x14ac:dyDescent="0.2">
      <c r="B302" s="79"/>
      <c r="C302" s="79"/>
      <c r="D302" s="79"/>
      <c r="E302" s="79"/>
      <c r="F302" s="79"/>
      <c r="G302" s="79"/>
    </row>
    <row r="303" spans="2:7" ht="15.75" customHeight="1" x14ac:dyDescent="0.2">
      <c r="B303" s="79"/>
      <c r="C303" s="79"/>
      <c r="D303" s="79"/>
      <c r="E303" s="79"/>
      <c r="F303" s="79"/>
      <c r="G303" s="79"/>
    </row>
    <row r="304" spans="2:7" ht="15.75" customHeight="1" x14ac:dyDescent="0.2">
      <c r="B304" s="79"/>
      <c r="C304" s="79"/>
      <c r="D304" s="79"/>
      <c r="E304" s="79"/>
      <c r="F304" s="79"/>
      <c r="G304" s="79"/>
    </row>
    <row r="305" spans="2:7" ht="15.75" customHeight="1" x14ac:dyDescent="0.2">
      <c r="B305" s="79"/>
      <c r="C305" s="79"/>
      <c r="D305" s="79"/>
      <c r="E305" s="79"/>
      <c r="F305" s="79"/>
      <c r="G305" s="79"/>
    </row>
    <row r="306" spans="2:7" ht="15.75" customHeight="1" x14ac:dyDescent="0.2">
      <c r="B306" s="79"/>
      <c r="C306" s="79"/>
      <c r="D306" s="79"/>
      <c r="E306" s="79"/>
      <c r="F306" s="79"/>
      <c r="G306" s="79"/>
    </row>
    <row r="307" spans="2:7" ht="15.75" customHeight="1" x14ac:dyDescent="0.2">
      <c r="B307" s="79"/>
      <c r="C307" s="79"/>
      <c r="D307" s="79"/>
      <c r="E307" s="79"/>
      <c r="F307" s="79"/>
      <c r="G307" s="79"/>
    </row>
    <row r="308" spans="2:7" ht="15.75" customHeight="1" x14ac:dyDescent="0.2">
      <c r="B308" s="79"/>
      <c r="C308" s="79"/>
      <c r="D308" s="79"/>
      <c r="E308" s="79"/>
      <c r="F308" s="79"/>
      <c r="G308" s="79"/>
    </row>
    <row r="309" spans="2:7" ht="15.75" customHeight="1" x14ac:dyDescent="0.2">
      <c r="B309" s="79"/>
      <c r="C309" s="79"/>
      <c r="D309" s="79"/>
      <c r="E309" s="79"/>
      <c r="F309" s="79"/>
      <c r="G309" s="79"/>
    </row>
    <row r="310" spans="2:7" ht="15.75" customHeight="1" x14ac:dyDescent="0.2">
      <c r="B310" s="79"/>
      <c r="C310" s="79"/>
      <c r="D310" s="79"/>
      <c r="E310" s="79"/>
      <c r="F310" s="79"/>
      <c r="G310" s="79"/>
    </row>
    <row r="311" spans="2:7" ht="15.75" customHeight="1" x14ac:dyDescent="0.2">
      <c r="B311" s="79"/>
      <c r="C311" s="79"/>
      <c r="D311" s="79"/>
      <c r="E311" s="79"/>
      <c r="F311" s="79"/>
      <c r="G311" s="79"/>
    </row>
    <row r="312" spans="2:7" ht="15.75" customHeight="1" x14ac:dyDescent="0.2">
      <c r="B312" s="79"/>
      <c r="C312" s="79"/>
      <c r="D312" s="79"/>
      <c r="E312" s="79"/>
      <c r="F312" s="79"/>
      <c r="G312" s="79"/>
    </row>
    <row r="313" spans="2:7" ht="15.75" customHeight="1" x14ac:dyDescent="0.2">
      <c r="B313" s="79"/>
      <c r="C313" s="79"/>
      <c r="D313" s="79"/>
      <c r="E313" s="79"/>
      <c r="F313" s="79"/>
      <c r="G313" s="79"/>
    </row>
    <row r="314" spans="2:7" ht="15.75" customHeight="1" x14ac:dyDescent="0.2">
      <c r="B314" s="79"/>
      <c r="C314" s="79"/>
      <c r="D314" s="79"/>
      <c r="E314" s="79"/>
      <c r="F314" s="79"/>
      <c r="G314" s="79"/>
    </row>
    <row r="315" spans="2:7" ht="15.75" customHeight="1" x14ac:dyDescent="0.2">
      <c r="B315" s="79"/>
      <c r="C315" s="79"/>
      <c r="D315" s="79"/>
      <c r="E315" s="79"/>
      <c r="F315" s="79"/>
      <c r="G315" s="79"/>
    </row>
    <row r="316" spans="2:7" ht="15.75" customHeight="1" x14ac:dyDescent="0.2">
      <c r="B316" s="79"/>
      <c r="C316" s="79"/>
      <c r="D316" s="79"/>
      <c r="E316" s="79"/>
      <c r="F316" s="79"/>
      <c r="G316" s="79"/>
    </row>
    <row r="317" spans="2:7" ht="15.75" customHeight="1" x14ac:dyDescent="0.2">
      <c r="B317" s="79"/>
      <c r="C317" s="79"/>
      <c r="D317" s="79"/>
      <c r="E317" s="79"/>
      <c r="F317" s="79"/>
      <c r="G317" s="79"/>
    </row>
    <row r="318" spans="2:7" ht="15.75" customHeight="1" x14ac:dyDescent="0.2">
      <c r="B318" s="79"/>
      <c r="C318" s="79"/>
      <c r="D318" s="79"/>
      <c r="E318" s="79"/>
      <c r="F318" s="79"/>
      <c r="G318" s="79"/>
    </row>
    <row r="319" spans="2:7" ht="15.75" customHeight="1" x14ac:dyDescent="0.2">
      <c r="B319" s="79"/>
      <c r="C319" s="79"/>
      <c r="D319" s="79"/>
      <c r="E319" s="79"/>
      <c r="F319" s="79"/>
      <c r="G319" s="79"/>
    </row>
    <row r="320" spans="2:7" ht="15.75" customHeight="1" x14ac:dyDescent="0.2">
      <c r="B320" s="79"/>
      <c r="C320" s="79"/>
      <c r="D320" s="79"/>
      <c r="E320" s="79"/>
      <c r="F320" s="79"/>
      <c r="G320" s="79"/>
    </row>
    <row r="321" spans="2:7" ht="15.75" customHeight="1" x14ac:dyDescent="0.2">
      <c r="B321" s="79"/>
      <c r="C321" s="79"/>
      <c r="D321" s="79"/>
      <c r="E321" s="79"/>
      <c r="F321" s="79"/>
      <c r="G321" s="79"/>
    </row>
    <row r="322" spans="2:7" ht="15.75" customHeight="1" x14ac:dyDescent="0.2">
      <c r="B322" s="79"/>
      <c r="C322" s="79"/>
      <c r="D322" s="79"/>
      <c r="E322" s="79"/>
      <c r="F322" s="79"/>
      <c r="G322" s="79"/>
    </row>
    <row r="323" spans="2:7" ht="15.75" customHeight="1" x14ac:dyDescent="0.2">
      <c r="B323" s="79"/>
      <c r="C323" s="79"/>
      <c r="D323" s="79"/>
      <c r="E323" s="79"/>
      <c r="F323" s="79"/>
      <c r="G323" s="79"/>
    </row>
    <row r="324" spans="2:7" ht="15.75" customHeight="1" x14ac:dyDescent="0.2">
      <c r="B324" s="79"/>
      <c r="C324" s="79"/>
      <c r="D324" s="79"/>
      <c r="E324" s="79"/>
      <c r="F324" s="79"/>
      <c r="G324" s="79"/>
    </row>
    <row r="325" spans="2:7" ht="15.75" customHeight="1" x14ac:dyDescent="0.2">
      <c r="B325" s="79"/>
      <c r="C325" s="79"/>
      <c r="D325" s="79"/>
      <c r="E325" s="79"/>
      <c r="F325" s="79"/>
      <c r="G325" s="79"/>
    </row>
    <row r="326" spans="2:7" ht="15.75" customHeight="1" x14ac:dyDescent="0.2">
      <c r="B326" s="79"/>
      <c r="C326" s="79"/>
      <c r="D326" s="79"/>
      <c r="E326" s="79"/>
      <c r="F326" s="79"/>
      <c r="G326" s="79"/>
    </row>
    <row r="327" spans="2:7" ht="15.75" customHeight="1" x14ac:dyDescent="0.2">
      <c r="B327" s="79"/>
      <c r="C327" s="79"/>
      <c r="D327" s="79"/>
      <c r="E327" s="79"/>
      <c r="F327" s="79"/>
      <c r="G327" s="79"/>
    </row>
    <row r="328" spans="2:7" ht="15.75" customHeight="1" x14ac:dyDescent="0.2">
      <c r="B328" s="79"/>
      <c r="C328" s="79"/>
      <c r="D328" s="79"/>
      <c r="E328" s="79"/>
      <c r="F328" s="79"/>
      <c r="G328" s="79"/>
    </row>
    <row r="329" spans="2:7" ht="15.75" customHeight="1" x14ac:dyDescent="0.2">
      <c r="B329" s="79"/>
      <c r="C329" s="79"/>
      <c r="D329" s="79"/>
      <c r="E329" s="79"/>
      <c r="F329" s="79"/>
      <c r="G329" s="79"/>
    </row>
    <row r="330" spans="2:7" ht="15.75" customHeight="1" x14ac:dyDescent="0.2">
      <c r="B330" s="79"/>
      <c r="C330" s="79"/>
      <c r="D330" s="79"/>
      <c r="E330" s="79"/>
      <c r="F330" s="79"/>
      <c r="G330" s="79"/>
    </row>
    <row r="331" spans="2:7" ht="15.75" customHeight="1" x14ac:dyDescent="0.2">
      <c r="B331" s="79"/>
      <c r="C331" s="79"/>
      <c r="D331" s="79"/>
      <c r="E331" s="79"/>
      <c r="F331" s="79"/>
      <c r="G331" s="79"/>
    </row>
    <row r="332" spans="2:7" ht="15.75" customHeight="1" x14ac:dyDescent="0.2">
      <c r="B332" s="79"/>
      <c r="C332" s="79"/>
      <c r="D332" s="79"/>
      <c r="E332" s="79"/>
      <c r="F332" s="79"/>
      <c r="G332" s="79"/>
    </row>
    <row r="333" spans="2:7" ht="15.75" customHeight="1" x14ac:dyDescent="0.2">
      <c r="B333" s="79"/>
      <c r="C333" s="79"/>
      <c r="D333" s="79"/>
      <c r="E333" s="79"/>
      <c r="F333" s="79"/>
      <c r="G333" s="79"/>
    </row>
    <row r="334" spans="2:7" ht="15.75" customHeight="1" x14ac:dyDescent="0.2">
      <c r="B334" s="79"/>
      <c r="C334" s="79"/>
      <c r="D334" s="79"/>
      <c r="E334" s="79"/>
      <c r="F334" s="79"/>
      <c r="G334" s="79"/>
    </row>
    <row r="335" spans="2:7" ht="15.75" customHeight="1" x14ac:dyDescent="0.2">
      <c r="B335" s="79"/>
      <c r="C335" s="79"/>
      <c r="D335" s="79"/>
      <c r="E335" s="79"/>
      <c r="F335" s="79"/>
      <c r="G335" s="79"/>
    </row>
    <row r="336" spans="2:7" ht="15.75" customHeight="1" x14ac:dyDescent="0.2">
      <c r="B336" s="79"/>
      <c r="C336" s="79"/>
      <c r="D336" s="79"/>
      <c r="E336" s="79"/>
      <c r="F336" s="79"/>
      <c r="G336" s="79"/>
    </row>
    <row r="337" spans="2:7" ht="15.75" customHeight="1" x14ac:dyDescent="0.2">
      <c r="B337" s="79"/>
      <c r="C337" s="79"/>
      <c r="D337" s="79"/>
      <c r="E337" s="79"/>
      <c r="F337" s="79"/>
      <c r="G337" s="79"/>
    </row>
    <row r="338" spans="2:7" ht="15.75" customHeight="1" x14ac:dyDescent="0.2">
      <c r="B338" s="79"/>
      <c r="C338" s="79"/>
      <c r="D338" s="79"/>
      <c r="E338" s="79"/>
      <c r="F338" s="79"/>
      <c r="G338" s="79"/>
    </row>
    <row r="339" spans="2:7" ht="15.75" customHeight="1" x14ac:dyDescent="0.2">
      <c r="B339" s="79"/>
      <c r="C339" s="79"/>
      <c r="D339" s="79"/>
      <c r="E339" s="79"/>
      <c r="F339" s="79"/>
      <c r="G339" s="79"/>
    </row>
    <row r="340" spans="2:7" ht="15.75" customHeight="1" x14ac:dyDescent="0.2">
      <c r="B340" s="79"/>
      <c r="C340" s="79"/>
      <c r="D340" s="79"/>
      <c r="E340" s="79"/>
      <c r="F340" s="79"/>
      <c r="G340" s="79"/>
    </row>
    <row r="341" spans="2:7" ht="15.75" customHeight="1" x14ac:dyDescent="0.2">
      <c r="B341" s="79"/>
      <c r="C341" s="79"/>
      <c r="D341" s="79"/>
      <c r="E341" s="79"/>
      <c r="F341" s="79"/>
      <c r="G341" s="79"/>
    </row>
    <row r="342" spans="2:7" ht="15.75" customHeight="1" x14ac:dyDescent="0.2">
      <c r="B342" s="79"/>
      <c r="C342" s="79"/>
      <c r="D342" s="79"/>
      <c r="E342" s="79"/>
      <c r="F342" s="79"/>
      <c r="G342" s="79"/>
    </row>
    <row r="343" spans="2:7" ht="15.75" customHeight="1" x14ac:dyDescent="0.2">
      <c r="B343" s="79"/>
      <c r="C343" s="79"/>
      <c r="D343" s="79"/>
      <c r="E343" s="79"/>
      <c r="F343" s="79"/>
      <c r="G343" s="79"/>
    </row>
    <row r="344" spans="2:7" ht="15.75" customHeight="1" x14ac:dyDescent="0.2">
      <c r="B344" s="79"/>
      <c r="C344" s="79"/>
      <c r="D344" s="79"/>
      <c r="E344" s="79"/>
      <c r="F344" s="79"/>
      <c r="G344" s="79"/>
    </row>
    <row r="345" spans="2:7" ht="15.75" customHeight="1" x14ac:dyDescent="0.2">
      <c r="B345" s="79"/>
      <c r="C345" s="79"/>
      <c r="D345" s="79"/>
      <c r="E345" s="79"/>
      <c r="F345" s="79"/>
      <c r="G345" s="79"/>
    </row>
    <row r="346" spans="2:7" ht="15.75" customHeight="1" x14ac:dyDescent="0.2">
      <c r="B346" s="79"/>
      <c r="C346" s="79"/>
      <c r="D346" s="79"/>
      <c r="E346" s="79"/>
      <c r="F346" s="79"/>
      <c r="G346" s="79"/>
    </row>
    <row r="347" spans="2:7" ht="15.75" customHeight="1" x14ac:dyDescent="0.2">
      <c r="B347" s="79"/>
      <c r="C347" s="79"/>
      <c r="D347" s="79"/>
      <c r="E347" s="79"/>
      <c r="F347" s="79"/>
      <c r="G347" s="79"/>
    </row>
    <row r="348" spans="2:7" ht="15.75" customHeight="1" x14ac:dyDescent="0.2">
      <c r="B348" s="79"/>
      <c r="C348" s="79"/>
      <c r="D348" s="79"/>
      <c r="E348" s="79"/>
      <c r="F348" s="79"/>
      <c r="G348" s="79"/>
    </row>
    <row r="349" spans="2:7" ht="15.75" customHeight="1" x14ac:dyDescent="0.2">
      <c r="B349" s="79"/>
      <c r="C349" s="79"/>
      <c r="D349" s="79"/>
      <c r="E349" s="79"/>
      <c r="F349" s="79"/>
      <c r="G349" s="79"/>
    </row>
    <row r="350" spans="2:7" ht="15.75" customHeight="1" x14ac:dyDescent="0.2">
      <c r="B350" s="79"/>
      <c r="C350" s="79"/>
      <c r="D350" s="79"/>
      <c r="E350" s="79"/>
      <c r="F350" s="79"/>
      <c r="G350" s="79"/>
    </row>
    <row r="351" spans="2:7" ht="15.75" customHeight="1" x14ac:dyDescent="0.2">
      <c r="B351" s="79"/>
      <c r="C351" s="79"/>
      <c r="D351" s="79"/>
      <c r="E351" s="79"/>
      <c r="F351" s="79"/>
      <c r="G351" s="79"/>
    </row>
    <row r="352" spans="2:7" ht="15.75" customHeight="1" x14ac:dyDescent="0.2">
      <c r="B352" s="79"/>
      <c r="C352" s="79"/>
      <c r="D352" s="79"/>
      <c r="E352" s="79"/>
      <c r="F352" s="79"/>
      <c r="G352" s="79"/>
    </row>
    <row r="353" spans="2:7" ht="15.75" customHeight="1" x14ac:dyDescent="0.2">
      <c r="B353" s="79"/>
      <c r="C353" s="79"/>
      <c r="D353" s="79"/>
      <c r="E353" s="79"/>
      <c r="F353" s="79"/>
      <c r="G353" s="79"/>
    </row>
    <row r="354" spans="2:7" ht="15.75" customHeight="1" x14ac:dyDescent="0.2">
      <c r="B354" s="79"/>
      <c r="C354" s="79"/>
      <c r="D354" s="79"/>
      <c r="E354" s="79"/>
      <c r="F354" s="79"/>
      <c r="G354" s="79"/>
    </row>
    <row r="355" spans="2:7" ht="15.75" customHeight="1" x14ac:dyDescent="0.2">
      <c r="B355" s="79"/>
      <c r="C355" s="79"/>
      <c r="D355" s="79"/>
      <c r="E355" s="79"/>
      <c r="F355" s="79"/>
      <c r="G355" s="79"/>
    </row>
    <row r="356" spans="2:7" ht="15.75" customHeight="1" x14ac:dyDescent="0.2">
      <c r="B356" s="79"/>
      <c r="C356" s="79"/>
      <c r="D356" s="79"/>
      <c r="E356" s="79"/>
      <c r="F356" s="79"/>
      <c r="G356" s="79"/>
    </row>
    <row r="357" spans="2:7" ht="15.75" customHeight="1" x14ac:dyDescent="0.2">
      <c r="B357" s="79"/>
      <c r="C357" s="79"/>
      <c r="D357" s="79"/>
      <c r="E357" s="79"/>
      <c r="F357" s="79"/>
      <c r="G357" s="79"/>
    </row>
    <row r="358" spans="2:7" ht="15.75" customHeight="1" x14ac:dyDescent="0.2">
      <c r="B358" s="79"/>
      <c r="C358" s="79"/>
      <c r="D358" s="79"/>
      <c r="E358" s="79"/>
      <c r="F358" s="79"/>
      <c r="G358" s="79"/>
    </row>
    <row r="359" spans="2:7" ht="15.75" customHeight="1" x14ac:dyDescent="0.2">
      <c r="B359" s="79"/>
      <c r="C359" s="79"/>
      <c r="D359" s="79"/>
      <c r="E359" s="79"/>
      <c r="F359" s="79"/>
      <c r="G359" s="79"/>
    </row>
    <row r="360" spans="2:7" ht="15.75" customHeight="1" x14ac:dyDescent="0.2">
      <c r="B360" s="79"/>
      <c r="C360" s="79"/>
      <c r="D360" s="79"/>
      <c r="E360" s="79"/>
      <c r="F360" s="79"/>
      <c r="G360" s="79"/>
    </row>
    <row r="361" spans="2:7" ht="15.75" customHeight="1" x14ac:dyDescent="0.2">
      <c r="B361" s="79"/>
      <c r="C361" s="79"/>
      <c r="D361" s="79"/>
      <c r="E361" s="79"/>
      <c r="F361" s="79"/>
      <c r="G361" s="79"/>
    </row>
    <row r="362" spans="2:7" ht="15.75" customHeight="1" x14ac:dyDescent="0.2">
      <c r="B362" s="79"/>
      <c r="C362" s="79"/>
      <c r="D362" s="79"/>
      <c r="E362" s="79"/>
      <c r="F362" s="79"/>
      <c r="G362" s="79"/>
    </row>
    <row r="363" spans="2:7" ht="15.75" customHeight="1" x14ac:dyDescent="0.2">
      <c r="B363" s="79"/>
      <c r="C363" s="79"/>
      <c r="D363" s="79"/>
      <c r="E363" s="79"/>
      <c r="F363" s="79"/>
      <c r="G363" s="79"/>
    </row>
    <row r="364" spans="2:7" ht="15.75" customHeight="1" x14ac:dyDescent="0.2">
      <c r="B364" s="79"/>
      <c r="C364" s="79"/>
      <c r="D364" s="79"/>
      <c r="E364" s="79"/>
      <c r="F364" s="79"/>
      <c r="G364" s="79"/>
    </row>
    <row r="365" spans="2:7" ht="15.75" customHeight="1" x14ac:dyDescent="0.2">
      <c r="B365" s="79"/>
      <c r="C365" s="79"/>
      <c r="D365" s="79"/>
      <c r="E365" s="79"/>
      <c r="F365" s="79"/>
      <c r="G365" s="79"/>
    </row>
    <row r="366" spans="2:7" ht="15.75" customHeight="1" x14ac:dyDescent="0.2">
      <c r="B366" s="79"/>
      <c r="C366" s="79"/>
      <c r="D366" s="79"/>
      <c r="E366" s="79"/>
      <c r="F366" s="79"/>
      <c r="G366" s="79"/>
    </row>
    <row r="367" spans="2:7" ht="15.75" customHeight="1" x14ac:dyDescent="0.2">
      <c r="B367" s="79"/>
      <c r="C367" s="79"/>
      <c r="D367" s="79"/>
      <c r="E367" s="79"/>
      <c r="F367" s="79"/>
      <c r="G367" s="79"/>
    </row>
    <row r="368" spans="2:7" ht="15.75" customHeight="1" x14ac:dyDescent="0.2">
      <c r="B368" s="79"/>
      <c r="C368" s="79"/>
      <c r="D368" s="79"/>
      <c r="E368" s="79"/>
      <c r="F368" s="79"/>
      <c r="G368" s="79"/>
    </row>
    <row r="369" spans="2:7" ht="15.75" customHeight="1" x14ac:dyDescent="0.2">
      <c r="B369" s="79"/>
      <c r="C369" s="79"/>
      <c r="D369" s="79"/>
      <c r="E369" s="79"/>
      <c r="F369" s="79"/>
      <c r="G369" s="79"/>
    </row>
    <row r="370" spans="2:7" ht="15.75" customHeight="1" x14ac:dyDescent="0.2">
      <c r="B370" s="79"/>
      <c r="C370" s="79"/>
      <c r="D370" s="79"/>
      <c r="E370" s="79"/>
      <c r="F370" s="79"/>
      <c r="G370" s="79"/>
    </row>
    <row r="371" spans="2:7" ht="15.75" customHeight="1" x14ac:dyDescent="0.2">
      <c r="B371" s="79"/>
      <c r="C371" s="79"/>
      <c r="D371" s="79"/>
      <c r="E371" s="79"/>
      <c r="F371" s="79"/>
      <c r="G371" s="79"/>
    </row>
    <row r="372" spans="2:7" ht="15.75" customHeight="1" x14ac:dyDescent="0.2">
      <c r="B372" s="79"/>
      <c r="C372" s="79"/>
      <c r="D372" s="79"/>
      <c r="E372" s="79"/>
      <c r="F372" s="79"/>
      <c r="G372" s="79"/>
    </row>
    <row r="373" spans="2:7" ht="15.75" customHeight="1" x14ac:dyDescent="0.2">
      <c r="B373" s="79"/>
      <c r="C373" s="79"/>
      <c r="D373" s="79"/>
      <c r="E373" s="79"/>
      <c r="F373" s="79"/>
      <c r="G373" s="79"/>
    </row>
    <row r="374" spans="2:7" ht="15.75" customHeight="1" x14ac:dyDescent="0.2">
      <c r="B374" s="79"/>
      <c r="C374" s="79"/>
      <c r="D374" s="79"/>
      <c r="E374" s="79"/>
      <c r="F374" s="79"/>
      <c r="G374" s="79"/>
    </row>
    <row r="375" spans="2:7" ht="15.75" customHeight="1" x14ac:dyDescent="0.2">
      <c r="B375" s="79"/>
      <c r="C375" s="79"/>
      <c r="D375" s="79"/>
      <c r="E375" s="79"/>
      <c r="F375" s="79"/>
      <c r="G375" s="79"/>
    </row>
    <row r="376" spans="2:7" ht="15.75" customHeight="1" x14ac:dyDescent="0.2">
      <c r="B376" s="79"/>
      <c r="C376" s="79"/>
      <c r="D376" s="79"/>
      <c r="E376" s="79"/>
      <c r="F376" s="79"/>
      <c r="G376" s="79"/>
    </row>
    <row r="377" spans="2:7" ht="15.75" customHeight="1" x14ac:dyDescent="0.2">
      <c r="B377" s="79"/>
      <c r="C377" s="79"/>
      <c r="D377" s="79"/>
      <c r="E377" s="79"/>
      <c r="F377" s="79"/>
      <c r="G377" s="79"/>
    </row>
    <row r="378" spans="2:7" ht="15.75" customHeight="1" x14ac:dyDescent="0.2">
      <c r="B378" s="79"/>
      <c r="C378" s="79"/>
      <c r="D378" s="79"/>
      <c r="E378" s="79"/>
      <c r="F378" s="79"/>
      <c r="G378" s="79"/>
    </row>
    <row r="379" spans="2:7" ht="15.75" customHeight="1" x14ac:dyDescent="0.2">
      <c r="B379" s="79"/>
      <c r="C379" s="79"/>
      <c r="D379" s="79"/>
      <c r="E379" s="79"/>
      <c r="F379" s="79"/>
      <c r="G379" s="79"/>
    </row>
    <row r="380" spans="2:7" ht="15.75" customHeight="1" x14ac:dyDescent="0.2">
      <c r="B380" s="79"/>
      <c r="C380" s="79"/>
      <c r="D380" s="79"/>
      <c r="E380" s="79"/>
      <c r="F380" s="79"/>
      <c r="G380" s="79"/>
    </row>
    <row r="381" spans="2:7" ht="15.75" customHeight="1" x14ac:dyDescent="0.2">
      <c r="B381" s="79"/>
      <c r="C381" s="79"/>
      <c r="D381" s="79"/>
      <c r="E381" s="79"/>
      <c r="F381" s="79"/>
      <c r="G381" s="79"/>
    </row>
    <row r="382" spans="2:7" ht="15.75" customHeight="1" x14ac:dyDescent="0.2">
      <c r="B382" s="79"/>
      <c r="C382" s="79"/>
      <c r="D382" s="79"/>
      <c r="E382" s="79"/>
      <c r="F382" s="79"/>
      <c r="G382" s="79"/>
    </row>
    <row r="383" spans="2:7" ht="15.75" customHeight="1" x14ac:dyDescent="0.2">
      <c r="B383" s="79"/>
      <c r="C383" s="79"/>
      <c r="D383" s="79"/>
      <c r="E383" s="79"/>
      <c r="F383" s="79"/>
      <c r="G383" s="79"/>
    </row>
    <row r="384" spans="2:7" ht="15.75" customHeight="1" x14ac:dyDescent="0.2">
      <c r="B384" s="79"/>
      <c r="C384" s="79"/>
      <c r="D384" s="79"/>
      <c r="E384" s="79"/>
      <c r="F384" s="79"/>
      <c r="G384" s="79"/>
    </row>
    <row r="385" spans="2:7" ht="15.75" customHeight="1" x14ac:dyDescent="0.2">
      <c r="B385" s="79"/>
      <c r="C385" s="79"/>
      <c r="D385" s="79"/>
      <c r="E385" s="79"/>
      <c r="F385" s="79"/>
      <c r="G385" s="79"/>
    </row>
    <row r="386" spans="2:7" ht="15.75" customHeight="1" x14ac:dyDescent="0.2">
      <c r="B386" s="79"/>
      <c r="C386" s="79"/>
      <c r="D386" s="79"/>
      <c r="E386" s="79"/>
      <c r="F386" s="79"/>
      <c r="G386" s="79"/>
    </row>
    <row r="387" spans="2:7" ht="15.75" customHeight="1" x14ac:dyDescent="0.2">
      <c r="B387" s="79"/>
      <c r="C387" s="79"/>
      <c r="D387" s="79"/>
      <c r="E387" s="79"/>
      <c r="F387" s="79"/>
      <c r="G387" s="79"/>
    </row>
    <row r="388" spans="2:7" ht="15.75" customHeight="1" x14ac:dyDescent="0.2">
      <c r="B388" s="79"/>
      <c r="C388" s="79"/>
      <c r="D388" s="79"/>
      <c r="E388" s="79"/>
      <c r="F388" s="79"/>
      <c r="G388" s="79"/>
    </row>
    <row r="389" spans="2:7" ht="15.75" customHeight="1" x14ac:dyDescent="0.2">
      <c r="B389" s="79"/>
      <c r="C389" s="79"/>
      <c r="D389" s="79"/>
      <c r="E389" s="79"/>
      <c r="F389" s="79"/>
      <c r="G389" s="79"/>
    </row>
    <row r="390" spans="2:7" ht="15.75" customHeight="1" x14ac:dyDescent="0.2">
      <c r="B390" s="79"/>
      <c r="C390" s="79"/>
      <c r="D390" s="79"/>
      <c r="E390" s="79"/>
      <c r="F390" s="79"/>
      <c r="G390" s="79"/>
    </row>
    <row r="391" spans="2:7" ht="15.75" customHeight="1" x14ac:dyDescent="0.2">
      <c r="B391" s="79"/>
      <c r="C391" s="79"/>
      <c r="D391" s="79"/>
      <c r="E391" s="79"/>
      <c r="F391" s="79"/>
      <c r="G391" s="79"/>
    </row>
    <row r="392" spans="2:7" ht="15.75" customHeight="1" x14ac:dyDescent="0.2">
      <c r="B392" s="79"/>
      <c r="C392" s="79"/>
      <c r="D392" s="79"/>
      <c r="E392" s="79"/>
      <c r="F392" s="79"/>
      <c r="G392" s="79"/>
    </row>
    <row r="393" spans="2:7" ht="15.75" customHeight="1" x14ac:dyDescent="0.2">
      <c r="B393" s="79"/>
      <c r="C393" s="79"/>
      <c r="D393" s="79"/>
      <c r="E393" s="79"/>
      <c r="F393" s="79"/>
      <c r="G393" s="79"/>
    </row>
    <row r="394" spans="2:7" ht="15.75" customHeight="1" x14ac:dyDescent="0.2">
      <c r="B394" s="79"/>
      <c r="C394" s="79"/>
      <c r="D394" s="79"/>
      <c r="E394" s="79"/>
      <c r="F394" s="79"/>
      <c r="G394" s="79"/>
    </row>
    <row r="395" spans="2:7" ht="15.75" customHeight="1" x14ac:dyDescent="0.2">
      <c r="B395" s="79"/>
      <c r="C395" s="79"/>
      <c r="D395" s="79"/>
      <c r="E395" s="79"/>
      <c r="F395" s="79"/>
      <c r="G395" s="79"/>
    </row>
    <row r="396" spans="2:7" ht="15.75" customHeight="1" x14ac:dyDescent="0.2">
      <c r="B396" s="79"/>
      <c r="C396" s="79"/>
      <c r="D396" s="79"/>
      <c r="E396" s="79"/>
      <c r="F396" s="79"/>
      <c r="G396" s="79"/>
    </row>
    <row r="397" spans="2:7" ht="15.75" customHeight="1" x14ac:dyDescent="0.2">
      <c r="B397" s="79"/>
      <c r="C397" s="79"/>
      <c r="D397" s="79"/>
      <c r="E397" s="79"/>
      <c r="F397" s="79"/>
      <c r="G397" s="79"/>
    </row>
    <row r="398" spans="2:7" ht="15.75" customHeight="1" x14ac:dyDescent="0.2">
      <c r="B398" s="79"/>
      <c r="C398" s="79"/>
      <c r="D398" s="79"/>
      <c r="E398" s="79"/>
      <c r="F398" s="79"/>
      <c r="G398" s="79"/>
    </row>
    <row r="399" spans="2:7" ht="15.75" customHeight="1" x14ac:dyDescent="0.2">
      <c r="B399" s="79"/>
      <c r="C399" s="79"/>
      <c r="D399" s="79"/>
      <c r="E399" s="79"/>
      <c r="F399" s="79"/>
      <c r="G399" s="79"/>
    </row>
    <row r="400" spans="2:7" ht="15.75" customHeight="1" x14ac:dyDescent="0.2">
      <c r="B400" s="79"/>
      <c r="C400" s="79"/>
      <c r="D400" s="79"/>
      <c r="E400" s="79"/>
      <c r="F400" s="79"/>
      <c r="G400" s="79"/>
    </row>
    <row r="401" spans="2:7" ht="15.75" customHeight="1" x14ac:dyDescent="0.2">
      <c r="B401" s="79"/>
      <c r="C401" s="79"/>
      <c r="D401" s="79"/>
      <c r="E401" s="79"/>
      <c r="F401" s="79"/>
      <c r="G401" s="79"/>
    </row>
    <row r="402" spans="2:7" ht="15.75" customHeight="1" x14ac:dyDescent="0.2">
      <c r="B402" s="79"/>
      <c r="C402" s="79"/>
      <c r="D402" s="79"/>
      <c r="E402" s="79"/>
      <c r="F402" s="79"/>
      <c r="G402" s="79"/>
    </row>
    <row r="403" spans="2:7" ht="15.75" customHeight="1" x14ac:dyDescent="0.2">
      <c r="B403" s="79"/>
      <c r="C403" s="79"/>
      <c r="D403" s="79"/>
      <c r="E403" s="79"/>
      <c r="F403" s="79"/>
      <c r="G403" s="79"/>
    </row>
    <row r="404" spans="2:7" ht="15.75" customHeight="1" x14ac:dyDescent="0.2">
      <c r="B404" s="79"/>
      <c r="C404" s="79"/>
      <c r="D404" s="79"/>
      <c r="E404" s="79"/>
      <c r="F404" s="79"/>
      <c r="G404" s="79"/>
    </row>
    <row r="405" spans="2:7" ht="15.75" customHeight="1" x14ac:dyDescent="0.2">
      <c r="B405" s="79"/>
      <c r="C405" s="79"/>
      <c r="D405" s="79"/>
      <c r="E405" s="79"/>
      <c r="F405" s="79"/>
      <c r="G405" s="79"/>
    </row>
    <row r="406" spans="2:7" ht="15.75" customHeight="1" x14ac:dyDescent="0.2">
      <c r="B406" s="79"/>
      <c r="C406" s="79"/>
      <c r="D406" s="79"/>
      <c r="E406" s="79"/>
      <c r="F406" s="79"/>
      <c r="G406" s="79"/>
    </row>
    <row r="407" spans="2:7" ht="15.75" customHeight="1" x14ac:dyDescent="0.2">
      <c r="B407" s="79"/>
      <c r="C407" s="79"/>
      <c r="D407" s="79"/>
      <c r="E407" s="79"/>
      <c r="F407" s="79"/>
      <c r="G407" s="79"/>
    </row>
    <row r="408" spans="2:7" ht="15.75" customHeight="1" x14ac:dyDescent="0.2">
      <c r="B408" s="79"/>
      <c r="C408" s="79"/>
      <c r="D408" s="79"/>
      <c r="E408" s="79"/>
      <c r="F408" s="79"/>
      <c r="G408" s="79"/>
    </row>
    <row r="409" spans="2:7" ht="15.75" customHeight="1" x14ac:dyDescent="0.2">
      <c r="B409" s="79"/>
      <c r="C409" s="79"/>
      <c r="D409" s="79"/>
      <c r="E409" s="79"/>
      <c r="F409" s="79"/>
      <c r="G409" s="79"/>
    </row>
    <row r="410" spans="2:7" ht="15.75" customHeight="1" x14ac:dyDescent="0.2">
      <c r="B410" s="79"/>
      <c r="C410" s="79"/>
      <c r="D410" s="79"/>
      <c r="E410" s="79"/>
      <c r="F410" s="79"/>
      <c r="G410" s="79"/>
    </row>
    <row r="411" spans="2:7" ht="15.75" customHeight="1" x14ac:dyDescent="0.2">
      <c r="B411" s="79"/>
      <c r="C411" s="79"/>
      <c r="D411" s="79"/>
      <c r="E411" s="79"/>
      <c r="F411" s="79"/>
      <c r="G411" s="79"/>
    </row>
    <row r="412" spans="2:7" ht="15.75" customHeight="1" x14ac:dyDescent="0.2">
      <c r="B412" s="79"/>
      <c r="C412" s="79"/>
      <c r="D412" s="79"/>
      <c r="E412" s="79"/>
      <c r="F412" s="79"/>
      <c r="G412" s="79"/>
    </row>
    <row r="413" spans="2:7" ht="15.75" customHeight="1" x14ac:dyDescent="0.2">
      <c r="B413" s="79"/>
      <c r="C413" s="79"/>
      <c r="D413" s="79"/>
      <c r="E413" s="79"/>
      <c r="F413" s="79"/>
      <c r="G413" s="79"/>
    </row>
    <row r="414" spans="2:7" ht="15.75" customHeight="1" x14ac:dyDescent="0.2">
      <c r="B414" s="79"/>
      <c r="C414" s="79"/>
      <c r="D414" s="79"/>
      <c r="E414" s="79"/>
      <c r="F414" s="79"/>
      <c r="G414" s="79"/>
    </row>
    <row r="415" spans="2:7" ht="15.75" customHeight="1" x14ac:dyDescent="0.2">
      <c r="B415" s="79"/>
      <c r="C415" s="79"/>
      <c r="D415" s="79"/>
      <c r="E415" s="79"/>
      <c r="F415" s="79"/>
      <c r="G415" s="79"/>
    </row>
    <row r="416" spans="2:7" ht="15.75" customHeight="1" x14ac:dyDescent="0.2">
      <c r="B416" s="79"/>
      <c r="C416" s="79"/>
      <c r="D416" s="79"/>
      <c r="E416" s="79"/>
      <c r="F416" s="79"/>
      <c r="G416" s="79"/>
    </row>
    <row r="417" spans="2:7" ht="15.75" customHeight="1" x14ac:dyDescent="0.2">
      <c r="B417" s="79"/>
      <c r="C417" s="79"/>
      <c r="D417" s="79"/>
      <c r="E417" s="79"/>
      <c r="F417" s="79"/>
      <c r="G417" s="79"/>
    </row>
    <row r="418" spans="2:7" ht="15.75" customHeight="1" x14ac:dyDescent="0.2">
      <c r="B418" s="79"/>
      <c r="C418" s="79"/>
      <c r="D418" s="79"/>
      <c r="E418" s="79"/>
      <c r="F418" s="79"/>
      <c r="G418" s="79"/>
    </row>
    <row r="419" spans="2:7" ht="15.75" customHeight="1" x14ac:dyDescent="0.2">
      <c r="B419" s="79"/>
      <c r="C419" s="79"/>
      <c r="D419" s="79"/>
      <c r="E419" s="79"/>
      <c r="F419" s="79"/>
      <c r="G419" s="79"/>
    </row>
    <row r="420" spans="2:7" ht="15.75" customHeight="1" x14ac:dyDescent="0.2">
      <c r="B420" s="79"/>
      <c r="C420" s="79"/>
      <c r="D420" s="79"/>
      <c r="E420" s="79"/>
      <c r="F420" s="79"/>
      <c r="G420" s="79"/>
    </row>
    <row r="421" spans="2:7" ht="15.75" customHeight="1" x14ac:dyDescent="0.2">
      <c r="B421" s="79"/>
      <c r="C421" s="79"/>
      <c r="D421" s="79"/>
      <c r="E421" s="79"/>
      <c r="F421" s="79"/>
      <c r="G421" s="79"/>
    </row>
    <row r="422" spans="2:7" ht="15.75" customHeight="1" x14ac:dyDescent="0.2">
      <c r="B422" s="79"/>
      <c r="C422" s="79"/>
      <c r="D422" s="79"/>
      <c r="E422" s="79"/>
      <c r="F422" s="79"/>
      <c r="G422" s="79"/>
    </row>
    <row r="423" spans="2:7" ht="15.75" customHeight="1" x14ac:dyDescent="0.2">
      <c r="B423" s="79"/>
      <c r="C423" s="79"/>
      <c r="D423" s="79"/>
      <c r="E423" s="79"/>
      <c r="F423" s="79"/>
      <c r="G423" s="79"/>
    </row>
    <row r="424" spans="2:7" ht="15.75" customHeight="1" x14ac:dyDescent="0.2">
      <c r="B424" s="79"/>
      <c r="C424" s="79"/>
      <c r="D424" s="79"/>
      <c r="E424" s="79"/>
      <c r="F424" s="79"/>
      <c r="G424" s="79"/>
    </row>
    <row r="425" spans="2:7" ht="15.75" customHeight="1" x14ac:dyDescent="0.2">
      <c r="B425" s="79"/>
      <c r="C425" s="79"/>
      <c r="D425" s="79"/>
      <c r="E425" s="79"/>
      <c r="F425" s="79"/>
      <c r="G425" s="79"/>
    </row>
    <row r="426" spans="2:7" ht="15.75" customHeight="1" x14ac:dyDescent="0.2">
      <c r="B426" s="79"/>
      <c r="C426" s="79"/>
      <c r="D426" s="79"/>
      <c r="E426" s="79"/>
      <c r="F426" s="79"/>
      <c r="G426" s="79"/>
    </row>
    <row r="427" spans="2:7" ht="15.75" customHeight="1" x14ac:dyDescent="0.2">
      <c r="B427" s="79"/>
      <c r="C427" s="79"/>
      <c r="D427" s="79"/>
      <c r="E427" s="79"/>
      <c r="F427" s="79"/>
      <c r="G427" s="79"/>
    </row>
    <row r="428" spans="2:7" ht="15.75" customHeight="1" x14ac:dyDescent="0.2">
      <c r="B428" s="79"/>
      <c r="C428" s="79"/>
      <c r="D428" s="79"/>
      <c r="E428" s="79"/>
      <c r="F428" s="79"/>
      <c r="G428" s="79"/>
    </row>
    <row r="429" spans="2:7" ht="15.75" customHeight="1" x14ac:dyDescent="0.2">
      <c r="B429" s="79"/>
      <c r="C429" s="79"/>
      <c r="D429" s="79"/>
      <c r="E429" s="79"/>
      <c r="F429" s="79"/>
      <c r="G429" s="79"/>
    </row>
    <row r="430" spans="2:7" ht="15.75" customHeight="1" x14ac:dyDescent="0.2">
      <c r="B430" s="79"/>
      <c r="C430" s="79"/>
      <c r="D430" s="79"/>
      <c r="E430" s="79"/>
      <c r="F430" s="79"/>
      <c r="G430" s="79"/>
    </row>
    <row r="431" spans="2:7" ht="15.75" customHeight="1" x14ac:dyDescent="0.2">
      <c r="B431" s="79"/>
      <c r="C431" s="79"/>
      <c r="D431" s="79"/>
      <c r="E431" s="79"/>
      <c r="F431" s="79"/>
      <c r="G431" s="79"/>
    </row>
    <row r="432" spans="2:7" ht="15.75" customHeight="1" x14ac:dyDescent="0.2">
      <c r="B432" s="79"/>
      <c r="C432" s="79"/>
      <c r="D432" s="79"/>
      <c r="E432" s="79"/>
      <c r="F432" s="79"/>
      <c r="G432" s="79"/>
    </row>
    <row r="433" spans="2:7" ht="15.75" customHeight="1" x14ac:dyDescent="0.2">
      <c r="B433" s="79"/>
      <c r="C433" s="79"/>
      <c r="D433" s="79"/>
      <c r="E433" s="79"/>
      <c r="F433" s="79"/>
      <c r="G433" s="79"/>
    </row>
    <row r="434" spans="2:7" ht="15.75" customHeight="1" x14ac:dyDescent="0.2">
      <c r="B434" s="79"/>
      <c r="C434" s="79"/>
      <c r="D434" s="79"/>
      <c r="E434" s="79"/>
      <c r="F434" s="79"/>
      <c r="G434" s="79"/>
    </row>
    <row r="435" spans="2:7" ht="15.75" customHeight="1" x14ac:dyDescent="0.2">
      <c r="B435" s="79"/>
      <c r="C435" s="79"/>
      <c r="D435" s="79"/>
      <c r="E435" s="79"/>
      <c r="F435" s="79"/>
      <c r="G435" s="79"/>
    </row>
    <row r="436" spans="2:7" ht="15.75" customHeight="1" x14ac:dyDescent="0.2">
      <c r="B436" s="79"/>
      <c r="C436" s="79"/>
      <c r="D436" s="79"/>
      <c r="E436" s="79"/>
      <c r="F436" s="79"/>
      <c r="G436" s="79"/>
    </row>
    <row r="437" spans="2:7" ht="15.75" customHeight="1" x14ac:dyDescent="0.2">
      <c r="B437" s="79"/>
      <c r="C437" s="79"/>
      <c r="D437" s="79"/>
      <c r="E437" s="79"/>
      <c r="F437" s="79"/>
      <c r="G437" s="79"/>
    </row>
    <row r="438" spans="2:7" ht="15.75" customHeight="1" x14ac:dyDescent="0.2">
      <c r="B438" s="79"/>
      <c r="C438" s="79"/>
      <c r="D438" s="79"/>
      <c r="E438" s="79"/>
      <c r="F438" s="79"/>
      <c r="G438" s="79"/>
    </row>
    <row r="439" spans="2:7" ht="15.75" customHeight="1" x14ac:dyDescent="0.2">
      <c r="B439" s="79"/>
      <c r="C439" s="79"/>
      <c r="D439" s="79"/>
      <c r="E439" s="79"/>
      <c r="F439" s="79"/>
      <c r="G439" s="79"/>
    </row>
    <row r="440" spans="2:7" ht="15.75" customHeight="1" x14ac:dyDescent="0.2">
      <c r="B440" s="79"/>
      <c r="C440" s="79"/>
      <c r="D440" s="79"/>
      <c r="E440" s="79"/>
      <c r="F440" s="79"/>
      <c r="G440" s="79"/>
    </row>
    <row r="441" spans="2:7" ht="15.75" customHeight="1" x14ac:dyDescent="0.2">
      <c r="B441" s="79"/>
      <c r="C441" s="79"/>
      <c r="D441" s="79"/>
      <c r="E441" s="79"/>
      <c r="F441" s="79"/>
      <c r="G441" s="79"/>
    </row>
    <row r="442" spans="2:7" ht="15.75" customHeight="1" x14ac:dyDescent="0.2">
      <c r="B442" s="79"/>
      <c r="C442" s="79"/>
      <c r="D442" s="79"/>
      <c r="E442" s="79"/>
      <c r="F442" s="79"/>
      <c r="G442" s="79"/>
    </row>
    <row r="443" spans="2:7" ht="15.75" customHeight="1" x14ac:dyDescent="0.2">
      <c r="B443" s="79"/>
      <c r="C443" s="79"/>
      <c r="D443" s="79"/>
      <c r="E443" s="79"/>
      <c r="F443" s="79"/>
      <c r="G443" s="79"/>
    </row>
    <row r="444" spans="2:7" ht="15.75" customHeight="1" x14ac:dyDescent="0.2">
      <c r="B444" s="79"/>
      <c r="C444" s="79"/>
      <c r="D444" s="79"/>
      <c r="E444" s="79"/>
      <c r="F444" s="79"/>
      <c r="G444" s="79"/>
    </row>
    <row r="445" spans="2:7" ht="15.75" customHeight="1" x14ac:dyDescent="0.2">
      <c r="B445" s="79"/>
      <c r="C445" s="79"/>
      <c r="D445" s="79"/>
      <c r="E445" s="79"/>
      <c r="F445" s="79"/>
      <c r="G445" s="79"/>
    </row>
    <row r="446" spans="2:7" ht="15.75" customHeight="1" x14ac:dyDescent="0.2">
      <c r="B446" s="79"/>
      <c r="C446" s="79"/>
      <c r="D446" s="79"/>
      <c r="E446" s="79"/>
      <c r="F446" s="79"/>
      <c r="G446" s="79"/>
    </row>
    <row r="447" spans="2:7" ht="15.75" customHeight="1" x14ac:dyDescent="0.2">
      <c r="B447" s="79"/>
      <c r="C447" s="79"/>
      <c r="D447" s="79"/>
      <c r="E447" s="79"/>
      <c r="F447" s="79"/>
      <c r="G447" s="79"/>
    </row>
    <row r="448" spans="2:7" ht="15.75" customHeight="1" x14ac:dyDescent="0.2">
      <c r="B448" s="79"/>
      <c r="C448" s="79"/>
      <c r="D448" s="79"/>
      <c r="E448" s="79"/>
      <c r="F448" s="79"/>
      <c r="G448" s="79"/>
    </row>
    <row r="449" spans="2:7" ht="15.75" customHeight="1" x14ac:dyDescent="0.2">
      <c r="B449" s="79"/>
      <c r="C449" s="79"/>
      <c r="D449" s="79"/>
      <c r="E449" s="79"/>
      <c r="F449" s="79"/>
      <c r="G449" s="79"/>
    </row>
    <row r="450" spans="2:7" ht="15.75" customHeight="1" x14ac:dyDescent="0.2">
      <c r="B450" s="79"/>
      <c r="C450" s="79"/>
      <c r="D450" s="79"/>
      <c r="E450" s="79"/>
      <c r="F450" s="79"/>
      <c r="G450" s="79"/>
    </row>
    <row r="451" spans="2:7" ht="15.75" customHeight="1" x14ac:dyDescent="0.2">
      <c r="B451" s="79"/>
      <c r="C451" s="79"/>
      <c r="D451" s="79"/>
      <c r="E451" s="79"/>
      <c r="F451" s="79"/>
      <c r="G451" s="79"/>
    </row>
    <row r="452" spans="2:7" ht="15.75" customHeight="1" x14ac:dyDescent="0.2">
      <c r="B452" s="79"/>
      <c r="C452" s="79"/>
      <c r="D452" s="79"/>
      <c r="E452" s="79"/>
      <c r="F452" s="79"/>
      <c r="G452" s="79"/>
    </row>
    <row r="453" spans="2:7" ht="15.75" customHeight="1" x14ac:dyDescent="0.2">
      <c r="B453" s="79"/>
      <c r="C453" s="79"/>
      <c r="D453" s="79"/>
      <c r="E453" s="79"/>
      <c r="F453" s="79"/>
      <c r="G453" s="79"/>
    </row>
    <row r="454" spans="2:7" ht="15.75" customHeight="1" x14ac:dyDescent="0.2">
      <c r="B454" s="79"/>
      <c r="C454" s="79"/>
      <c r="D454" s="79"/>
      <c r="E454" s="79"/>
      <c r="F454" s="79"/>
      <c r="G454" s="79"/>
    </row>
    <row r="455" spans="2:7" ht="15.75" customHeight="1" x14ac:dyDescent="0.2">
      <c r="B455" s="79"/>
      <c r="C455" s="79"/>
      <c r="D455" s="79"/>
      <c r="E455" s="79"/>
      <c r="F455" s="79"/>
      <c r="G455" s="79"/>
    </row>
    <row r="456" spans="2:7" ht="15.75" customHeight="1" x14ac:dyDescent="0.2">
      <c r="B456" s="79"/>
      <c r="C456" s="79"/>
      <c r="D456" s="79"/>
      <c r="E456" s="79"/>
      <c r="F456" s="79"/>
      <c r="G456" s="79"/>
    </row>
    <row r="457" spans="2:7" ht="15.75" customHeight="1" x14ac:dyDescent="0.2">
      <c r="B457" s="79"/>
      <c r="C457" s="79"/>
      <c r="D457" s="79"/>
      <c r="E457" s="79"/>
      <c r="F457" s="79"/>
      <c r="G457" s="79"/>
    </row>
    <row r="458" spans="2:7" ht="15.75" customHeight="1" x14ac:dyDescent="0.2">
      <c r="B458" s="79"/>
      <c r="C458" s="79"/>
      <c r="D458" s="79"/>
      <c r="E458" s="79"/>
      <c r="F458" s="79"/>
      <c r="G458" s="79"/>
    </row>
    <row r="459" spans="2:7" ht="15.75" customHeight="1" x14ac:dyDescent="0.2">
      <c r="B459" s="79"/>
      <c r="C459" s="79"/>
      <c r="D459" s="79"/>
      <c r="E459" s="79"/>
      <c r="F459" s="79"/>
      <c r="G459" s="79"/>
    </row>
    <row r="460" spans="2:7" ht="15.75" customHeight="1" x14ac:dyDescent="0.2">
      <c r="B460" s="79"/>
      <c r="C460" s="79"/>
      <c r="D460" s="79"/>
      <c r="E460" s="79"/>
      <c r="F460" s="79"/>
      <c r="G460" s="79"/>
    </row>
    <row r="461" spans="2:7" ht="15.75" customHeight="1" x14ac:dyDescent="0.2">
      <c r="B461" s="79"/>
      <c r="C461" s="79"/>
      <c r="D461" s="79"/>
      <c r="E461" s="79"/>
      <c r="F461" s="79"/>
      <c r="G461" s="79"/>
    </row>
    <row r="462" spans="2:7" ht="15.75" customHeight="1" x14ac:dyDescent="0.2">
      <c r="B462" s="79"/>
      <c r="C462" s="79"/>
      <c r="D462" s="79"/>
      <c r="E462" s="79"/>
      <c r="F462" s="79"/>
      <c r="G462" s="79"/>
    </row>
    <row r="463" spans="2:7" ht="15.75" customHeight="1" x14ac:dyDescent="0.2">
      <c r="B463" s="79"/>
      <c r="C463" s="79"/>
      <c r="D463" s="79"/>
      <c r="E463" s="79"/>
      <c r="F463" s="79"/>
      <c r="G463" s="79"/>
    </row>
    <row r="464" spans="2:7" ht="15.75" customHeight="1" x14ac:dyDescent="0.2">
      <c r="B464" s="79"/>
      <c r="C464" s="79"/>
      <c r="D464" s="79"/>
      <c r="E464" s="79"/>
      <c r="F464" s="79"/>
      <c r="G464" s="79"/>
    </row>
    <row r="465" spans="2:7" ht="15.75" customHeight="1" x14ac:dyDescent="0.2">
      <c r="B465" s="79"/>
      <c r="C465" s="79"/>
      <c r="D465" s="79"/>
      <c r="E465" s="79"/>
      <c r="F465" s="79"/>
      <c r="G465" s="79"/>
    </row>
    <row r="466" spans="2:7" ht="15.75" customHeight="1" x14ac:dyDescent="0.2">
      <c r="B466" s="79"/>
      <c r="C466" s="79"/>
      <c r="D466" s="79"/>
      <c r="E466" s="79"/>
      <c r="F466" s="79"/>
      <c r="G466" s="79"/>
    </row>
    <row r="467" spans="2:7" ht="15.75" customHeight="1" x14ac:dyDescent="0.2">
      <c r="B467" s="79"/>
      <c r="C467" s="79"/>
      <c r="D467" s="79"/>
      <c r="E467" s="79"/>
      <c r="F467" s="79"/>
      <c r="G467" s="79"/>
    </row>
    <row r="468" spans="2:7" ht="15.75" customHeight="1" x14ac:dyDescent="0.2">
      <c r="B468" s="79"/>
      <c r="C468" s="79"/>
      <c r="D468" s="79"/>
      <c r="E468" s="79"/>
      <c r="F468" s="79"/>
      <c r="G468" s="79"/>
    </row>
    <row r="469" spans="2:7" ht="15.75" customHeight="1" x14ac:dyDescent="0.2">
      <c r="B469" s="79"/>
      <c r="C469" s="79"/>
      <c r="D469" s="79"/>
      <c r="E469" s="79"/>
      <c r="F469" s="79"/>
      <c r="G469" s="79"/>
    </row>
    <row r="470" spans="2:7" ht="15.75" customHeight="1" x14ac:dyDescent="0.2">
      <c r="B470" s="79"/>
      <c r="C470" s="79"/>
      <c r="D470" s="79"/>
      <c r="E470" s="79"/>
      <c r="F470" s="79"/>
      <c r="G470" s="79"/>
    </row>
    <row r="471" spans="2:7" ht="15.75" customHeight="1" x14ac:dyDescent="0.2">
      <c r="B471" s="79"/>
      <c r="C471" s="79"/>
      <c r="D471" s="79"/>
      <c r="E471" s="79"/>
      <c r="F471" s="79"/>
      <c r="G471" s="79"/>
    </row>
    <row r="472" spans="2:7" ht="15.75" customHeight="1" x14ac:dyDescent="0.2">
      <c r="B472" s="79"/>
      <c r="C472" s="79"/>
      <c r="D472" s="79"/>
      <c r="E472" s="79"/>
      <c r="F472" s="79"/>
      <c r="G472" s="79"/>
    </row>
    <row r="473" spans="2:7" ht="15.75" customHeight="1" x14ac:dyDescent="0.2">
      <c r="B473" s="79"/>
      <c r="C473" s="79"/>
      <c r="D473" s="79"/>
      <c r="E473" s="79"/>
      <c r="F473" s="79"/>
      <c r="G473" s="79"/>
    </row>
    <row r="474" spans="2:7" ht="15.75" customHeight="1" x14ac:dyDescent="0.2">
      <c r="B474" s="79"/>
      <c r="C474" s="79"/>
      <c r="D474" s="79"/>
      <c r="E474" s="79"/>
      <c r="F474" s="79"/>
      <c r="G474" s="79"/>
    </row>
    <row r="475" spans="2:7" ht="15.75" customHeight="1" x14ac:dyDescent="0.2">
      <c r="B475" s="79"/>
      <c r="C475" s="79"/>
      <c r="D475" s="79"/>
      <c r="E475" s="79"/>
      <c r="F475" s="79"/>
      <c r="G475" s="79"/>
    </row>
    <row r="476" spans="2:7" ht="15.75" customHeight="1" x14ac:dyDescent="0.2">
      <c r="B476" s="79"/>
      <c r="C476" s="79"/>
      <c r="D476" s="79"/>
      <c r="E476" s="79"/>
      <c r="F476" s="79"/>
      <c r="G476" s="79"/>
    </row>
    <row r="477" spans="2:7" ht="15.75" customHeight="1" x14ac:dyDescent="0.2">
      <c r="B477" s="79"/>
      <c r="C477" s="79"/>
      <c r="D477" s="79"/>
      <c r="E477" s="79"/>
      <c r="F477" s="79"/>
      <c r="G477" s="79"/>
    </row>
    <row r="478" spans="2:7" ht="15.75" customHeight="1" x14ac:dyDescent="0.2">
      <c r="B478" s="79"/>
      <c r="C478" s="79"/>
      <c r="D478" s="79"/>
      <c r="E478" s="79"/>
      <c r="F478" s="79"/>
      <c r="G478" s="79"/>
    </row>
    <row r="479" spans="2:7" ht="15.75" customHeight="1" x14ac:dyDescent="0.2">
      <c r="B479" s="79"/>
      <c r="C479" s="79"/>
      <c r="D479" s="79"/>
      <c r="E479" s="79"/>
      <c r="F479" s="79"/>
      <c r="G479" s="79"/>
    </row>
    <row r="480" spans="2:7" ht="15.75" customHeight="1" x14ac:dyDescent="0.2">
      <c r="B480" s="79"/>
      <c r="C480" s="79"/>
      <c r="D480" s="79"/>
      <c r="E480" s="79"/>
      <c r="F480" s="79"/>
      <c r="G480" s="79"/>
    </row>
    <row r="481" spans="2:7" ht="15.75" customHeight="1" x14ac:dyDescent="0.2">
      <c r="B481" s="79"/>
      <c r="C481" s="79"/>
      <c r="D481" s="79"/>
      <c r="E481" s="79"/>
      <c r="F481" s="79"/>
      <c r="G481" s="79"/>
    </row>
    <row r="482" spans="2:7" ht="15.75" customHeight="1" x14ac:dyDescent="0.2">
      <c r="B482" s="79"/>
      <c r="C482" s="79"/>
      <c r="D482" s="79"/>
      <c r="E482" s="79"/>
      <c r="F482" s="79"/>
      <c r="G482" s="79"/>
    </row>
    <row r="483" spans="2:7" ht="15.75" customHeight="1" x14ac:dyDescent="0.2">
      <c r="B483" s="79"/>
      <c r="C483" s="79"/>
      <c r="D483" s="79"/>
      <c r="E483" s="79"/>
      <c r="F483" s="79"/>
      <c r="G483" s="79"/>
    </row>
    <row r="484" spans="2:7" ht="15.75" customHeight="1" x14ac:dyDescent="0.2">
      <c r="B484" s="79"/>
      <c r="C484" s="79"/>
      <c r="D484" s="79"/>
      <c r="E484" s="79"/>
      <c r="F484" s="79"/>
      <c r="G484" s="79"/>
    </row>
    <row r="485" spans="2:7" ht="15.75" customHeight="1" x14ac:dyDescent="0.2">
      <c r="B485" s="79"/>
      <c r="C485" s="79"/>
      <c r="D485" s="79"/>
      <c r="E485" s="79"/>
      <c r="F485" s="79"/>
      <c r="G485" s="79"/>
    </row>
    <row r="486" spans="2:7" ht="15.75" customHeight="1" x14ac:dyDescent="0.2">
      <c r="B486" s="79"/>
      <c r="C486" s="79"/>
      <c r="D486" s="79"/>
      <c r="E486" s="79"/>
      <c r="F486" s="79"/>
      <c r="G486" s="79"/>
    </row>
    <row r="487" spans="2:7" ht="15.75" customHeight="1" x14ac:dyDescent="0.2">
      <c r="B487" s="79"/>
      <c r="C487" s="79"/>
      <c r="D487" s="79"/>
      <c r="E487" s="79"/>
      <c r="F487" s="79"/>
      <c r="G487" s="79"/>
    </row>
    <row r="488" spans="2:7" ht="15.75" customHeight="1" x14ac:dyDescent="0.2">
      <c r="B488" s="79"/>
      <c r="C488" s="79"/>
      <c r="D488" s="79"/>
      <c r="E488" s="79"/>
      <c r="F488" s="79"/>
      <c r="G488" s="79"/>
    </row>
    <row r="489" spans="2:7" ht="15.75" customHeight="1" x14ac:dyDescent="0.2">
      <c r="B489" s="79"/>
      <c r="C489" s="79"/>
      <c r="D489" s="79"/>
      <c r="E489" s="79"/>
      <c r="F489" s="79"/>
      <c r="G489" s="79"/>
    </row>
    <row r="490" spans="2:7" ht="15.75" customHeight="1" x14ac:dyDescent="0.2">
      <c r="B490" s="79"/>
      <c r="C490" s="79"/>
      <c r="D490" s="79"/>
      <c r="E490" s="79"/>
      <c r="F490" s="79"/>
      <c r="G490" s="79"/>
    </row>
    <row r="491" spans="2:7" ht="15.75" customHeight="1" x14ac:dyDescent="0.2">
      <c r="B491" s="79"/>
      <c r="C491" s="79"/>
      <c r="D491" s="79"/>
      <c r="E491" s="79"/>
      <c r="F491" s="79"/>
      <c r="G491" s="79"/>
    </row>
    <row r="492" spans="2:7" ht="15.75" customHeight="1" x14ac:dyDescent="0.2">
      <c r="B492" s="79"/>
      <c r="C492" s="79"/>
      <c r="D492" s="79"/>
      <c r="E492" s="79"/>
      <c r="F492" s="79"/>
      <c r="G492" s="79"/>
    </row>
    <row r="493" spans="2:7" ht="15.75" customHeight="1" x14ac:dyDescent="0.2">
      <c r="B493" s="79"/>
      <c r="C493" s="79"/>
      <c r="D493" s="79"/>
      <c r="E493" s="79"/>
      <c r="F493" s="79"/>
      <c r="G493" s="79"/>
    </row>
    <row r="494" spans="2:7" ht="15.75" customHeight="1" x14ac:dyDescent="0.2">
      <c r="B494" s="79"/>
      <c r="C494" s="79"/>
      <c r="D494" s="79"/>
      <c r="E494" s="79"/>
      <c r="F494" s="79"/>
      <c r="G494" s="79"/>
    </row>
    <row r="495" spans="2:7" ht="15.75" customHeight="1" x14ac:dyDescent="0.2">
      <c r="B495" s="79"/>
      <c r="C495" s="79"/>
      <c r="D495" s="79"/>
      <c r="E495" s="79"/>
      <c r="F495" s="79"/>
      <c r="G495" s="79"/>
    </row>
    <row r="496" spans="2:7" ht="15.75" customHeight="1" x14ac:dyDescent="0.2">
      <c r="B496" s="79"/>
      <c r="C496" s="79"/>
      <c r="D496" s="79"/>
      <c r="E496" s="79"/>
      <c r="F496" s="79"/>
      <c r="G496" s="79"/>
    </row>
    <row r="497" spans="2:7" ht="15.75" customHeight="1" x14ac:dyDescent="0.2">
      <c r="B497" s="79"/>
      <c r="C497" s="79"/>
      <c r="D497" s="79"/>
      <c r="E497" s="79"/>
      <c r="F497" s="79"/>
      <c r="G497" s="79"/>
    </row>
    <row r="498" spans="2:7" ht="15.75" customHeight="1" x14ac:dyDescent="0.2">
      <c r="B498" s="79"/>
      <c r="C498" s="79"/>
      <c r="D498" s="79"/>
      <c r="E498" s="79"/>
      <c r="F498" s="79"/>
      <c r="G498" s="79"/>
    </row>
    <row r="499" spans="2:7" ht="15.75" customHeight="1" x14ac:dyDescent="0.2">
      <c r="B499" s="79"/>
      <c r="C499" s="79"/>
      <c r="D499" s="79"/>
      <c r="E499" s="79"/>
      <c r="F499" s="79"/>
      <c r="G499" s="79"/>
    </row>
    <row r="500" spans="2:7" ht="15.75" customHeight="1" x14ac:dyDescent="0.2">
      <c r="B500" s="79"/>
      <c r="C500" s="79"/>
      <c r="D500" s="79"/>
      <c r="E500" s="79"/>
      <c r="F500" s="79"/>
      <c r="G500" s="79"/>
    </row>
    <row r="501" spans="2:7" ht="15.75" customHeight="1" x14ac:dyDescent="0.2">
      <c r="B501" s="79"/>
      <c r="C501" s="79"/>
      <c r="D501" s="79"/>
      <c r="E501" s="79"/>
      <c r="F501" s="79"/>
      <c r="G501" s="79"/>
    </row>
    <row r="502" spans="2:7" ht="15.75" customHeight="1" x14ac:dyDescent="0.2">
      <c r="B502" s="79"/>
      <c r="C502" s="79"/>
      <c r="D502" s="79"/>
      <c r="E502" s="79"/>
      <c r="F502" s="79"/>
      <c r="G502" s="79"/>
    </row>
    <row r="503" spans="2:7" ht="15.75" customHeight="1" x14ac:dyDescent="0.2">
      <c r="B503" s="79"/>
      <c r="C503" s="79"/>
      <c r="D503" s="79"/>
      <c r="E503" s="79"/>
      <c r="F503" s="79"/>
      <c r="G503" s="79"/>
    </row>
    <row r="504" spans="2:7" ht="15.75" customHeight="1" x14ac:dyDescent="0.2">
      <c r="B504" s="79"/>
      <c r="C504" s="79"/>
      <c r="D504" s="79"/>
      <c r="E504" s="79"/>
      <c r="F504" s="79"/>
      <c r="G504" s="79"/>
    </row>
    <row r="505" spans="2:7" ht="15.75" customHeight="1" x14ac:dyDescent="0.2">
      <c r="B505" s="79"/>
      <c r="C505" s="79"/>
      <c r="D505" s="79"/>
      <c r="E505" s="79"/>
      <c r="F505" s="79"/>
      <c r="G505" s="79"/>
    </row>
    <row r="506" spans="2:7" ht="15.75" customHeight="1" x14ac:dyDescent="0.2">
      <c r="B506" s="79"/>
      <c r="C506" s="79"/>
      <c r="D506" s="79"/>
      <c r="E506" s="79"/>
      <c r="F506" s="79"/>
      <c r="G506" s="79"/>
    </row>
    <row r="507" spans="2:7" ht="15.75" customHeight="1" x14ac:dyDescent="0.2">
      <c r="B507" s="79"/>
      <c r="C507" s="79"/>
      <c r="D507" s="79"/>
      <c r="E507" s="79"/>
      <c r="F507" s="79"/>
      <c r="G507" s="79"/>
    </row>
    <row r="508" spans="2:7" ht="15.75" customHeight="1" x14ac:dyDescent="0.2">
      <c r="B508" s="79"/>
      <c r="C508" s="79"/>
      <c r="D508" s="79"/>
      <c r="E508" s="79"/>
      <c r="F508" s="79"/>
      <c r="G508" s="79"/>
    </row>
    <row r="509" spans="2:7" ht="15.75" customHeight="1" x14ac:dyDescent="0.2">
      <c r="B509" s="79"/>
      <c r="C509" s="79"/>
      <c r="D509" s="79"/>
      <c r="E509" s="79"/>
      <c r="F509" s="79"/>
      <c r="G509" s="79"/>
    </row>
    <row r="510" spans="2:7" ht="15.75" customHeight="1" x14ac:dyDescent="0.2">
      <c r="B510" s="79"/>
      <c r="C510" s="79"/>
      <c r="D510" s="79"/>
      <c r="E510" s="79"/>
      <c r="F510" s="79"/>
      <c r="G510" s="79"/>
    </row>
    <row r="511" spans="2:7" ht="15.75" customHeight="1" x14ac:dyDescent="0.2">
      <c r="B511" s="79"/>
      <c r="C511" s="79"/>
      <c r="D511" s="79"/>
      <c r="E511" s="79"/>
      <c r="F511" s="79"/>
      <c r="G511" s="79"/>
    </row>
    <row r="512" spans="2:7" ht="15.75" customHeight="1" x14ac:dyDescent="0.2">
      <c r="B512" s="79"/>
      <c r="C512" s="79"/>
      <c r="D512" s="79"/>
      <c r="E512" s="79"/>
      <c r="F512" s="79"/>
      <c r="G512" s="79"/>
    </row>
    <row r="513" spans="2:7" ht="15.75" customHeight="1" x14ac:dyDescent="0.2">
      <c r="B513" s="79"/>
      <c r="C513" s="79"/>
      <c r="D513" s="79"/>
      <c r="E513" s="79"/>
      <c r="F513" s="79"/>
      <c r="G513" s="79"/>
    </row>
    <row r="514" spans="2:7" ht="15.75" customHeight="1" x14ac:dyDescent="0.2">
      <c r="B514" s="79"/>
      <c r="C514" s="79"/>
      <c r="D514" s="79"/>
      <c r="E514" s="79"/>
      <c r="F514" s="79"/>
      <c r="G514" s="79"/>
    </row>
    <row r="515" spans="2:7" ht="15.75" customHeight="1" x14ac:dyDescent="0.2">
      <c r="B515" s="79"/>
      <c r="C515" s="79"/>
      <c r="D515" s="79"/>
      <c r="E515" s="79"/>
      <c r="F515" s="79"/>
      <c r="G515" s="79"/>
    </row>
    <row r="516" spans="2:7" ht="15.75" customHeight="1" x14ac:dyDescent="0.2">
      <c r="B516" s="79"/>
      <c r="C516" s="79"/>
      <c r="D516" s="79"/>
      <c r="E516" s="79"/>
      <c r="F516" s="79"/>
      <c r="G516" s="79"/>
    </row>
    <row r="517" spans="2:7" ht="15.75" customHeight="1" x14ac:dyDescent="0.2">
      <c r="B517" s="79"/>
      <c r="C517" s="79"/>
      <c r="D517" s="79"/>
      <c r="E517" s="79"/>
      <c r="F517" s="79"/>
      <c r="G517" s="79"/>
    </row>
    <row r="518" spans="2:7" ht="15.75" customHeight="1" x14ac:dyDescent="0.2">
      <c r="B518" s="79"/>
      <c r="C518" s="79"/>
      <c r="D518" s="79"/>
      <c r="E518" s="79"/>
      <c r="F518" s="79"/>
      <c r="G518" s="79"/>
    </row>
    <row r="519" spans="2:7" ht="15.75" customHeight="1" x14ac:dyDescent="0.2">
      <c r="B519" s="79"/>
      <c r="C519" s="79"/>
      <c r="D519" s="79"/>
      <c r="E519" s="79"/>
      <c r="F519" s="79"/>
      <c r="G519" s="79"/>
    </row>
    <row r="520" spans="2:7" ht="15.75" customHeight="1" x14ac:dyDescent="0.2">
      <c r="B520" s="79"/>
      <c r="C520" s="79"/>
      <c r="D520" s="79"/>
      <c r="E520" s="79"/>
      <c r="F520" s="79"/>
      <c r="G520" s="79"/>
    </row>
    <row r="521" spans="2:7" ht="15.75" customHeight="1" x14ac:dyDescent="0.2">
      <c r="B521" s="79"/>
      <c r="C521" s="79"/>
      <c r="D521" s="79"/>
      <c r="E521" s="79"/>
      <c r="F521" s="79"/>
      <c r="G521" s="79"/>
    </row>
    <row r="522" spans="2:7" ht="15.75" customHeight="1" x14ac:dyDescent="0.2">
      <c r="B522" s="79"/>
      <c r="C522" s="79"/>
      <c r="D522" s="79"/>
      <c r="E522" s="79"/>
      <c r="F522" s="79"/>
      <c r="G522" s="79"/>
    </row>
    <row r="523" spans="2:7" ht="15.75" customHeight="1" x14ac:dyDescent="0.2">
      <c r="B523" s="79"/>
      <c r="C523" s="79"/>
      <c r="D523" s="79"/>
      <c r="E523" s="79"/>
      <c r="F523" s="79"/>
      <c r="G523" s="79"/>
    </row>
    <row r="524" spans="2:7" ht="15.75" customHeight="1" x14ac:dyDescent="0.2">
      <c r="B524" s="79"/>
      <c r="C524" s="79"/>
      <c r="D524" s="79"/>
      <c r="E524" s="79"/>
      <c r="F524" s="79"/>
      <c r="G524" s="79"/>
    </row>
    <row r="525" spans="2:7" ht="15.75" customHeight="1" x14ac:dyDescent="0.2">
      <c r="B525" s="79"/>
      <c r="C525" s="79"/>
      <c r="D525" s="79"/>
      <c r="E525" s="79"/>
      <c r="F525" s="79"/>
      <c r="G525" s="79"/>
    </row>
    <row r="526" spans="2:7" ht="15.75" customHeight="1" x14ac:dyDescent="0.2">
      <c r="B526" s="79"/>
      <c r="C526" s="79"/>
      <c r="D526" s="79"/>
      <c r="E526" s="79"/>
      <c r="F526" s="79"/>
      <c r="G526" s="79"/>
    </row>
    <row r="527" spans="2:7" ht="15.75" customHeight="1" x14ac:dyDescent="0.2">
      <c r="B527" s="79"/>
      <c r="C527" s="79"/>
      <c r="D527" s="79"/>
      <c r="E527" s="79"/>
      <c r="F527" s="79"/>
      <c r="G527" s="79"/>
    </row>
    <row r="528" spans="2:7" ht="15.75" customHeight="1" x14ac:dyDescent="0.2">
      <c r="B528" s="79"/>
      <c r="C528" s="79"/>
      <c r="D528" s="79"/>
      <c r="E528" s="79"/>
      <c r="F528" s="79"/>
      <c r="G528" s="79"/>
    </row>
    <row r="529" spans="2:7" ht="15.75" customHeight="1" x14ac:dyDescent="0.2">
      <c r="B529" s="79"/>
      <c r="C529" s="79"/>
      <c r="D529" s="79"/>
      <c r="E529" s="79"/>
      <c r="F529" s="79"/>
      <c r="G529" s="79"/>
    </row>
    <row r="530" spans="2:7" ht="15.75" customHeight="1" x14ac:dyDescent="0.2">
      <c r="B530" s="79"/>
      <c r="C530" s="79"/>
      <c r="D530" s="79"/>
      <c r="E530" s="79"/>
      <c r="F530" s="79"/>
      <c r="G530" s="79"/>
    </row>
    <row r="531" spans="2:7" ht="15.75" customHeight="1" x14ac:dyDescent="0.2">
      <c r="B531" s="79"/>
      <c r="C531" s="79"/>
      <c r="D531" s="79"/>
      <c r="E531" s="79"/>
      <c r="F531" s="79"/>
      <c r="G531" s="79"/>
    </row>
    <row r="532" spans="2:7" ht="15.75" customHeight="1" x14ac:dyDescent="0.2">
      <c r="B532" s="79"/>
      <c r="C532" s="79"/>
      <c r="D532" s="79"/>
      <c r="E532" s="79"/>
      <c r="F532" s="79"/>
      <c r="G532" s="79"/>
    </row>
    <row r="533" spans="2:7" ht="15.75" customHeight="1" x14ac:dyDescent="0.2">
      <c r="B533" s="79"/>
      <c r="C533" s="79"/>
      <c r="D533" s="79"/>
      <c r="E533" s="79"/>
      <c r="F533" s="79"/>
      <c r="G533" s="79"/>
    </row>
    <row r="534" spans="2:7" ht="15.75" customHeight="1" x14ac:dyDescent="0.2">
      <c r="B534" s="79"/>
      <c r="C534" s="79"/>
      <c r="D534" s="79"/>
      <c r="E534" s="79"/>
      <c r="F534" s="79"/>
      <c r="G534" s="79"/>
    </row>
    <row r="535" spans="2:7" ht="15.75" customHeight="1" x14ac:dyDescent="0.2">
      <c r="B535" s="79"/>
      <c r="C535" s="79"/>
      <c r="D535" s="79"/>
      <c r="E535" s="79"/>
      <c r="F535" s="79"/>
      <c r="G535" s="79"/>
    </row>
    <row r="536" spans="2:7" ht="15.75" customHeight="1" x14ac:dyDescent="0.2">
      <c r="B536" s="79"/>
      <c r="C536" s="79"/>
      <c r="D536" s="79"/>
      <c r="E536" s="79"/>
      <c r="F536" s="79"/>
      <c r="G536" s="79"/>
    </row>
    <row r="537" spans="2:7" ht="15.75" customHeight="1" x14ac:dyDescent="0.2">
      <c r="B537" s="79"/>
      <c r="C537" s="79"/>
      <c r="D537" s="79"/>
      <c r="E537" s="79"/>
      <c r="F537" s="79"/>
      <c r="G537" s="79"/>
    </row>
    <row r="538" spans="2:7" ht="15.75" customHeight="1" x14ac:dyDescent="0.2">
      <c r="B538" s="79"/>
      <c r="C538" s="79"/>
      <c r="D538" s="79"/>
      <c r="E538" s="79"/>
      <c r="F538" s="79"/>
      <c r="G538" s="79"/>
    </row>
    <row r="539" spans="2:7" ht="15.75" customHeight="1" x14ac:dyDescent="0.2">
      <c r="B539" s="79"/>
      <c r="C539" s="79"/>
      <c r="D539" s="79"/>
      <c r="E539" s="79"/>
      <c r="F539" s="79"/>
      <c r="G539" s="79"/>
    </row>
    <row r="540" spans="2:7" ht="15.75" customHeight="1" x14ac:dyDescent="0.2">
      <c r="B540" s="79"/>
      <c r="C540" s="79"/>
      <c r="D540" s="79"/>
      <c r="E540" s="79"/>
      <c r="F540" s="79"/>
      <c r="G540" s="79"/>
    </row>
    <row r="541" spans="2:7" ht="15.75" customHeight="1" x14ac:dyDescent="0.2">
      <c r="B541" s="79"/>
      <c r="C541" s="79"/>
      <c r="D541" s="79"/>
      <c r="E541" s="79"/>
      <c r="F541" s="79"/>
      <c r="G541" s="79"/>
    </row>
    <row r="542" spans="2:7" ht="15.75" customHeight="1" x14ac:dyDescent="0.2">
      <c r="B542" s="79"/>
      <c r="C542" s="79"/>
      <c r="D542" s="79"/>
      <c r="E542" s="79"/>
      <c r="F542" s="79"/>
      <c r="G542" s="79"/>
    </row>
    <row r="543" spans="2:7" ht="15.75" customHeight="1" x14ac:dyDescent="0.2">
      <c r="B543" s="79"/>
      <c r="C543" s="79"/>
      <c r="D543" s="79"/>
      <c r="E543" s="79"/>
      <c r="F543" s="79"/>
      <c r="G543" s="79"/>
    </row>
    <row r="544" spans="2:7" ht="15.75" customHeight="1" x14ac:dyDescent="0.2">
      <c r="B544" s="79"/>
      <c r="C544" s="79"/>
      <c r="D544" s="79"/>
      <c r="E544" s="79"/>
      <c r="F544" s="79"/>
      <c r="G544" s="79"/>
    </row>
    <row r="545" spans="2:7" ht="15.75" customHeight="1" x14ac:dyDescent="0.2">
      <c r="B545" s="79"/>
      <c r="C545" s="79"/>
      <c r="D545" s="79"/>
      <c r="E545" s="79"/>
      <c r="F545" s="79"/>
      <c r="G545" s="79"/>
    </row>
    <row r="546" spans="2:7" ht="15.75" customHeight="1" x14ac:dyDescent="0.2">
      <c r="B546" s="79"/>
      <c r="C546" s="79"/>
      <c r="D546" s="79"/>
      <c r="E546" s="79"/>
      <c r="F546" s="79"/>
      <c r="G546" s="79"/>
    </row>
    <row r="547" spans="2:7" ht="15.75" customHeight="1" x14ac:dyDescent="0.2">
      <c r="B547" s="79"/>
      <c r="C547" s="79"/>
      <c r="D547" s="79"/>
      <c r="E547" s="79"/>
      <c r="F547" s="79"/>
      <c r="G547" s="79"/>
    </row>
    <row r="548" spans="2:7" ht="15.75" customHeight="1" x14ac:dyDescent="0.2">
      <c r="B548" s="79"/>
      <c r="C548" s="79"/>
      <c r="D548" s="79"/>
      <c r="E548" s="79"/>
      <c r="F548" s="79"/>
      <c r="G548" s="79"/>
    </row>
    <row r="549" spans="2:7" ht="15.75" customHeight="1" x14ac:dyDescent="0.2">
      <c r="B549" s="79"/>
      <c r="C549" s="79"/>
      <c r="D549" s="79"/>
      <c r="E549" s="79"/>
      <c r="F549" s="79"/>
      <c r="G549" s="79"/>
    </row>
    <row r="550" spans="2:7" ht="15.75" customHeight="1" x14ac:dyDescent="0.2">
      <c r="B550" s="79"/>
      <c r="C550" s="79"/>
      <c r="D550" s="79"/>
      <c r="E550" s="79"/>
      <c r="F550" s="79"/>
      <c r="G550" s="79"/>
    </row>
    <row r="551" spans="2:7" ht="15.75" customHeight="1" x14ac:dyDescent="0.2">
      <c r="B551" s="79"/>
      <c r="C551" s="79"/>
      <c r="D551" s="79"/>
      <c r="E551" s="79"/>
      <c r="F551" s="79"/>
      <c r="G551" s="79"/>
    </row>
    <row r="552" spans="2:7" ht="15.75" customHeight="1" x14ac:dyDescent="0.2">
      <c r="B552" s="79"/>
      <c r="C552" s="79"/>
      <c r="D552" s="79"/>
      <c r="E552" s="79"/>
      <c r="F552" s="79"/>
      <c r="G552" s="79"/>
    </row>
    <row r="553" spans="2:7" ht="15.75" customHeight="1" x14ac:dyDescent="0.2">
      <c r="B553" s="79"/>
      <c r="C553" s="79"/>
      <c r="D553" s="79"/>
      <c r="E553" s="79"/>
      <c r="F553" s="79"/>
      <c r="G553" s="79"/>
    </row>
    <row r="554" spans="2:7" ht="15.75" customHeight="1" x14ac:dyDescent="0.2">
      <c r="B554" s="79"/>
      <c r="C554" s="79"/>
      <c r="D554" s="79"/>
      <c r="E554" s="79"/>
      <c r="F554" s="79"/>
      <c r="G554" s="79"/>
    </row>
    <row r="555" spans="2:7" ht="15.75" customHeight="1" x14ac:dyDescent="0.2">
      <c r="B555" s="79"/>
      <c r="C555" s="79"/>
      <c r="D555" s="79"/>
      <c r="E555" s="79"/>
      <c r="F555" s="79"/>
      <c r="G555" s="79"/>
    </row>
    <row r="556" spans="2:7" ht="15.75" customHeight="1" x14ac:dyDescent="0.2">
      <c r="B556" s="79"/>
      <c r="C556" s="79"/>
      <c r="D556" s="79"/>
      <c r="E556" s="79"/>
      <c r="F556" s="79"/>
      <c r="G556" s="79"/>
    </row>
    <row r="557" spans="2:7" ht="15.75" customHeight="1" x14ac:dyDescent="0.2">
      <c r="B557" s="79"/>
      <c r="C557" s="79"/>
      <c r="D557" s="79"/>
      <c r="E557" s="79"/>
      <c r="F557" s="79"/>
      <c r="G557" s="79"/>
    </row>
    <row r="558" spans="2:7" ht="15.75" customHeight="1" x14ac:dyDescent="0.2">
      <c r="B558" s="79"/>
      <c r="C558" s="79"/>
      <c r="D558" s="79"/>
      <c r="E558" s="79"/>
      <c r="F558" s="79"/>
      <c r="G558" s="79"/>
    </row>
    <row r="559" spans="2:7" ht="15.75" customHeight="1" x14ac:dyDescent="0.2">
      <c r="B559" s="79"/>
      <c r="C559" s="79"/>
      <c r="D559" s="79"/>
      <c r="E559" s="79"/>
      <c r="F559" s="79"/>
      <c r="G559" s="79"/>
    </row>
    <row r="560" spans="2:7" ht="15.75" customHeight="1" x14ac:dyDescent="0.2">
      <c r="B560" s="79"/>
      <c r="C560" s="79"/>
      <c r="D560" s="79"/>
      <c r="E560" s="79"/>
      <c r="F560" s="79"/>
      <c r="G560" s="79"/>
    </row>
    <row r="561" spans="2:7" ht="15.75" customHeight="1" x14ac:dyDescent="0.2">
      <c r="B561" s="79"/>
      <c r="C561" s="79"/>
      <c r="D561" s="79"/>
      <c r="E561" s="79"/>
      <c r="F561" s="79"/>
      <c r="G561" s="79"/>
    </row>
    <row r="562" spans="2:7" ht="15.75" customHeight="1" x14ac:dyDescent="0.2">
      <c r="B562" s="79"/>
      <c r="C562" s="79"/>
      <c r="D562" s="79"/>
      <c r="E562" s="79"/>
      <c r="F562" s="79"/>
      <c r="G562" s="79"/>
    </row>
    <row r="563" spans="2:7" ht="15.75" customHeight="1" x14ac:dyDescent="0.2">
      <c r="B563" s="79"/>
      <c r="C563" s="79"/>
      <c r="D563" s="79"/>
      <c r="E563" s="79"/>
      <c r="F563" s="79"/>
      <c r="G563" s="79"/>
    </row>
    <row r="564" spans="2:7" ht="15.75" customHeight="1" x14ac:dyDescent="0.2">
      <c r="B564" s="79"/>
      <c r="C564" s="79"/>
      <c r="D564" s="79"/>
      <c r="E564" s="79"/>
      <c r="F564" s="79"/>
      <c r="G564" s="79"/>
    </row>
    <row r="565" spans="2:7" ht="15.75" customHeight="1" x14ac:dyDescent="0.2">
      <c r="B565" s="79"/>
      <c r="C565" s="79"/>
      <c r="D565" s="79"/>
      <c r="E565" s="79"/>
      <c r="F565" s="79"/>
      <c r="G565" s="79"/>
    </row>
    <row r="566" spans="2:7" ht="15.75" customHeight="1" x14ac:dyDescent="0.2">
      <c r="B566" s="79"/>
      <c r="C566" s="79"/>
      <c r="D566" s="79"/>
      <c r="E566" s="79"/>
      <c r="F566" s="79"/>
      <c r="G566" s="79"/>
    </row>
    <row r="567" spans="2:7" ht="15.75" customHeight="1" x14ac:dyDescent="0.2">
      <c r="B567" s="79"/>
      <c r="C567" s="79"/>
      <c r="D567" s="79"/>
      <c r="E567" s="79"/>
      <c r="F567" s="79"/>
      <c r="G567" s="79"/>
    </row>
    <row r="568" spans="2:7" ht="15.75" customHeight="1" x14ac:dyDescent="0.2">
      <c r="B568" s="79"/>
      <c r="C568" s="79"/>
      <c r="D568" s="79"/>
      <c r="E568" s="79"/>
      <c r="F568" s="79"/>
      <c r="G568" s="79"/>
    </row>
    <row r="569" spans="2:7" ht="15.75" customHeight="1" x14ac:dyDescent="0.2">
      <c r="B569" s="79"/>
      <c r="C569" s="79"/>
      <c r="D569" s="79"/>
      <c r="E569" s="79"/>
      <c r="F569" s="79"/>
      <c r="G569" s="79"/>
    </row>
    <row r="570" spans="2:7" ht="15.75" customHeight="1" x14ac:dyDescent="0.2">
      <c r="B570" s="79"/>
      <c r="C570" s="79"/>
      <c r="D570" s="79"/>
      <c r="E570" s="79"/>
      <c r="F570" s="79"/>
      <c r="G570" s="79"/>
    </row>
    <row r="571" spans="2:7" ht="15.75" customHeight="1" x14ac:dyDescent="0.2">
      <c r="B571" s="79"/>
      <c r="C571" s="79"/>
      <c r="D571" s="79"/>
      <c r="E571" s="79"/>
      <c r="F571" s="79"/>
      <c r="G571" s="79"/>
    </row>
    <row r="572" spans="2:7" ht="15.75" customHeight="1" x14ac:dyDescent="0.2">
      <c r="B572" s="79"/>
      <c r="C572" s="79"/>
      <c r="D572" s="79"/>
      <c r="E572" s="79"/>
      <c r="F572" s="79"/>
      <c r="G572" s="79"/>
    </row>
    <row r="573" spans="2:7" ht="15.75" customHeight="1" x14ac:dyDescent="0.2">
      <c r="B573" s="79"/>
      <c r="C573" s="79"/>
      <c r="D573" s="79"/>
      <c r="E573" s="79"/>
      <c r="F573" s="79"/>
      <c r="G573" s="79"/>
    </row>
    <row r="574" spans="2:7" ht="15.75" customHeight="1" x14ac:dyDescent="0.2">
      <c r="B574" s="79"/>
      <c r="C574" s="79"/>
      <c r="D574" s="79"/>
      <c r="E574" s="79"/>
      <c r="F574" s="79"/>
      <c r="G574" s="79"/>
    </row>
    <row r="575" spans="2:7" ht="15.75" customHeight="1" x14ac:dyDescent="0.2">
      <c r="B575" s="79"/>
      <c r="C575" s="79"/>
      <c r="D575" s="79"/>
      <c r="E575" s="79"/>
      <c r="F575" s="79"/>
      <c r="G575" s="79"/>
    </row>
    <row r="576" spans="2:7" ht="15.75" customHeight="1" x14ac:dyDescent="0.2">
      <c r="B576" s="79"/>
      <c r="C576" s="79"/>
      <c r="D576" s="79"/>
      <c r="E576" s="79"/>
      <c r="F576" s="79"/>
      <c r="G576" s="79"/>
    </row>
    <row r="577" spans="2:7" ht="15.75" customHeight="1" x14ac:dyDescent="0.2">
      <c r="B577" s="79"/>
      <c r="C577" s="79"/>
      <c r="D577" s="79"/>
      <c r="E577" s="79"/>
      <c r="F577" s="79"/>
      <c r="G577" s="79"/>
    </row>
    <row r="578" spans="2:7" ht="15.75" customHeight="1" x14ac:dyDescent="0.2">
      <c r="B578" s="79"/>
      <c r="C578" s="79"/>
      <c r="D578" s="79"/>
      <c r="E578" s="79"/>
      <c r="F578" s="79"/>
      <c r="G578" s="79"/>
    </row>
    <row r="579" spans="2:7" ht="15.75" customHeight="1" x14ac:dyDescent="0.2">
      <c r="B579" s="79"/>
      <c r="C579" s="79"/>
      <c r="D579" s="79"/>
      <c r="E579" s="79"/>
      <c r="F579" s="79"/>
      <c r="G579" s="79"/>
    </row>
    <row r="580" spans="2:7" ht="15.75" customHeight="1" x14ac:dyDescent="0.2">
      <c r="B580" s="79"/>
      <c r="C580" s="79"/>
      <c r="D580" s="79"/>
      <c r="E580" s="79"/>
      <c r="F580" s="79"/>
      <c r="G580" s="79"/>
    </row>
    <row r="581" spans="2:7" ht="15.75" customHeight="1" x14ac:dyDescent="0.2">
      <c r="B581" s="79"/>
      <c r="C581" s="79"/>
      <c r="D581" s="79"/>
      <c r="E581" s="79"/>
      <c r="F581" s="79"/>
      <c r="G581" s="79"/>
    </row>
    <row r="582" spans="2:7" ht="15.75" customHeight="1" x14ac:dyDescent="0.2">
      <c r="B582" s="79"/>
      <c r="C582" s="79"/>
      <c r="D582" s="79"/>
      <c r="E582" s="79"/>
      <c r="F582" s="79"/>
      <c r="G582" s="79"/>
    </row>
    <row r="583" spans="2:7" ht="15.75" customHeight="1" x14ac:dyDescent="0.2">
      <c r="B583" s="79"/>
      <c r="C583" s="79"/>
      <c r="D583" s="79"/>
      <c r="E583" s="79"/>
      <c r="F583" s="79"/>
      <c r="G583" s="79"/>
    </row>
    <row r="584" spans="2:7" ht="15.75" customHeight="1" x14ac:dyDescent="0.2">
      <c r="B584" s="79"/>
      <c r="C584" s="79"/>
      <c r="D584" s="79"/>
      <c r="E584" s="79"/>
      <c r="F584" s="79"/>
      <c r="G584" s="79"/>
    </row>
    <row r="585" spans="2:7" ht="15.75" customHeight="1" x14ac:dyDescent="0.2">
      <c r="B585" s="79"/>
      <c r="C585" s="79"/>
      <c r="D585" s="79"/>
      <c r="E585" s="79"/>
      <c r="F585" s="79"/>
      <c r="G585" s="79"/>
    </row>
    <row r="586" spans="2:7" ht="15.75" customHeight="1" x14ac:dyDescent="0.2">
      <c r="B586" s="79"/>
      <c r="C586" s="79"/>
      <c r="D586" s="79"/>
      <c r="E586" s="79"/>
      <c r="F586" s="79"/>
      <c r="G586" s="79"/>
    </row>
    <row r="587" spans="2:7" ht="15.75" customHeight="1" x14ac:dyDescent="0.2">
      <c r="B587" s="79"/>
      <c r="C587" s="79"/>
      <c r="D587" s="79"/>
      <c r="E587" s="79"/>
      <c r="F587" s="79"/>
      <c r="G587" s="79"/>
    </row>
    <row r="588" spans="2:7" ht="15.75" customHeight="1" x14ac:dyDescent="0.2">
      <c r="B588" s="79"/>
      <c r="C588" s="79"/>
      <c r="D588" s="79"/>
      <c r="E588" s="79"/>
      <c r="F588" s="79"/>
      <c r="G588" s="79"/>
    </row>
    <row r="589" spans="2:7" ht="15.75" customHeight="1" x14ac:dyDescent="0.2">
      <c r="B589" s="79"/>
      <c r="C589" s="79"/>
      <c r="D589" s="79"/>
      <c r="E589" s="79"/>
      <c r="F589" s="79"/>
      <c r="G589" s="79"/>
    </row>
    <row r="590" spans="2:7" ht="15.75" customHeight="1" x14ac:dyDescent="0.2">
      <c r="B590" s="79"/>
      <c r="C590" s="79"/>
      <c r="D590" s="79"/>
      <c r="E590" s="79"/>
      <c r="F590" s="79"/>
      <c r="G590" s="79"/>
    </row>
    <row r="591" spans="2:7" ht="15.75" customHeight="1" x14ac:dyDescent="0.2">
      <c r="B591" s="79"/>
      <c r="C591" s="79"/>
      <c r="D591" s="79"/>
      <c r="E591" s="79"/>
      <c r="F591" s="79"/>
      <c r="G591" s="79"/>
    </row>
    <row r="592" spans="2:7" ht="15.75" customHeight="1" x14ac:dyDescent="0.2">
      <c r="B592" s="79"/>
      <c r="C592" s="79"/>
      <c r="D592" s="79"/>
      <c r="E592" s="79"/>
      <c r="F592" s="79"/>
      <c r="G592" s="79"/>
    </row>
    <row r="593" spans="2:7" ht="15.75" customHeight="1" x14ac:dyDescent="0.2">
      <c r="B593" s="79"/>
      <c r="C593" s="79"/>
      <c r="D593" s="79"/>
      <c r="E593" s="79"/>
      <c r="F593" s="79"/>
      <c r="G593" s="79"/>
    </row>
    <row r="594" spans="2:7" ht="15.75" customHeight="1" x14ac:dyDescent="0.2">
      <c r="B594" s="79"/>
      <c r="C594" s="79"/>
      <c r="D594" s="79"/>
      <c r="E594" s="79"/>
      <c r="F594" s="79"/>
      <c r="G594" s="79"/>
    </row>
    <row r="595" spans="2:7" ht="15.75" customHeight="1" x14ac:dyDescent="0.2">
      <c r="B595" s="79"/>
      <c r="C595" s="79"/>
      <c r="D595" s="79"/>
      <c r="E595" s="79"/>
      <c r="F595" s="79"/>
      <c r="G595" s="79"/>
    </row>
    <row r="596" spans="2:7" ht="15.75" customHeight="1" x14ac:dyDescent="0.2">
      <c r="B596" s="79"/>
      <c r="C596" s="79"/>
      <c r="D596" s="79"/>
      <c r="E596" s="79"/>
      <c r="F596" s="79"/>
      <c r="G596" s="79"/>
    </row>
    <row r="597" spans="2:7" ht="15.75" customHeight="1" x14ac:dyDescent="0.2">
      <c r="B597" s="79"/>
      <c r="C597" s="79"/>
      <c r="D597" s="79"/>
      <c r="E597" s="79"/>
      <c r="F597" s="79"/>
      <c r="G597" s="79"/>
    </row>
    <row r="598" spans="2:7" ht="15.75" customHeight="1" x14ac:dyDescent="0.2">
      <c r="B598" s="79"/>
      <c r="C598" s="79"/>
      <c r="D598" s="79"/>
      <c r="E598" s="79"/>
      <c r="F598" s="79"/>
      <c r="G598" s="79"/>
    </row>
    <row r="599" spans="2:7" ht="15.75" customHeight="1" x14ac:dyDescent="0.2">
      <c r="B599" s="79"/>
      <c r="C599" s="79"/>
      <c r="D599" s="79"/>
      <c r="E599" s="79"/>
      <c r="F599" s="79"/>
      <c r="G599" s="79"/>
    </row>
    <row r="600" spans="2:7" ht="15.75" customHeight="1" x14ac:dyDescent="0.2">
      <c r="B600" s="79"/>
      <c r="C600" s="79"/>
      <c r="D600" s="79"/>
      <c r="E600" s="79"/>
      <c r="F600" s="79"/>
      <c r="G600" s="79"/>
    </row>
    <row r="601" spans="2:7" ht="15.75" customHeight="1" x14ac:dyDescent="0.2">
      <c r="B601" s="79"/>
      <c r="C601" s="79"/>
      <c r="D601" s="79"/>
      <c r="E601" s="79"/>
      <c r="F601" s="79"/>
      <c r="G601" s="79"/>
    </row>
    <row r="602" spans="2:7" ht="15.75" customHeight="1" x14ac:dyDescent="0.2">
      <c r="B602" s="79"/>
      <c r="C602" s="79"/>
      <c r="D602" s="79"/>
      <c r="E602" s="79"/>
      <c r="F602" s="79"/>
      <c r="G602" s="79"/>
    </row>
    <row r="603" spans="2:7" ht="15.75" customHeight="1" x14ac:dyDescent="0.2">
      <c r="B603" s="79"/>
      <c r="C603" s="79"/>
      <c r="D603" s="79"/>
      <c r="E603" s="79"/>
      <c r="F603" s="79"/>
      <c r="G603" s="79"/>
    </row>
    <row r="604" spans="2:7" ht="15.75" customHeight="1" x14ac:dyDescent="0.2">
      <c r="B604" s="79"/>
      <c r="C604" s="79"/>
      <c r="D604" s="79"/>
      <c r="E604" s="79"/>
      <c r="F604" s="79"/>
      <c r="G604" s="79"/>
    </row>
    <row r="605" spans="2:7" ht="15.75" customHeight="1" x14ac:dyDescent="0.2">
      <c r="B605" s="79"/>
      <c r="C605" s="79"/>
      <c r="D605" s="79"/>
      <c r="E605" s="79"/>
      <c r="F605" s="79"/>
      <c r="G605" s="79"/>
    </row>
    <row r="606" spans="2:7" ht="15.75" customHeight="1" x14ac:dyDescent="0.2">
      <c r="B606" s="79"/>
      <c r="C606" s="79"/>
      <c r="D606" s="79"/>
      <c r="E606" s="79"/>
      <c r="F606" s="79"/>
      <c r="G606" s="79"/>
    </row>
    <row r="607" spans="2:7" ht="15.75" customHeight="1" x14ac:dyDescent="0.2">
      <c r="B607" s="79"/>
      <c r="C607" s="79"/>
      <c r="D607" s="79"/>
      <c r="E607" s="79"/>
      <c r="F607" s="79"/>
      <c r="G607" s="79"/>
    </row>
    <row r="608" spans="2:7" ht="15.75" customHeight="1" x14ac:dyDescent="0.2">
      <c r="B608" s="79"/>
      <c r="C608" s="79"/>
      <c r="D608" s="79"/>
      <c r="E608" s="79"/>
      <c r="F608" s="79"/>
      <c r="G608" s="79"/>
    </row>
    <row r="609" spans="2:7" ht="15.75" customHeight="1" x14ac:dyDescent="0.2">
      <c r="B609" s="79"/>
      <c r="C609" s="79"/>
      <c r="D609" s="79"/>
      <c r="E609" s="79"/>
      <c r="F609" s="79"/>
      <c r="G609" s="79"/>
    </row>
    <row r="610" spans="2:7" ht="15.75" customHeight="1" x14ac:dyDescent="0.2">
      <c r="B610" s="79"/>
      <c r="C610" s="79"/>
      <c r="D610" s="79"/>
      <c r="E610" s="79"/>
      <c r="F610" s="79"/>
      <c r="G610" s="79"/>
    </row>
    <row r="611" spans="2:7" ht="15.75" customHeight="1" x14ac:dyDescent="0.2">
      <c r="B611" s="79"/>
      <c r="C611" s="79"/>
      <c r="D611" s="79"/>
      <c r="E611" s="79"/>
      <c r="F611" s="79"/>
      <c r="G611" s="79"/>
    </row>
    <row r="612" spans="2:7" ht="15.75" customHeight="1" x14ac:dyDescent="0.2">
      <c r="B612" s="79"/>
      <c r="C612" s="79"/>
      <c r="D612" s="79"/>
      <c r="E612" s="79"/>
      <c r="F612" s="79"/>
      <c r="G612" s="79"/>
    </row>
    <row r="613" spans="2:7" ht="15.75" customHeight="1" x14ac:dyDescent="0.2">
      <c r="B613" s="79"/>
      <c r="C613" s="79"/>
      <c r="D613" s="79"/>
      <c r="E613" s="79"/>
      <c r="F613" s="79"/>
      <c r="G613" s="79"/>
    </row>
    <row r="614" spans="2:7" ht="15.75" customHeight="1" x14ac:dyDescent="0.2">
      <c r="B614" s="79"/>
      <c r="C614" s="79"/>
      <c r="D614" s="79"/>
      <c r="E614" s="79"/>
      <c r="F614" s="79"/>
      <c r="G614" s="79"/>
    </row>
    <row r="615" spans="2:7" ht="15.75" customHeight="1" x14ac:dyDescent="0.2">
      <c r="B615" s="79"/>
      <c r="C615" s="79"/>
      <c r="D615" s="79"/>
      <c r="E615" s="79"/>
      <c r="F615" s="79"/>
      <c r="G615" s="79"/>
    </row>
    <row r="616" spans="2:7" ht="15.75" customHeight="1" x14ac:dyDescent="0.2">
      <c r="B616" s="79"/>
      <c r="C616" s="79"/>
      <c r="D616" s="79"/>
      <c r="E616" s="79"/>
      <c r="F616" s="79"/>
      <c r="G616" s="79"/>
    </row>
    <row r="617" spans="2:7" ht="15.75" customHeight="1" x14ac:dyDescent="0.2">
      <c r="B617" s="79"/>
      <c r="C617" s="79"/>
      <c r="D617" s="79"/>
      <c r="E617" s="79"/>
      <c r="F617" s="79"/>
      <c r="G617" s="79"/>
    </row>
    <row r="618" spans="2:7" ht="15.75" customHeight="1" x14ac:dyDescent="0.2">
      <c r="B618" s="79"/>
      <c r="C618" s="79"/>
      <c r="D618" s="79"/>
      <c r="E618" s="79"/>
      <c r="F618" s="79"/>
      <c r="G618" s="79"/>
    </row>
    <row r="619" spans="2:7" ht="15.75" customHeight="1" x14ac:dyDescent="0.2">
      <c r="B619" s="79"/>
      <c r="C619" s="79"/>
      <c r="D619" s="79"/>
      <c r="E619" s="79"/>
      <c r="F619" s="79"/>
      <c r="G619" s="79"/>
    </row>
    <row r="620" spans="2:7" ht="15.75" customHeight="1" x14ac:dyDescent="0.2">
      <c r="B620" s="79"/>
      <c r="C620" s="79"/>
      <c r="D620" s="79"/>
      <c r="E620" s="79"/>
      <c r="F620" s="79"/>
      <c r="G620" s="79"/>
    </row>
    <row r="621" spans="2:7" ht="15.75" customHeight="1" x14ac:dyDescent="0.2">
      <c r="B621" s="79"/>
      <c r="C621" s="79"/>
      <c r="D621" s="79"/>
      <c r="E621" s="79"/>
      <c r="F621" s="79"/>
      <c r="G621" s="79"/>
    </row>
    <row r="622" spans="2:7" ht="15.75" customHeight="1" x14ac:dyDescent="0.2">
      <c r="B622" s="79"/>
      <c r="C622" s="79"/>
      <c r="D622" s="79"/>
      <c r="E622" s="79"/>
      <c r="F622" s="79"/>
      <c r="G622" s="79"/>
    </row>
    <row r="623" spans="2:7" ht="15.75" customHeight="1" x14ac:dyDescent="0.2">
      <c r="B623" s="79"/>
      <c r="C623" s="79"/>
      <c r="D623" s="79"/>
      <c r="E623" s="79"/>
      <c r="F623" s="79"/>
      <c r="G623" s="79"/>
    </row>
    <row r="624" spans="2:7" ht="15.75" customHeight="1" x14ac:dyDescent="0.2">
      <c r="B624" s="79"/>
      <c r="C624" s="79"/>
      <c r="D624" s="79"/>
      <c r="E624" s="79"/>
      <c r="F624" s="79"/>
      <c r="G624" s="79"/>
    </row>
    <row r="625" spans="2:7" ht="15.75" customHeight="1" x14ac:dyDescent="0.2">
      <c r="B625" s="79"/>
      <c r="C625" s="79"/>
      <c r="D625" s="79"/>
      <c r="E625" s="79"/>
      <c r="F625" s="79"/>
      <c r="G625" s="79"/>
    </row>
    <row r="626" spans="2:7" ht="15.75" customHeight="1" x14ac:dyDescent="0.2">
      <c r="B626" s="79"/>
      <c r="C626" s="79"/>
      <c r="D626" s="79"/>
      <c r="E626" s="79"/>
      <c r="F626" s="79"/>
      <c r="G626" s="79"/>
    </row>
    <row r="627" spans="2:7" ht="15.75" customHeight="1" x14ac:dyDescent="0.2">
      <c r="B627" s="79"/>
      <c r="C627" s="79"/>
      <c r="D627" s="79"/>
      <c r="E627" s="79"/>
      <c r="F627" s="79"/>
      <c r="G627" s="79"/>
    </row>
    <row r="628" spans="2:7" ht="15.75" customHeight="1" x14ac:dyDescent="0.2">
      <c r="B628" s="79"/>
      <c r="C628" s="79"/>
      <c r="D628" s="79"/>
      <c r="E628" s="79"/>
      <c r="F628" s="79"/>
      <c r="G628" s="79"/>
    </row>
    <row r="629" spans="2:7" ht="15.75" customHeight="1" x14ac:dyDescent="0.2">
      <c r="B629" s="79"/>
      <c r="C629" s="79"/>
      <c r="D629" s="79"/>
      <c r="E629" s="79"/>
      <c r="F629" s="79"/>
      <c r="G629" s="79"/>
    </row>
    <row r="630" spans="2:7" ht="15.75" customHeight="1" x14ac:dyDescent="0.2">
      <c r="B630" s="79"/>
      <c r="C630" s="79"/>
      <c r="D630" s="79"/>
      <c r="E630" s="79"/>
      <c r="F630" s="79"/>
      <c r="G630" s="79"/>
    </row>
    <row r="631" spans="2:7" ht="15.75" customHeight="1" x14ac:dyDescent="0.2">
      <c r="B631" s="79"/>
      <c r="C631" s="79"/>
      <c r="D631" s="79"/>
      <c r="E631" s="79"/>
      <c r="F631" s="79"/>
      <c r="G631" s="79"/>
    </row>
    <row r="632" spans="2:7" ht="15.75" customHeight="1" x14ac:dyDescent="0.2">
      <c r="B632" s="79"/>
      <c r="C632" s="79"/>
      <c r="D632" s="79"/>
      <c r="E632" s="79"/>
      <c r="F632" s="79"/>
      <c r="G632" s="79"/>
    </row>
    <row r="633" spans="2:7" ht="15.75" customHeight="1" x14ac:dyDescent="0.2">
      <c r="B633" s="79"/>
      <c r="C633" s="79"/>
      <c r="D633" s="79"/>
      <c r="E633" s="79"/>
      <c r="F633" s="79"/>
      <c r="G633" s="79"/>
    </row>
    <row r="634" spans="2:7" ht="15.75" customHeight="1" x14ac:dyDescent="0.2">
      <c r="B634" s="79"/>
      <c r="C634" s="79"/>
      <c r="D634" s="79"/>
      <c r="E634" s="79"/>
      <c r="F634" s="79"/>
      <c r="G634" s="79"/>
    </row>
    <row r="635" spans="2:7" ht="15.75" customHeight="1" x14ac:dyDescent="0.2">
      <c r="B635" s="79"/>
      <c r="C635" s="79"/>
      <c r="D635" s="79"/>
      <c r="E635" s="79"/>
      <c r="F635" s="79"/>
      <c r="G635" s="79"/>
    </row>
    <row r="636" spans="2:7" ht="15.75" customHeight="1" x14ac:dyDescent="0.2">
      <c r="B636" s="79"/>
      <c r="C636" s="79"/>
      <c r="D636" s="79"/>
      <c r="E636" s="79"/>
      <c r="F636" s="79"/>
      <c r="G636" s="79"/>
    </row>
    <row r="637" spans="2:7" ht="15.75" customHeight="1" x14ac:dyDescent="0.2">
      <c r="B637" s="79"/>
      <c r="C637" s="79"/>
      <c r="D637" s="79"/>
      <c r="E637" s="79"/>
      <c r="F637" s="79"/>
      <c r="G637" s="79"/>
    </row>
    <row r="638" spans="2:7" ht="15.75" customHeight="1" x14ac:dyDescent="0.2">
      <c r="B638" s="79"/>
      <c r="C638" s="79"/>
      <c r="D638" s="79"/>
      <c r="E638" s="79"/>
      <c r="F638" s="79"/>
      <c r="G638" s="79"/>
    </row>
    <row r="639" spans="2:7" ht="15.75" customHeight="1" x14ac:dyDescent="0.2">
      <c r="B639" s="79"/>
      <c r="C639" s="79"/>
      <c r="D639" s="79"/>
      <c r="E639" s="79"/>
      <c r="F639" s="79"/>
      <c r="G639" s="79"/>
    </row>
    <row r="640" spans="2:7" ht="15.75" customHeight="1" x14ac:dyDescent="0.2">
      <c r="B640" s="79"/>
      <c r="C640" s="79"/>
      <c r="D640" s="79"/>
      <c r="E640" s="79"/>
      <c r="F640" s="79"/>
      <c r="G640" s="79"/>
    </row>
    <row r="641" spans="2:7" ht="15.75" customHeight="1" x14ac:dyDescent="0.2">
      <c r="B641" s="79"/>
      <c r="C641" s="79"/>
      <c r="D641" s="79"/>
      <c r="E641" s="79"/>
      <c r="F641" s="79"/>
      <c r="G641" s="79"/>
    </row>
    <row r="642" spans="2:7" ht="15.75" customHeight="1" x14ac:dyDescent="0.2">
      <c r="B642" s="79"/>
      <c r="C642" s="79"/>
      <c r="D642" s="79"/>
      <c r="E642" s="79"/>
      <c r="F642" s="79"/>
      <c r="G642" s="79"/>
    </row>
    <row r="643" spans="2:7" ht="15.75" customHeight="1" x14ac:dyDescent="0.2">
      <c r="B643" s="79"/>
      <c r="C643" s="79"/>
      <c r="D643" s="79"/>
      <c r="E643" s="79"/>
      <c r="F643" s="79"/>
      <c r="G643" s="79"/>
    </row>
    <row r="644" spans="2:7" ht="15.75" customHeight="1" x14ac:dyDescent="0.2">
      <c r="B644" s="79"/>
      <c r="C644" s="79"/>
      <c r="D644" s="79"/>
      <c r="E644" s="79"/>
      <c r="F644" s="79"/>
      <c r="G644" s="79"/>
    </row>
    <row r="645" spans="2:7" ht="15.75" customHeight="1" x14ac:dyDescent="0.2">
      <c r="B645" s="79"/>
      <c r="C645" s="79"/>
      <c r="D645" s="79"/>
      <c r="E645" s="79"/>
      <c r="F645" s="79"/>
      <c r="G645" s="79"/>
    </row>
    <row r="646" spans="2:7" ht="15.75" customHeight="1" x14ac:dyDescent="0.2">
      <c r="B646" s="79"/>
      <c r="C646" s="79"/>
      <c r="D646" s="79"/>
      <c r="E646" s="79"/>
      <c r="F646" s="79"/>
      <c r="G646" s="79"/>
    </row>
    <row r="647" spans="2:7" ht="15.75" customHeight="1" x14ac:dyDescent="0.2">
      <c r="B647" s="79"/>
      <c r="C647" s="79"/>
      <c r="D647" s="79"/>
      <c r="E647" s="79"/>
      <c r="F647" s="79"/>
      <c r="G647" s="79"/>
    </row>
    <row r="648" spans="2:7" ht="15.75" customHeight="1" x14ac:dyDescent="0.2">
      <c r="B648" s="79"/>
      <c r="C648" s="79"/>
      <c r="D648" s="79"/>
      <c r="E648" s="79"/>
      <c r="F648" s="79"/>
      <c r="G648" s="79"/>
    </row>
    <row r="649" spans="2:7" ht="15.75" customHeight="1" x14ac:dyDescent="0.2">
      <c r="B649" s="79"/>
      <c r="C649" s="79"/>
      <c r="D649" s="79"/>
      <c r="E649" s="79"/>
      <c r="F649" s="79"/>
      <c r="G649" s="79"/>
    </row>
    <row r="650" spans="2:7" ht="15.75" customHeight="1" x14ac:dyDescent="0.2">
      <c r="B650" s="79"/>
      <c r="C650" s="79"/>
      <c r="D650" s="79"/>
      <c r="E650" s="79"/>
      <c r="F650" s="79"/>
      <c r="G650" s="79"/>
    </row>
    <row r="651" spans="2:7" ht="15.75" customHeight="1" x14ac:dyDescent="0.2">
      <c r="B651" s="79"/>
      <c r="C651" s="79"/>
      <c r="D651" s="79"/>
      <c r="E651" s="79"/>
      <c r="F651" s="79"/>
      <c r="G651" s="79"/>
    </row>
    <row r="652" spans="2:7" ht="15.75" customHeight="1" x14ac:dyDescent="0.2">
      <c r="B652" s="79"/>
      <c r="C652" s="79"/>
      <c r="D652" s="79"/>
      <c r="E652" s="79"/>
      <c r="F652" s="79"/>
      <c r="G652" s="79"/>
    </row>
    <row r="653" spans="2:7" ht="15.75" customHeight="1" x14ac:dyDescent="0.2">
      <c r="B653" s="79"/>
      <c r="C653" s="79"/>
      <c r="D653" s="79"/>
      <c r="E653" s="79"/>
      <c r="F653" s="79"/>
      <c r="G653" s="79"/>
    </row>
    <row r="654" spans="2:7" ht="15.75" customHeight="1" x14ac:dyDescent="0.2">
      <c r="B654" s="79"/>
      <c r="C654" s="79"/>
      <c r="D654" s="79"/>
      <c r="E654" s="79"/>
      <c r="F654" s="79"/>
      <c r="G654" s="79"/>
    </row>
    <row r="655" spans="2:7" ht="15.75" customHeight="1" x14ac:dyDescent="0.2">
      <c r="B655" s="79"/>
      <c r="C655" s="79"/>
      <c r="D655" s="79"/>
      <c r="E655" s="79"/>
      <c r="F655" s="79"/>
      <c r="G655" s="79"/>
    </row>
    <row r="656" spans="2:7" ht="15.75" customHeight="1" x14ac:dyDescent="0.2">
      <c r="B656" s="79"/>
      <c r="C656" s="79"/>
      <c r="D656" s="79"/>
      <c r="E656" s="79"/>
      <c r="F656" s="79"/>
      <c r="G656" s="79"/>
    </row>
    <row r="657" spans="2:7" ht="15.75" customHeight="1" x14ac:dyDescent="0.2">
      <c r="B657" s="79"/>
      <c r="C657" s="79"/>
      <c r="D657" s="79"/>
      <c r="E657" s="79"/>
      <c r="F657" s="79"/>
      <c r="G657" s="79"/>
    </row>
    <row r="658" spans="2:7" ht="15.75" customHeight="1" x14ac:dyDescent="0.2">
      <c r="B658" s="79"/>
      <c r="C658" s="79"/>
      <c r="D658" s="79"/>
      <c r="E658" s="79"/>
      <c r="F658" s="79"/>
      <c r="G658" s="79"/>
    </row>
    <row r="659" spans="2:7" ht="15.75" customHeight="1" x14ac:dyDescent="0.2">
      <c r="B659" s="79"/>
      <c r="C659" s="79"/>
      <c r="D659" s="79"/>
      <c r="E659" s="79"/>
      <c r="F659" s="79"/>
      <c r="G659" s="79"/>
    </row>
    <row r="660" spans="2:7" ht="15.75" customHeight="1" x14ac:dyDescent="0.2">
      <c r="B660" s="79"/>
      <c r="C660" s="79"/>
      <c r="D660" s="79"/>
      <c r="E660" s="79"/>
      <c r="F660" s="79"/>
      <c r="G660" s="79"/>
    </row>
    <row r="661" spans="2:7" ht="15.75" customHeight="1" x14ac:dyDescent="0.2">
      <c r="B661" s="79"/>
      <c r="C661" s="79"/>
      <c r="D661" s="79"/>
      <c r="E661" s="79"/>
      <c r="F661" s="79"/>
      <c r="G661" s="79"/>
    </row>
    <row r="662" spans="2:7" ht="15.75" customHeight="1" x14ac:dyDescent="0.2">
      <c r="B662" s="79"/>
      <c r="C662" s="79"/>
      <c r="D662" s="79"/>
      <c r="E662" s="79"/>
      <c r="F662" s="79"/>
      <c r="G662" s="79"/>
    </row>
    <row r="663" spans="2:7" ht="15.75" customHeight="1" x14ac:dyDescent="0.2">
      <c r="B663" s="79"/>
      <c r="C663" s="79"/>
      <c r="D663" s="79"/>
      <c r="E663" s="79"/>
      <c r="F663" s="79"/>
      <c r="G663" s="79"/>
    </row>
    <row r="664" spans="2:7" ht="15.75" customHeight="1" x14ac:dyDescent="0.2">
      <c r="B664" s="79"/>
      <c r="C664" s="79"/>
      <c r="D664" s="79"/>
      <c r="E664" s="79"/>
      <c r="F664" s="79"/>
      <c r="G664" s="79"/>
    </row>
    <row r="665" spans="2:7" ht="15.75" customHeight="1" x14ac:dyDescent="0.2">
      <c r="B665" s="79"/>
      <c r="C665" s="79"/>
      <c r="D665" s="79"/>
      <c r="E665" s="79"/>
      <c r="F665" s="79"/>
      <c r="G665" s="79"/>
    </row>
    <row r="666" spans="2:7" ht="15.75" customHeight="1" x14ac:dyDescent="0.2">
      <c r="B666" s="79"/>
      <c r="C666" s="79"/>
      <c r="D666" s="79"/>
      <c r="E666" s="79"/>
      <c r="F666" s="79"/>
      <c r="G666" s="79"/>
    </row>
    <row r="667" spans="2:7" ht="15.75" customHeight="1" x14ac:dyDescent="0.2">
      <c r="B667" s="79"/>
      <c r="C667" s="79"/>
      <c r="D667" s="79"/>
      <c r="E667" s="79"/>
      <c r="F667" s="79"/>
      <c r="G667" s="79"/>
    </row>
    <row r="668" spans="2:7" ht="15.75" customHeight="1" x14ac:dyDescent="0.2">
      <c r="B668" s="79"/>
      <c r="C668" s="79"/>
      <c r="D668" s="79"/>
      <c r="E668" s="79"/>
      <c r="F668" s="79"/>
      <c r="G668" s="79"/>
    </row>
    <row r="669" spans="2:7" ht="15.75" customHeight="1" x14ac:dyDescent="0.2">
      <c r="B669" s="79"/>
      <c r="C669" s="79"/>
      <c r="D669" s="79"/>
      <c r="E669" s="79"/>
      <c r="F669" s="79"/>
      <c r="G669" s="79"/>
    </row>
    <row r="670" spans="2:7" ht="15.75" customHeight="1" x14ac:dyDescent="0.2">
      <c r="B670" s="79"/>
      <c r="C670" s="79"/>
      <c r="D670" s="79"/>
      <c r="E670" s="79"/>
      <c r="F670" s="79"/>
      <c r="G670" s="79"/>
    </row>
    <row r="671" spans="2:7" ht="15.75" customHeight="1" x14ac:dyDescent="0.2">
      <c r="B671" s="79"/>
      <c r="C671" s="79"/>
      <c r="D671" s="79"/>
      <c r="E671" s="79"/>
      <c r="F671" s="79"/>
      <c r="G671" s="79"/>
    </row>
    <row r="672" spans="2:7" ht="15.75" customHeight="1" x14ac:dyDescent="0.2">
      <c r="B672" s="79"/>
      <c r="C672" s="79"/>
      <c r="D672" s="79"/>
      <c r="E672" s="79"/>
      <c r="F672" s="79"/>
      <c r="G672" s="79"/>
    </row>
    <row r="673" spans="2:7" ht="15.75" customHeight="1" x14ac:dyDescent="0.2">
      <c r="B673" s="79"/>
      <c r="C673" s="79"/>
      <c r="D673" s="79"/>
      <c r="E673" s="79"/>
      <c r="F673" s="79"/>
      <c r="G673" s="79"/>
    </row>
    <row r="674" spans="2:7" ht="15.75" customHeight="1" x14ac:dyDescent="0.2">
      <c r="B674" s="79"/>
      <c r="C674" s="79"/>
      <c r="D674" s="79"/>
      <c r="E674" s="79"/>
      <c r="F674" s="79"/>
      <c r="G674" s="79"/>
    </row>
    <row r="675" spans="2:7" ht="15.75" customHeight="1" x14ac:dyDescent="0.2">
      <c r="B675" s="79"/>
      <c r="C675" s="79"/>
      <c r="D675" s="79"/>
      <c r="E675" s="79"/>
      <c r="F675" s="79"/>
      <c r="G675" s="79"/>
    </row>
    <row r="676" spans="2:7" ht="15.75" customHeight="1" x14ac:dyDescent="0.2">
      <c r="B676" s="79"/>
      <c r="C676" s="79"/>
      <c r="D676" s="79"/>
      <c r="E676" s="79"/>
      <c r="F676" s="79"/>
      <c r="G676" s="79"/>
    </row>
    <row r="677" spans="2:7" ht="15.75" customHeight="1" x14ac:dyDescent="0.2">
      <c r="B677" s="79"/>
      <c r="C677" s="79"/>
      <c r="D677" s="79"/>
      <c r="E677" s="79"/>
      <c r="F677" s="79"/>
      <c r="G677" s="79"/>
    </row>
    <row r="678" spans="2:7" ht="15.75" customHeight="1" x14ac:dyDescent="0.2">
      <c r="B678" s="79"/>
      <c r="C678" s="79"/>
      <c r="D678" s="79"/>
      <c r="E678" s="79"/>
      <c r="F678" s="79"/>
      <c r="G678" s="79"/>
    </row>
    <row r="679" spans="2:7" ht="15.75" customHeight="1" x14ac:dyDescent="0.2">
      <c r="B679" s="79"/>
      <c r="C679" s="79"/>
      <c r="D679" s="79"/>
      <c r="E679" s="79"/>
      <c r="F679" s="79"/>
      <c r="G679" s="79"/>
    </row>
    <row r="680" spans="2:7" ht="15.75" customHeight="1" x14ac:dyDescent="0.2">
      <c r="B680" s="79"/>
      <c r="C680" s="79"/>
      <c r="D680" s="79"/>
      <c r="E680" s="79"/>
      <c r="F680" s="79"/>
      <c r="G680" s="79"/>
    </row>
    <row r="681" spans="2:7" ht="15.75" customHeight="1" x14ac:dyDescent="0.2">
      <c r="B681" s="79"/>
      <c r="C681" s="79"/>
      <c r="D681" s="79"/>
      <c r="E681" s="79"/>
      <c r="F681" s="79"/>
      <c r="G681" s="79"/>
    </row>
    <row r="682" spans="2:7" ht="15.75" customHeight="1" x14ac:dyDescent="0.2">
      <c r="B682" s="79"/>
      <c r="C682" s="79"/>
      <c r="D682" s="79"/>
      <c r="E682" s="79"/>
      <c r="F682" s="79"/>
      <c r="G682" s="79"/>
    </row>
    <row r="683" spans="2:7" ht="15.75" customHeight="1" x14ac:dyDescent="0.2">
      <c r="B683" s="79"/>
      <c r="C683" s="79"/>
      <c r="D683" s="79"/>
      <c r="E683" s="79"/>
      <c r="F683" s="79"/>
      <c r="G683" s="79"/>
    </row>
    <row r="684" spans="2:7" ht="15.75" customHeight="1" x14ac:dyDescent="0.2">
      <c r="B684" s="79"/>
      <c r="C684" s="79"/>
      <c r="D684" s="79"/>
      <c r="E684" s="79"/>
      <c r="F684" s="79"/>
      <c r="G684" s="79"/>
    </row>
    <row r="685" spans="2:7" ht="15.75" customHeight="1" x14ac:dyDescent="0.2">
      <c r="B685" s="79"/>
      <c r="C685" s="79"/>
      <c r="D685" s="79"/>
      <c r="E685" s="79"/>
      <c r="F685" s="79"/>
      <c r="G685" s="79"/>
    </row>
    <row r="686" spans="2:7" ht="15.75" customHeight="1" x14ac:dyDescent="0.2">
      <c r="B686" s="79"/>
      <c r="C686" s="79"/>
      <c r="D686" s="79"/>
      <c r="E686" s="79"/>
      <c r="F686" s="79"/>
      <c r="G686" s="79"/>
    </row>
    <row r="687" spans="2:7" ht="15.75" customHeight="1" x14ac:dyDescent="0.2">
      <c r="B687" s="79"/>
      <c r="C687" s="79"/>
      <c r="D687" s="79"/>
      <c r="E687" s="79"/>
      <c r="F687" s="79"/>
      <c r="G687" s="79"/>
    </row>
    <row r="688" spans="2:7" ht="15.75" customHeight="1" x14ac:dyDescent="0.2">
      <c r="B688" s="79"/>
      <c r="C688" s="79"/>
      <c r="D688" s="79"/>
      <c r="E688" s="79"/>
      <c r="F688" s="79"/>
      <c r="G688" s="79"/>
    </row>
    <row r="689" spans="2:7" ht="15.75" customHeight="1" x14ac:dyDescent="0.2">
      <c r="B689" s="79"/>
      <c r="C689" s="79"/>
      <c r="D689" s="79"/>
      <c r="E689" s="79"/>
      <c r="F689" s="79"/>
      <c r="G689" s="79"/>
    </row>
    <row r="690" spans="2:7" ht="15.75" customHeight="1" x14ac:dyDescent="0.2">
      <c r="B690" s="79"/>
      <c r="C690" s="79"/>
      <c r="D690" s="79"/>
      <c r="E690" s="79"/>
      <c r="F690" s="79"/>
      <c r="G690" s="79"/>
    </row>
    <row r="691" spans="2:7" ht="15.75" customHeight="1" x14ac:dyDescent="0.2">
      <c r="B691" s="79"/>
      <c r="C691" s="79"/>
      <c r="D691" s="79"/>
      <c r="E691" s="79"/>
      <c r="F691" s="79"/>
      <c r="G691" s="79"/>
    </row>
    <row r="692" spans="2:7" ht="15.75" customHeight="1" x14ac:dyDescent="0.2">
      <c r="B692" s="79"/>
      <c r="C692" s="79"/>
      <c r="D692" s="79"/>
      <c r="E692" s="79"/>
      <c r="F692" s="79"/>
      <c r="G692" s="79"/>
    </row>
    <row r="693" spans="2:7" ht="15.75" customHeight="1" x14ac:dyDescent="0.2">
      <c r="B693" s="79"/>
      <c r="C693" s="79"/>
      <c r="D693" s="79"/>
      <c r="E693" s="79"/>
      <c r="F693" s="79"/>
      <c r="G693" s="79"/>
    </row>
    <row r="694" spans="2:7" ht="15.75" customHeight="1" x14ac:dyDescent="0.2">
      <c r="B694" s="79"/>
      <c r="C694" s="79"/>
      <c r="D694" s="79"/>
      <c r="E694" s="79"/>
      <c r="F694" s="79"/>
      <c r="G694" s="79"/>
    </row>
    <row r="695" spans="2:7" ht="15.75" customHeight="1" x14ac:dyDescent="0.2">
      <c r="B695" s="79"/>
      <c r="C695" s="79"/>
      <c r="D695" s="79"/>
      <c r="E695" s="79"/>
      <c r="F695" s="79"/>
      <c r="G695" s="79"/>
    </row>
    <row r="696" spans="2:7" ht="15.75" customHeight="1" x14ac:dyDescent="0.2">
      <c r="B696" s="79"/>
      <c r="C696" s="79"/>
      <c r="D696" s="79"/>
      <c r="E696" s="79"/>
      <c r="F696" s="79"/>
      <c r="G696" s="79"/>
    </row>
    <row r="697" spans="2:7" ht="15.75" customHeight="1" x14ac:dyDescent="0.2">
      <c r="B697" s="79"/>
      <c r="C697" s="79"/>
      <c r="D697" s="79"/>
      <c r="E697" s="79"/>
      <c r="F697" s="79"/>
      <c r="G697" s="79"/>
    </row>
    <row r="698" spans="2:7" ht="15.75" customHeight="1" x14ac:dyDescent="0.2">
      <c r="B698" s="79"/>
      <c r="C698" s="79"/>
      <c r="D698" s="79"/>
      <c r="E698" s="79"/>
      <c r="F698" s="79"/>
      <c r="G698" s="79"/>
    </row>
    <row r="699" spans="2:7" ht="15.75" customHeight="1" x14ac:dyDescent="0.2">
      <c r="B699" s="79"/>
      <c r="C699" s="79"/>
      <c r="D699" s="79"/>
      <c r="E699" s="79"/>
      <c r="F699" s="79"/>
      <c r="G699" s="79"/>
    </row>
    <row r="700" spans="2:7" ht="15.75" customHeight="1" x14ac:dyDescent="0.2">
      <c r="B700" s="79"/>
      <c r="C700" s="79"/>
      <c r="D700" s="79"/>
      <c r="E700" s="79"/>
      <c r="F700" s="79"/>
      <c r="G700" s="79"/>
    </row>
    <row r="701" spans="2:7" ht="15.75" customHeight="1" x14ac:dyDescent="0.2">
      <c r="B701" s="79"/>
      <c r="C701" s="79"/>
      <c r="D701" s="79"/>
      <c r="E701" s="79"/>
      <c r="F701" s="79"/>
      <c r="G701" s="79"/>
    </row>
    <row r="702" spans="2:7" ht="15.75" customHeight="1" x14ac:dyDescent="0.2">
      <c r="B702" s="79"/>
      <c r="C702" s="79"/>
      <c r="D702" s="79"/>
      <c r="E702" s="79"/>
      <c r="F702" s="79"/>
      <c r="G702" s="79"/>
    </row>
    <row r="703" spans="2:7" ht="15.75" customHeight="1" x14ac:dyDescent="0.2">
      <c r="B703" s="79"/>
      <c r="C703" s="79"/>
      <c r="D703" s="79"/>
      <c r="E703" s="79"/>
      <c r="F703" s="79"/>
      <c r="G703" s="79"/>
    </row>
    <row r="704" spans="2:7" ht="15.75" customHeight="1" x14ac:dyDescent="0.2">
      <c r="B704" s="79"/>
      <c r="C704" s="79"/>
      <c r="D704" s="79"/>
      <c r="E704" s="79"/>
      <c r="F704" s="79"/>
      <c r="G704" s="79"/>
    </row>
    <row r="705" spans="2:7" ht="15.75" customHeight="1" x14ac:dyDescent="0.2">
      <c r="B705" s="79"/>
      <c r="C705" s="79"/>
      <c r="D705" s="79"/>
      <c r="E705" s="79"/>
      <c r="F705" s="79"/>
      <c r="G705" s="79"/>
    </row>
    <row r="706" spans="2:7" ht="15.75" customHeight="1" x14ac:dyDescent="0.2">
      <c r="B706" s="79"/>
      <c r="C706" s="79"/>
      <c r="D706" s="79"/>
      <c r="E706" s="79"/>
      <c r="F706" s="79"/>
      <c r="G706" s="79"/>
    </row>
    <row r="707" spans="2:7" ht="15.75" customHeight="1" x14ac:dyDescent="0.2">
      <c r="B707" s="79"/>
      <c r="C707" s="79"/>
      <c r="D707" s="79"/>
      <c r="E707" s="79"/>
      <c r="F707" s="79"/>
      <c r="G707" s="79"/>
    </row>
    <row r="708" spans="2:7" ht="15.75" customHeight="1" x14ac:dyDescent="0.2">
      <c r="B708" s="79"/>
      <c r="C708" s="79"/>
      <c r="D708" s="79"/>
      <c r="E708" s="79"/>
      <c r="F708" s="79"/>
      <c r="G708" s="79"/>
    </row>
    <row r="709" spans="2:7" ht="15.75" customHeight="1" x14ac:dyDescent="0.2">
      <c r="B709" s="79"/>
      <c r="C709" s="79"/>
      <c r="D709" s="79"/>
      <c r="E709" s="79"/>
      <c r="F709" s="79"/>
      <c r="G709" s="79"/>
    </row>
    <row r="710" spans="2:7" ht="15.75" customHeight="1" x14ac:dyDescent="0.2">
      <c r="B710" s="79"/>
      <c r="C710" s="79"/>
      <c r="D710" s="79"/>
      <c r="E710" s="79"/>
      <c r="F710" s="79"/>
      <c r="G710" s="79"/>
    </row>
    <row r="711" spans="2:7" ht="15.75" customHeight="1" x14ac:dyDescent="0.2">
      <c r="B711" s="79"/>
      <c r="C711" s="79"/>
      <c r="D711" s="79"/>
      <c r="E711" s="79"/>
      <c r="F711" s="79"/>
      <c r="G711" s="79"/>
    </row>
    <row r="712" spans="2:7" ht="15.75" customHeight="1" x14ac:dyDescent="0.2">
      <c r="B712" s="79"/>
      <c r="C712" s="79"/>
      <c r="D712" s="79"/>
      <c r="E712" s="79"/>
      <c r="F712" s="79"/>
      <c r="G712" s="79"/>
    </row>
    <row r="713" spans="2:7" ht="15.75" customHeight="1" x14ac:dyDescent="0.2">
      <c r="B713" s="79"/>
      <c r="C713" s="79"/>
      <c r="D713" s="79"/>
      <c r="E713" s="79"/>
      <c r="F713" s="79"/>
      <c r="G713" s="79"/>
    </row>
    <row r="714" spans="2:7" ht="15.75" customHeight="1" x14ac:dyDescent="0.2">
      <c r="B714" s="79"/>
      <c r="C714" s="79"/>
      <c r="D714" s="79"/>
      <c r="E714" s="79"/>
      <c r="F714" s="79"/>
      <c r="G714" s="79"/>
    </row>
    <row r="715" spans="2:7" ht="15.75" customHeight="1" x14ac:dyDescent="0.2">
      <c r="B715" s="79"/>
      <c r="C715" s="79"/>
      <c r="D715" s="79"/>
      <c r="E715" s="79"/>
      <c r="F715" s="79"/>
      <c r="G715" s="79"/>
    </row>
    <row r="716" spans="2:7" ht="15.75" customHeight="1" x14ac:dyDescent="0.2">
      <c r="B716" s="79"/>
      <c r="C716" s="79"/>
      <c r="D716" s="79"/>
      <c r="E716" s="79"/>
      <c r="F716" s="79"/>
      <c r="G716" s="79"/>
    </row>
    <row r="717" spans="2:7" ht="15.75" customHeight="1" x14ac:dyDescent="0.2">
      <c r="B717" s="79"/>
      <c r="C717" s="79"/>
      <c r="D717" s="79"/>
      <c r="E717" s="79"/>
      <c r="F717" s="79"/>
      <c r="G717" s="79"/>
    </row>
    <row r="718" spans="2:7" ht="15.75" customHeight="1" x14ac:dyDescent="0.2">
      <c r="B718" s="79"/>
      <c r="C718" s="79"/>
      <c r="D718" s="79"/>
      <c r="E718" s="79"/>
      <c r="F718" s="79"/>
      <c r="G718" s="79"/>
    </row>
    <row r="719" spans="2:7" ht="15.75" customHeight="1" x14ac:dyDescent="0.2">
      <c r="B719" s="79"/>
      <c r="C719" s="79"/>
      <c r="D719" s="79"/>
      <c r="E719" s="79"/>
      <c r="F719" s="79"/>
      <c r="G719" s="79"/>
    </row>
    <row r="720" spans="2:7" ht="15.75" customHeight="1" x14ac:dyDescent="0.2">
      <c r="B720" s="79"/>
      <c r="C720" s="79"/>
      <c r="D720" s="79"/>
      <c r="E720" s="79"/>
      <c r="F720" s="79"/>
      <c r="G720" s="79"/>
    </row>
    <row r="721" spans="2:7" ht="15.75" customHeight="1" x14ac:dyDescent="0.2">
      <c r="B721" s="79"/>
      <c r="C721" s="79"/>
      <c r="D721" s="79"/>
      <c r="E721" s="79"/>
      <c r="F721" s="79"/>
      <c r="G721" s="79"/>
    </row>
    <row r="722" spans="2:7" ht="15.75" customHeight="1" x14ac:dyDescent="0.2">
      <c r="B722" s="79"/>
      <c r="C722" s="79"/>
      <c r="D722" s="79"/>
      <c r="E722" s="79"/>
      <c r="F722" s="79"/>
      <c r="G722" s="79"/>
    </row>
    <row r="723" spans="2:7" ht="15.75" customHeight="1" x14ac:dyDescent="0.2">
      <c r="B723" s="79"/>
      <c r="C723" s="79"/>
      <c r="D723" s="79"/>
      <c r="E723" s="79"/>
      <c r="F723" s="79"/>
      <c r="G723" s="79"/>
    </row>
    <row r="724" spans="2:7" ht="15.75" customHeight="1" x14ac:dyDescent="0.2">
      <c r="B724" s="79"/>
      <c r="C724" s="79"/>
      <c r="D724" s="79"/>
      <c r="E724" s="79"/>
      <c r="F724" s="79"/>
      <c r="G724" s="79"/>
    </row>
    <row r="725" spans="2:7" ht="15.75" customHeight="1" x14ac:dyDescent="0.2">
      <c r="B725" s="79"/>
      <c r="C725" s="79"/>
      <c r="D725" s="79"/>
      <c r="E725" s="79"/>
      <c r="F725" s="79"/>
      <c r="G725" s="79"/>
    </row>
    <row r="726" spans="2:7" ht="15.75" customHeight="1" x14ac:dyDescent="0.2">
      <c r="B726" s="79"/>
      <c r="C726" s="79"/>
      <c r="D726" s="79"/>
      <c r="E726" s="79"/>
      <c r="F726" s="79"/>
      <c r="G726" s="79"/>
    </row>
    <row r="727" spans="2:7" ht="15.75" customHeight="1" x14ac:dyDescent="0.2">
      <c r="B727" s="79"/>
      <c r="C727" s="79"/>
      <c r="D727" s="79"/>
      <c r="E727" s="79"/>
      <c r="F727" s="79"/>
      <c r="G727" s="79"/>
    </row>
    <row r="728" spans="2:7" ht="15.75" customHeight="1" x14ac:dyDescent="0.2">
      <c r="B728" s="79"/>
      <c r="C728" s="79"/>
      <c r="D728" s="79"/>
      <c r="E728" s="79"/>
      <c r="F728" s="79"/>
      <c r="G728" s="79"/>
    </row>
    <row r="729" spans="2:7" ht="15.75" customHeight="1" x14ac:dyDescent="0.2">
      <c r="B729" s="79"/>
      <c r="C729" s="79"/>
      <c r="D729" s="79"/>
      <c r="E729" s="79"/>
      <c r="F729" s="79"/>
      <c r="G729" s="79"/>
    </row>
    <row r="730" spans="2:7" ht="15.75" customHeight="1" x14ac:dyDescent="0.2">
      <c r="B730" s="79"/>
      <c r="C730" s="79"/>
      <c r="D730" s="79"/>
      <c r="E730" s="79"/>
      <c r="F730" s="79"/>
      <c r="G730" s="79"/>
    </row>
    <row r="731" spans="2:7" ht="15.75" customHeight="1" x14ac:dyDescent="0.2">
      <c r="B731" s="79"/>
      <c r="C731" s="79"/>
      <c r="D731" s="79"/>
      <c r="E731" s="79"/>
      <c r="F731" s="79"/>
      <c r="G731" s="79"/>
    </row>
    <row r="732" spans="2:7" ht="15.75" customHeight="1" x14ac:dyDescent="0.2">
      <c r="B732" s="79"/>
      <c r="C732" s="79"/>
      <c r="D732" s="79"/>
      <c r="E732" s="79"/>
      <c r="F732" s="79"/>
      <c r="G732" s="79"/>
    </row>
    <row r="733" spans="2:7" ht="15.75" customHeight="1" x14ac:dyDescent="0.2">
      <c r="B733" s="79"/>
      <c r="C733" s="79"/>
      <c r="D733" s="79"/>
      <c r="E733" s="79"/>
      <c r="F733" s="79"/>
      <c r="G733" s="79"/>
    </row>
    <row r="734" spans="2:7" ht="15.75" customHeight="1" x14ac:dyDescent="0.2">
      <c r="B734" s="79"/>
      <c r="C734" s="79"/>
      <c r="D734" s="79"/>
      <c r="E734" s="79"/>
      <c r="F734" s="79"/>
      <c r="G734" s="79"/>
    </row>
    <row r="735" spans="2:7" ht="15.75" customHeight="1" x14ac:dyDescent="0.2">
      <c r="B735" s="79"/>
      <c r="C735" s="79"/>
      <c r="D735" s="79"/>
      <c r="E735" s="79"/>
      <c r="F735" s="79"/>
      <c r="G735" s="79"/>
    </row>
    <row r="736" spans="2:7" ht="15.75" customHeight="1" x14ac:dyDescent="0.2">
      <c r="B736" s="79"/>
      <c r="C736" s="79"/>
      <c r="D736" s="79"/>
      <c r="E736" s="79"/>
      <c r="F736" s="79"/>
      <c r="G736" s="79"/>
    </row>
    <row r="737" spans="2:7" ht="15.75" customHeight="1" x14ac:dyDescent="0.2">
      <c r="B737" s="79"/>
      <c r="C737" s="79"/>
      <c r="D737" s="79"/>
      <c r="E737" s="79"/>
      <c r="F737" s="79"/>
      <c r="G737" s="79"/>
    </row>
    <row r="738" spans="2:7" ht="15.75" customHeight="1" x14ac:dyDescent="0.2">
      <c r="B738" s="79"/>
      <c r="C738" s="79"/>
      <c r="D738" s="79"/>
      <c r="E738" s="79"/>
      <c r="F738" s="79"/>
      <c r="G738" s="79"/>
    </row>
    <row r="739" spans="2:7" ht="15.75" customHeight="1" x14ac:dyDescent="0.2">
      <c r="B739" s="79"/>
      <c r="C739" s="79"/>
      <c r="D739" s="79"/>
      <c r="E739" s="79"/>
      <c r="F739" s="79"/>
      <c r="G739" s="79"/>
    </row>
    <row r="740" spans="2:7" ht="15.75" customHeight="1" x14ac:dyDescent="0.2">
      <c r="B740" s="79"/>
      <c r="C740" s="79"/>
      <c r="D740" s="79"/>
      <c r="E740" s="79"/>
      <c r="F740" s="79"/>
      <c r="G740" s="79"/>
    </row>
    <row r="741" spans="2:7" ht="15.75" customHeight="1" x14ac:dyDescent="0.2">
      <c r="B741" s="79"/>
      <c r="C741" s="79"/>
      <c r="D741" s="79"/>
      <c r="E741" s="79"/>
      <c r="F741" s="79"/>
      <c r="G741" s="79"/>
    </row>
    <row r="742" spans="2:7" ht="15.75" customHeight="1" x14ac:dyDescent="0.2">
      <c r="B742" s="79"/>
      <c r="C742" s="79"/>
      <c r="D742" s="79"/>
      <c r="E742" s="79"/>
      <c r="F742" s="79"/>
      <c r="G742" s="79"/>
    </row>
    <row r="743" spans="2:7" ht="15.75" customHeight="1" x14ac:dyDescent="0.2">
      <c r="B743" s="79"/>
      <c r="C743" s="79"/>
      <c r="D743" s="79"/>
      <c r="E743" s="79"/>
      <c r="F743" s="79"/>
      <c r="G743" s="79"/>
    </row>
    <row r="744" spans="2:7" ht="15.75" customHeight="1" x14ac:dyDescent="0.2">
      <c r="B744" s="79"/>
      <c r="C744" s="79"/>
      <c r="D744" s="79"/>
      <c r="E744" s="79"/>
      <c r="F744" s="79"/>
      <c r="G744" s="79"/>
    </row>
    <row r="745" spans="2:7" ht="15.75" customHeight="1" x14ac:dyDescent="0.2">
      <c r="B745" s="79"/>
      <c r="C745" s="79"/>
      <c r="D745" s="79"/>
      <c r="E745" s="79"/>
      <c r="F745" s="79"/>
      <c r="G745" s="79"/>
    </row>
    <row r="746" spans="2:7" ht="15.75" customHeight="1" x14ac:dyDescent="0.2">
      <c r="B746" s="79"/>
      <c r="C746" s="79"/>
      <c r="D746" s="79"/>
      <c r="E746" s="79"/>
      <c r="F746" s="79"/>
      <c r="G746" s="79"/>
    </row>
    <row r="747" spans="2:7" ht="15.75" customHeight="1" x14ac:dyDescent="0.2">
      <c r="B747" s="79"/>
      <c r="C747" s="79"/>
      <c r="D747" s="79"/>
      <c r="E747" s="79"/>
      <c r="F747" s="79"/>
      <c r="G747" s="79"/>
    </row>
    <row r="748" spans="2:7" ht="15.75" customHeight="1" x14ac:dyDescent="0.2">
      <c r="B748" s="79"/>
      <c r="C748" s="79"/>
      <c r="D748" s="79"/>
      <c r="E748" s="79"/>
      <c r="F748" s="79"/>
      <c r="G748" s="79"/>
    </row>
    <row r="749" spans="2:7" ht="15.75" customHeight="1" x14ac:dyDescent="0.2">
      <c r="B749" s="79"/>
      <c r="C749" s="79"/>
      <c r="D749" s="79"/>
      <c r="E749" s="79"/>
      <c r="F749" s="79"/>
      <c r="G749" s="79"/>
    </row>
    <row r="750" spans="2:7" ht="15.75" customHeight="1" x14ac:dyDescent="0.2">
      <c r="B750" s="79"/>
      <c r="C750" s="79"/>
      <c r="D750" s="79"/>
      <c r="E750" s="79"/>
      <c r="F750" s="79"/>
      <c r="G750" s="79"/>
    </row>
    <row r="751" spans="2:7" ht="15.75" customHeight="1" x14ac:dyDescent="0.2">
      <c r="B751" s="79"/>
      <c r="C751" s="79"/>
      <c r="D751" s="79"/>
      <c r="E751" s="79"/>
      <c r="F751" s="79"/>
      <c r="G751" s="79"/>
    </row>
    <row r="752" spans="2:7" ht="15.75" customHeight="1" x14ac:dyDescent="0.2">
      <c r="B752" s="79"/>
      <c r="C752" s="79"/>
      <c r="D752" s="79"/>
      <c r="E752" s="79"/>
      <c r="F752" s="79"/>
      <c r="G752" s="79"/>
    </row>
    <row r="753" spans="2:7" ht="15.75" customHeight="1" x14ac:dyDescent="0.2">
      <c r="B753" s="79"/>
      <c r="C753" s="79"/>
      <c r="D753" s="79"/>
      <c r="E753" s="79"/>
      <c r="F753" s="79"/>
      <c r="G753" s="79"/>
    </row>
    <row r="754" spans="2:7" ht="15.75" customHeight="1" x14ac:dyDescent="0.2">
      <c r="B754" s="79"/>
      <c r="C754" s="79"/>
      <c r="D754" s="79"/>
      <c r="E754" s="79"/>
      <c r="F754" s="79"/>
      <c r="G754" s="79"/>
    </row>
    <row r="755" spans="2:7" ht="15.75" customHeight="1" x14ac:dyDescent="0.2">
      <c r="B755" s="79"/>
      <c r="C755" s="79"/>
      <c r="D755" s="79"/>
      <c r="E755" s="79"/>
      <c r="F755" s="79"/>
      <c r="G755" s="79"/>
    </row>
    <row r="756" spans="2:7" ht="15.75" customHeight="1" x14ac:dyDescent="0.2">
      <c r="B756" s="79"/>
      <c r="C756" s="79"/>
      <c r="D756" s="79"/>
      <c r="E756" s="79"/>
      <c r="F756" s="79"/>
      <c r="G756" s="79"/>
    </row>
    <row r="757" spans="2:7" ht="15.75" customHeight="1" x14ac:dyDescent="0.2">
      <c r="B757" s="79"/>
      <c r="C757" s="79"/>
      <c r="D757" s="79"/>
      <c r="E757" s="79"/>
      <c r="F757" s="79"/>
      <c r="G757" s="79"/>
    </row>
    <row r="758" spans="2:7" ht="15.75" customHeight="1" x14ac:dyDescent="0.2">
      <c r="B758" s="79"/>
      <c r="C758" s="79"/>
      <c r="D758" s="79"/>
      <c r="E758" s="79"/>
      <c r="F758" s="79"/>
      <c r="G758" s="79"/>
    </row>
    <row r="759" spans="2:7" ht="15.75" customHeight="1" x14ac:dyDescent="0.2">
      <c r="B759" s="79"/>
      <c r="C759" s="79"/>
      <c r="D759" s="79"/>
      <c r="E759" s="79"/>
      <c r="F759" s="79"/>
      <c r="G759" s="79"/>
    </row>
    <row r="760" spans="2:7" ht="15.75" customHeight="1" x14ac:dyDescent="0.2">
      <c r="B760" s="79"/>
      <c r="C760" s="79"/>
      <c r="D760" s="79"/>
      <c r="E760" s="79"/>
      <c r="F760" s="79"/>
      <c r="G760" s="79"/>
    </row>
    <row r="761" spans="2:7" ht="15.75" customHeight="1" x14ac:dyDescent="0.2">
      <c r="B761" s="79"/>
      <c r="C761" s="79"/>
      <c r="D761" s="79"/>
      <c r="E761" s="79"/>
      <c r="F761" s="79"/>
      <c r="G761" s="79"/>
    </row>
    <row r="762" spans="2:7" ht="15.75" customHeight="1" x14ac:dyDescent="0.2">
      <c r="B762" s="79"/>
      <c r="C762" s="79"/>
      <c r="D762" s="79"/>
      <c r="E762" s="79"/>
      <c r="F762" s="79"/>
      <c r="G762" s="79"/>
    </row>
    <row r="763" spans="2:7" ht="15.75" customHeight="1" x14ac:dyDescent="0.2">
      <c r="B763" s="79"/>
      <c r="C763" s="79"/>
      <c r="D763" s="79"/>
      <c r="E763" s="79"/>
      <c r="F763" s="79"/>
      <c r="G763" s="79"/>
    </row>
    <row r="764" spans="2:7" ht="15.75" customHeight="1" x14ac:dyDescent="0.2">
      <c r="B764" s="79"/>
      <c r="C764" s="79"/>
      <c r="D764" s="79"/>
      <c r="E764" s="79"/>
      <c r="F764" s="79"/>
      <c r="G764" s="79"/>
    </row>
    <row r="765" spans="2:7" ht="15.75" customHeight="1" x14ac:dyDescent="0.2">
      <c r="B765" s="79"/>
      <c r="C765" s="79"/>
      <c r="D765" s="79"/>
      <c r="E765" s="79"/>
      <c r="F765" s="79"/>
      <c r="G765" s="79"/>
    </row>
    <row r="766" spans="2:7" ht="15.75" customHeight="1" x14ac:dyDescent="0.2">
      <c r="B766" s="79"/>
      <c r="C766" s="79"/>
      <c r="D766" s="79"/>
      <c r="E766" s="79"/>
      <c r="F766" s="79"/>
      <c r="G766" s="79"/>
    </row>
    <row r="767" spans="2:7" ht="15.75" customHeight="1" x14ac:dyDescent="0.2">
      <c r="B767" s="79"/>
      <c r="C767" s="79"/>
      <c r="D767" s="79"/>
      <c r="E767" s="79"/>
      <c r="F767" s="79"/>
      <c r="G767" s="79"/>
    </row>
    <row r="768" spans="2:7" ht="15.75" customHeight="1" x14ac:dyDescent="0.2">
      <c r="B768" s="79"/>
      <c r="C768" s="79"/>
      <c r="D768" s="79"/>
      <c r="E768" s="79"/>
      <c r="F768" s="79"/>
      <c r="G768" s="79"/>
    </row>
    <row r="769" spans="2:7" ht="15.75" customHeight="1" x14ac:dyDescent="0.2">
      <c r="B769" s="79"/>
      <c r="C769" s="79"/>
      <c r="D769" s="79"/>
      <c r="E769" s="79"/>
      <c r="F769" s="79"/>
      <c r="G769" s="79"/>
    </row>
    <row r="770" spans="2:7" ht="15.75" customHeight="1" x14ac:dyDescent="0.2">
      <c r="B770" s="79"/>
      <c r="C770" s="79"/>
      <c r="D770" s="79"/>
      <c r="E770" s="79"/>
      <c r="F770" s="79"/>
      <c r="G770" s="79"/>
    </row>
    <row r="771" spans="2:7" ht="15.75" customHeight="1" x14ac:dyDescent="0.2">
      <c r="B771" s="79"/>
      <c r="C771" s="79"/>
      <c r="D771" s="79"/>
      <c r="E771" s="79"/>
      <c r="F771" s="79"/>
      <c r="G771" s="79"/>
    </row>
    <row r="772" spans="2:7" ht="15.75" customHeight="1" x14ac:dyDescent="0.2">
      <c r="B772" s="79"/>
      <c r="C772" s="79"/>
      <c r="D772" s="79"/>
      <c r="E772" s="79"/>
      <c r="F772" s="79"/>
      <c r="G772" s="79"/>
    </row>
    <row r="773" spans="2:7" ht="15.75" customHeight="1" x14ac:dyDescent="0.2">
      <c r="B773" s="79"/>
      <c r="C773" s="79"/>
      <c r="D773" s="79"/>
      <c r="E773" s="79"/>
      <c r="F773" s="79"/>
      <c r="G773" s="79"/>
    </row>
    <row r="774" spans="2:7" ht="15.75" customHeight="1" x14ac:dyDescent="0.2">
      <c r="B774" s="79"/>
      <c r="C774" s="79"/>
      <c r="D774" s="79"/>
      <c r="E774" s="79"/>
      <c r="F774" s="79"/>
      <c r="G774" s="79"/>
    </row>
    <row r="775" spans="2:7" ht="15.75" customHeight="1" x14ac:dyDescent="0.2">
      <c r="B775" s="79"/>
      <c r="C775" s="79"/>
      <c r="D775" s="79"/>
      <c r="E775" s="79"/>
      <c r="F775" s="79"/>
      <c r="G775" s="79"/>
    </row>
    <row r="776" spans="2:7" ht="15.75" customHeight="1" x14ac:dyDescent="0.2">
      <c r="B776" s="79"/>
      <c r="C776" s="79"/>
      <c r="D776" s="79"/>
      <c r="E776" s="79"/>
      <c r="F776" s="79"/>
      <c r="G776" s="79"/>
    </row>
    <row r="777" spans="2:7" ht="15.75" customHeight="1" x14ac:dyDescent="0.2">
      <c r="B777" s="79"/>
      <c r="C777" s="79"/>
      <c r="D777" s="79"/>
      <c r="E777" s="79"/>
      <c r="F777" s="79"/>
      <c r="G777" s="79"/>
    </row>
    <row r="778" spans="2:7" ht="15.75" customHeight="1" x14ac:dyDescent="0.2">
      <c r="B778" s="79"/>
      <c r="C778" s="79"/>
      <c r="D778" s="79"/>
      <c r="E778" s="79"/>
      <c r="F778" s="79"/>
      <c r="G778" s="79"/>
    </row>
    <row r="779" spans="2:7" ht="15.75" customHeight="1" x14ac:dyDescent="0.2">
      <c r="B779" s="79"/>
      <c r="C779" s="79"/>
      <c r="D779" s="79"/>
      <c r="E779" s="79"/>
      <c r="F779" s="79"/>
      <c r="G779" s="79"/>
    </row>
    <row r="780" spans="2:7" ht="15.75" customHeight="1" x14ac:dyDescent="0.2">
      <c r="B780" s="79"/>
      <c r="C780" s="79"/>
      <c r="D780" s="79"/>
      <c r="E780" s="79"/>
      <c r="F780" s="79"/>
      <c r="G780" s="79"/>
    </row>
    <row r="781" spans="2:7" ht="15.75" customHeight="1" x14ac:dyDescent="0.2">
      <c r="B781" s="79"/>
      <c r="C781" s="79"/>
      <c r="D781" s="79"/>
      <c r="E781" s="79"/>
      <c r="F781" s="79"/>
      <c r="G781" s="79"/>
    </row>
    <row r="782" spans="2:7" ht="15.75" customHeight="1" x14ac:dyDescent="0.2">
      <c r="B782" s="79"/>
      <c r="C782" s="79"/>
      <c r="D782" s="79"/>
      <c r="E782" s="79"/>
      <c r="F782" s="79"/>
      <c r="G782" s="79"/>
    </row>
    <row r="783" spans="2:7" ht="15.75" customHeight="1" x14ac:dyDescent="0.2">
      <c r="B783" s="79"/>
      <c r="C783" s="79"/>
      <c r="D783" s="79"/>
      <c r="E783" s="79"/>
      <c r="F783" s="79"/>
      <c r="G783" s="79"/>
    </row>
    <row r="784" spans="2:7" ht="15.75" customHeight="1" x14ac:dyDescent="0.2">
      <c r="B784" s="79"/>
      <c r="C784" s="79"/>
      <c r="D784" s="79"/>
      <c r="E784" s="79"/>
      <c r="F784" s="79"/>
      <c r="G784" s="79"/>
    </row>
    <row r="785" spans="2:7" ht="15.75" customHeight="1" x14ac:dyDescent="0.2">
      <c r="B785" s="79"/>
      <c r="C785" s="79"/>
      <c r="D785" s="79"/>
      <c r="E785" s="79"/>
      <c r="F785" s="79"/>
      <c r="G785" s="79"/>
    </row>
    <row r="786" spans="2:7" ht="15.75" customHeight="1" x14ac:dyDescent="0.2">
      <c r="B786" s="79"/>
      <c r="C786" s="79"/>
      <c r="D786" s="79"/>
      <c r="E786" s="79"/>
      <c r="F786" s="79"/>
      <c r="G786" s="79"/>
    </row>
    <row r="787" spans="2:7" ht="15.75" customHeight="1" x14ac:dyDescent="0.2">
      <c r="B787" s="79"/>
      <c r="C787" s="79"/>
      <c r="D787" s="79"/>
      <c r="E787" s="79"/>
      <c r="F787" s="79"/>
      <c r="G787" s="79"/>
    </row>
    <row r="788" spans="2:7" ht="15.75" customHeight="1" x14ac:dyDescent="0.2">
      <c r="B788" s="79"/>
      <c r="C788" s="79"/>
      <c r="D788" s="79"/>
      <c r="E788" s="79"/>
      <c r="F788" s="79"/>
      <c r="G788" s="79"/>
    </row>
    <row r="789" spans="2:7" ht="15.75" customHeight="1" x14ac:dyDescent="0.2">
      <c r="B789" s="79"/>
      <c r="C789" s="79"/>
      <c r="D789" s="79"/>
      <c r="E789" s="79"/>
      <c r="F789" s="79"/>
      <c r="G789" s="79"/>
    </row>
    <row r="790" spans="2:7" ht="15.75" customHeight="1" x14ac:dyDescent="0.2">
      <c r="B790" s="79"/>
      <c r="C790" s="79"/>
      <c r="D790" s="79"/>
      <c r="E790" s="79"/>
      <c r="F790" s="79"/>
      <c r="G790" s="79"/>
    </row>
    <row r="791" spans="2:7" ht="15.75" customHeight="1" x14ac:dyDescent="0.2">
      <c r="B791" s="79"/>
      <c r="C791" s="79"/>
      <c r="D791" s="79"/>
      <c r="E791" s="79"/>
      <c r="F791" s="79"/>
      <c r="G791" s="79"/>
    </row>
    <row r="792" spans="2:7" ht="15.75" customHeight="1" x14ac:dyDescent="0.2">
      <c r="B792" s="79"/>
      <c r="C792" s="79"/>
      <c r="D792" s="79"/>
      <c r="E792" s="79"/>
      <c r="F792" s="79"/>
      <c r="G792" s="79"/>
    </row>
    <row r="793" spans="2:7" ht="15.75" customHeight="1" x14ac:dyDescent="0.2">
      <c r="B793" s="79"/>
      <c r="C793" s="79"/>
      <c r="D793" s="79"/>
      <c r="E793" s="79"/>
      <c r="F793" s="79"/>
      <c r="G793" s="79"/>
    </row>
    <row r="794" spans="2:7" ht="15.75" customHeight="1" x14ac:dyDescent="0.2">
      <c r="B794" s="79"/>
      <c r="C794" s="79"/>
      <c r="D794" s="79"/>
      <c r="E794" s="79"/>
      <c r="F794" s="79"/>
      <c r="G794" s="79"/>
    </row>
    <row r="795" spans="2:7" ht="15.75" customHeight="1" x14ac:dyDescent="0.2">
      <c r="B795" s="79"/>
      <c r="C795" s="79"/>
      <c r="D795" s="79"/>
      <c r="E795" s="79"/>
      <c r="F795" s="79"/>
      <c r="G795" s="79"/>
    </row>
    <row r="796" spans="2:7" ht="15.75" customHeight="1" x14ac:dyDescent="0.2">
      <c r="B796" s="79"/>
      <c r="C796" s="79"/>
      <c r="D796" s="79"/>
      <c r="E796" s="79"/>
      <c r="F796" s="79"/>
      <c r="G796" s="79"/>
    </row>
    <row r="797" spans="2:7" ht="15.75" customHeight="1" x14ac:dyDescent="0.2">
      <c r="B797" s="79"/>
      <c r="C797" s="79"/>
      <c r="D797" s="79"/>
      <c r="E797" s="79"/>
      <c r="F797" s="79"/>
      <c r="G797" s="79"/>
    </row>
    <row r="798" spans="2:7" ht="15.75" customHeight="1" x14ac:dyDescent="0.2">
      <c r="B798" s="79"/>
      <c r="C798" s="79"/>
      <c r="D798" s="79"/>
      <c r="E798" s="79"/>
      <c r="F798" s="79"/>
      <c r="G798" s="79"/>
    </row>
    <row r="799" spans="2:7" ht="15.75" customHeight="1" x14ac:dyDescent="0.2">
      <c r="B799" s="79"/>
      <c r="C799" s="79"/>
      <c r="D799" s="79"/>
      <c r="E799" s="79"/>
      <c r="F799" s="79"/>
      <c r="G799" s="79"/>
    </row>
    <row r="800" spans="2:7" ht="15.75" customHeight="1" x14ac:dyDescent="0.2">
      <c r="B800" s="79"/>
      <c r="C800" s="79"/>
      <c r="D800" s="79"/>
      <c r="E800" s="79"/>
      <c r="F800" s="79"/>
      <c r="G800" s="79"/>
    </row>
    <row r="801" spans="2:7" ht="15.75" customHeight="1" x14ac:dyDescent="0.2">
      <c r="B801" s="79"/>
      <c r="C801" s="79"/>
      <c r="D801" s="79"/>
      <c r="E801" s="79"/>
      <c r="F801" s="79"/>
      <c r="G801" s="79"/>
    </row>
    <row r="802" spans="2:7" ht="15.75" customHeight="1" x14ac:dyDescent="0.2">
      <c r="B802" s="79"/>
      <c r="C802" s="79"/>
      <c r="D802" s="79"/>
      <c r="E802" s="79"/>
      <c r="F802" s="79"/>
      <c r="G802" s="79"/>
    </row>
    <row r="803" spans="2:7" ht="15.75" customHeight="1" x14ac:dyDescent="0.2">
      <c r="B803" s="79"/>
      <c r="C803" s="79"/>
      <c r="D803" s="79"/>
      <c r="E803" s="79"/>
      <c r="F803" s="79"/>
      <c r="G803" s="79"/>
    </row>
    <row r="804" spans="2:7" ht="15.75" customHeight="1" x14ac:dyDescent="0.2">
      <c r="B804" s="79"/>
      <c r="C804" s="79"/>
      <c r="D804" s="79"/>
      <c r="E804" s="79"/>
      <c r="F804" s="79"/>
      <c r="G804" s="79"/>
    </row>
    <row r="805" spans="2:7" ht="15.75" customHeight="1" x14ac:dyDescent="0.2">
      <c r="B805" s="79"/>
      <c r="C805" s="79"/>
      <c r="D805" s="79"/>
      <c r="E805" s="79"/>
      <c r="F805" s="79"/>
      <c r="G805" s="79"/>
    </row>
    <row r="806" spans="2:7" ht="15.75" customHeight="1" x14ac:dyDescent="0.2">
      <c r="B806" s="79"/>
      <c r="C806" s="79"/>
      <c r="D806" s="79"/>
      <c r="E806" s="79"/>
      <c r="F806" s="79"/>
      <c r="G806" s="79"/>
    </row>
    <row r="807" spans="2:7" ht="15.75" customHeight="1" x14ac:dyDescent="0.2">
      <c r="B807" s="79"/>
      <c r="C807" s="79"/>
      <c r="D807" s="79"/>
      <c r="E807" s="79"/>
      <c r="F807" s="79"/>
      <c r="G807" s="79"/>
    </row>
    <row r="808" spans="2:7" ht="15.75" customHeight="1" x14ac:dyDescent="0.2">
      <c r="B808" s="79"/>
      <c r="C808" s="79"/>
      <c r="D808" s="79"/>
      <c r="E808" s="79"/>
      <c r="F808" s="79"/>
      <c r="G808" s="79"/>
    </row>
    <row r="809" spans="2:7" ht="15.75" customHeight="1" x14ac:dyDescent="0.2">
      <c r="B809" s="79"/>
      <c r="C809" s="79"/>
      <c r="D809" s="79"/>
      <c r="E809" s="79"/>
      <c r="F809" s="79"/>
      <c r="G809" s="79"/>
    </row>
    <row r="810" spans="2:7" ht="15.75" customHeight="1" x14ac:dyDescent="0.2">
      <c r="B810" s="79"/>
      <c r="C810" s="79"/>
      <c r="D810" s="79"/>
      <c r="E810" s="79"/>
      <c r="F810" s="79"/>
      <c r="G810" s="79"/>
    </row>
    <row r="811" spans="2:7" ht="15.75" customHeight="1" x14ac:dyDescent="0.2">
      <c r="B811" s="79"/>
      <c r="C811" s="79"/>
      <c r="D811" s="79"/>
      <c r="E811" s="79"/>
      <c r="F811" s="79"/>
      <c r="G811" s="79"/>
    </row>
    <row r="812" spans="2:7" ht="15.75" customHeight="1" x14ac:dyDescent="0.2">
      <c r="B812" s="79"/>
      <c r="C812" s="79"/>
      <c r="D812" s="79"/>
      <c r="E812" s="79"/>
      <c r="F812" s="79"/>
      <c r="G812" s="79"/>
    </row>
    <row r="813" spans="2:7" ht="15.75" customHeight="1" x14ac:dyDescent="0.2">
      <c r="B813" s="79"/>
      <c r="C813" s="79"/>
      <c r="D813" s="79"/>
      <c r="E813" s="79"/>
      <c r="F813" s="79"/>
      <c r="G813" s="79"/>
    </row>
    <row r="814" spans="2:7" ht="15.75" customHeight="1" x14ac:dyDescent="0.2">
      <c r="B814" s="79"/>
      <c r="C814" s="79"/>
      <c r="D814" s="79"/>
      <c r="E814" s="79"/>
      <c r="F814" s="79"/>
      <c r="G814" s="79"/>
    </row>
    <row r="815" spans="2:7" ht="15.75" customHeight="1" x14ac:dyDescent="0.2">
      <c r="B815" s="79"/>
      <c r="C815" s="79"/>
      <c r="D815" s="79"/>
      <c r="E815" s="79"/>
      <c r="F815" s="79"/>
      <c r="G815" s="79"/>
    </row>
    <row r="816" spans="2:7" ht="15.75" customHeight="1" x14ac:dyDescent="0.2">
      <c r="B816" s="79"/>
      <c r="C816" s="79"/>
      <c r="D816" s="79"/>
      <c r="E816" s="79"/>
      <c r="F816" s="79"/>
      <c r="G816" s="79"/>
    </row>
    <row r="817" spans="2:7" ht="15.75" customHeight="1" x14ac:dyDescent="0.2">
      <c r="B817" s="79"/>
      <c r="C817" s="79"/>
      <c r="D817" s="79"/>
      <c r="E817" s="79"/>
      <c r="F817" s="79"/>
      <c r="G817" s="79"/>
    </row>
    <row r="818" spans="2:7" ht="15.75" customHeight="1" x14ac:dyDescent="0.2">
      <c r="B818" s="79"/>
      <c r="C818" s="79"/>
      <c r="D818" s="79"/>
      <c r="E818" s="79"/>
      <c r="F818" s="79"/>
      <c r="G818" s="79"/>
    </row>
    <row r="819" spans="2:7" ht="15.75" customHeight="1" x14ac:dyDescent="0.2">
      <c r="B819" s="79"/>
      <c r="C819" s="79"/>
      <c r="D819" s="79"/>
      <c r="E819" s="79"/>
      <c r="F819" s="79"/>
      <c r="G819" s="79"/>
    </row>
    <row r="820" spans="2:7" ht="15.75" customHeight="1" x14ac:dyDescent="0.2">
      <c r="B820" s="79"/>
      <c r="C820" s="79"/>
      <c r="D820" s="79"/>
      <c r="E820" s="79"/>
      <c r="F820" s="79"/>
      <c r="G820" s="79"/>
    </row>
    <row r="821" spans="2:7" ht="15.75" customHeight="1" x14ac:dyDescent="0.2">
      <c r="B821" s="79"/>
      <c r="C821" s="79"/>
      <c r="D821" s="79"/>
      <c r="E821" s="79"/>
      <c r="F821" s="79"/>
      <c r="G821" s="79"/>
    </row>
    <row r="822" spans="2:7" ht="15.75" customHeight="1" x14ac:dyDescent="0.2">
      <c r="B822" s="79"/>
      <c r="C822" s="79"/>
      <c r="D822" s="79"/>
      <c r="E822" s="79"/>
      <c r="F822" s="79"/>
      <c r="G822" s="79"/>
    </row>
    <row r="823" spans="2:7" ht="15.75" customHeight="1" x14ac:dyDescent="0.2">
      <c r="B823" s="79"/>
      <c r="C823" s="79"/>
      <c r="D823" s="79"/>
      <c r="E823" s="79"/>
      <c r="F823" s="79"/>
      <c r="G823" s="79"/>
    </row>
    <row r="824" spans="2:7" ht="15.75" customHeight="1" x14ac:dyDescent="0.2">
      <c r="B824" s="79"/>
      <c r="C824" s="79"/>
      <c r="D824" s="79"/>
      <c r="E824" s="79"/>
      <c r="F824" s="79"/>
      <c r="G824" s="79"/>
    </row>
    <row r="825" spans="2:7" ht="15.75" customHeight="1" x14ac:dyDescent="0.2">
      <c r="B825" s="79"/>
      <c r="C825" s="79"/>
      <c r="D825" s="79"/>
      <c r="E825" s="79"/>
      <c r="F825" s="79"/>
      <c r="G825" s="79"/>
    </row>
    <row r="826" spans="2:7" ht="15.75" customHeight="1" x14ac:dyDescent="0.2">
      <c r="B826" s="79"/>
      <c r="C826" s="79"/>
      <c r="D826" s="79"/>
      <c r="E826" s="79"/>
      <c r="F826" s="79"/>
      <c r="G826" s="79"/>
    </row>
    <row r="827" spans="2:7" ht="15.75" customHeight="1" x14ac:dyDescent="0.2">
      <c r="B827" s="79"/>
      <c r="C827" s="79"/>
      <c r="D827" s="79"/>
      <c r="E827" s="79"/>
      <c r="F827" s="79"/>
      <c r="G827" s="79"/>
    </row>
    <row r="828" spans="2:7" ht="15.75" customHeight="1" x14ac:dyDescent="0.2">
      <c r="B828" s="79"/>
      <c r="C828" s="79"/>
      <c r="D828" s="79"/>
      <c r="E828" s="79"/>
      <c r="F828" s="79"/>
      <c r="G828" s="79"/>
    </row>
    <row r="829" spans="2:7" ht="15.75" customHeight="1" x14ac:dyDescent="0.2">
      <c r="B829" s="79"/>
      <c r="C829" s="79"/>
      <c r="D829" s="79"/>
      <c r="E829" s="79"/>
      <c r="F829" s="79"/>
      <c r="G829" s="79"/>
    </row>
    <row r="830" spans="2:7" ht="15.75" customHeight="1" x14ac:dyDescent="0.2">
      <c r="B830" s="79"/>
      <c r="C830" s="79"/>
      <c r="D830" s="79"/>
      <c r="E830" s="79"/>
      <c r="F830" s="79"/>
      <c r="G830" s="79"/>
    </row>
    <row r="831" spans="2:7" ht="15.75" customHeight="1" x14ac:dyDescent="0.2">
      <c r="B831" s="79"/>
      <c r="C831" s="79"/>
      <c r="D831" s="79"/>
      <c r="E831" s="79"/>
      <c r="F831" s="79"/>
      <c r="G831" s="79"/>
    </row>
    <row r="832" spans="2:7" ht="15.75" customHeight="1" x14ac:dyDescent="0.2">
      <c r="B832" s="79"/>
      <c r="C832" s="79"/>
      <c r="D832" s="79"/>
      <c r="E832" s="79"/>
      <c r="F832" s="79"/>
      <c r="G832" s="79"/>
    </row>
    <row r="833" spans="2:7" ht="15.75" customHeight="1" x14ac:dyDescent="0.2">
      <c r="B833" s="79"/>
      <c r="C833" s="79"/>
      <c r="D833" s="79"/>
      <c r="E833" s="79"/>
      <c r="F833" s="79"/>
      <c r="G833" s="79"/>
    </row>
    <row r="834" spans="2:7" ht="15.75" customHeight="1" x14ac:dyDescent="0.2">
      <c r="B834" s="79"/>
      <c r="C834" s="79"/>
      <c r="D834" s="79"/>
      <c r="E834" s="79"/>
      <c r="F834" s="79"/>
      <c r="G834" s="79"/>
    </row>
    <row r="835" spans="2:7" ht="15.75" customHeight="1" x14ac:dyDescent="0.2">
      <c r="B835" s="79"/>
      <c r="C835" s="79"/>
      <c r="D835" s="79"/>
      <c r="E835" s="79"/>
      <c r="F835" s="79"/>
      <c r="G835" s="79"/>
    </row>
    <row r="836" spans="2:7" ht="15.75" customHeight="1" x14ac:dyDescent="0.2">
      <c r="B836" s="79"/>
      <c r="C836" s="79"/>
      <c r="D836" s="79"/>
      <c r="E836" s="79"/>
      <c r="F836" s="79"/>
      <c r="G836" s="79"/>
    </row>
    <row r="837" spans="2:7" ht="15.75" customHeight="1" x14ac:dyDescent="0.2">
      <c r="B837" s="79"/>
      <c r="C837" s="79"/>
      <c r="D837" s="79"/>
      <c r="E837" s="79"/>
      <c r="F837" s="79"/>
      <c r="G837" s="79"/>
    </row>
    <row r="838" spans="2:7" ht="15.75" customHeight="1" x14ac:dyDescent="0.2">
      <c r="B838" s="79"/>
      <c r="C838" s="79"/>
      <c r="D838" s="79"/>
      <c r="E838" s="79"/>
      <c r="F838" s="79"/>
      <c r="G838" s="79"/>
    </row>
    <row r="839" spans="2:7" ht="15.75" customHeight="1" x14ac:dyDescent="0.2">
      <c r="B839" s="79"/>
      <c r="C839" s="79"/>
      <c r="D839" s="79"/>
      <c r="E839" s="79"/>
      <c r="F839" s="79"/>
      <c r="G839" s="79"/>
    </row>
    <row r="840" spans="2:7" ht="15.75" customHeight="1" x14ac:dyDescent="0.2">
      <c r="B840" s="79"/>
      <c r="C840" s="79"/>
      <c r="D840" s="79"/>
      <c r="E840" s="79"/>
      <c r="F840" s="79"/>
      <c r="G840" s="79"/>
    </row>
    <row r="841" spans="2:7" ht="15.75" customHeight="1" x14ac:dyDescent="0.2">
      <c r="B841" s="79"/>
      <c r="C841" s="79"/>
      <c r="D841" s="79"/>
      <c r="E841" s="79"/>
      <c r="F841" s="79"/>
      <c r="G841" s="79"/>
    </row>
    <row r="842" spans="2:7" ht="15.75" customHeight="1" x14ac:dyDescent="0.2">
      <c r="B842" s="79"/>
      <c r="C842" s="79"/>
      <c r="D842" s="79"/>
      <c r="E842" s="79"/>
      <c r="F842" s="79"/>
      <c r="G842" s="79"/>
    </row>
    <row r="843" spans="2:7" ht="15.75" customHeight="1" x14ac:dyDescent="0.2">
      <c r="B843" s="79"/>
      <c r="C843" s="79"/>
      <c r="D843" s="79"/>
      <c r="E843" s="79"/>
      <c r="F843" s="79"/>
      <c r="G843" s="79"/>
    </row>
    <row r="844" spans="2:7" ht="15.75" customHeight="1" x14ac:dyDescent="0.2">
      <c r="B844" s="79"/>
      <c r="C844" s="79"/>
      <c r="D844" s="79"/>
      <c r="E844" s="79"/>
      <c r="F844" s="79"/>
      <c r="G844" s="79"/>
    </row>
    <row r="845" spans="2:7" ht="15.75" customHeight="1" x14ac:dyDescent="0.2">
      <c r="B845" s="79"/>
      <c r="C845" s="79"/>
      <c r="D845" s="79"/>
      <c r="E845" s="79"/>
      <c r="F845" s="79"/>
      <c r="G845" s="79"/>
    </row>
    <row r="846" spans="2:7" ht="15.75" customHeight="1" x14ac:dyDescent="0.2">
      <c r="B846" s="79"/>
      <c r="C846" s="79"/>
      <c r="D846" s="79"/>
      <c r="E846" s="79"/>
      <c r="F846" s="79"/>
      <c r="G846" s="79"/>
    </row>
    <row r="847" spans="2:7" ht="15.75" customHeight="1" x14ac:dyDescent="0.2">
      <c r="B847" s="79"/>
      <c r="C847" s="79"/>
      <c r="D847" s="79"/>
      <c r="E847" s="79"/>
      <c r="F847" s="79"/>
      <c r="G847" s="79"/>
    </row>
    <row r="848" spans="2:7" ht="15.75" customHeight="1" x14ac:dyDescent="0.2">
      <c r="B848" s="79"/>
      <c r="C848" s="79"/>
      <c r="D848" s="79"/>
      <c r="E848" s="79"/>
      <c r="F848" s="79"/>
      <c r="G848" s="79"/>
    </row>
    <row r="849" spans="2:7" ht="15.75" customHeight="1" x14ac:dyDescent="0.2">
      <c r="B849" s="79"/>
      <c r="C849" s="79"/>
      <c r="D849" s="79"/>
      <c r="E849" s="79"/>
      <c r="F849" s="79"/>
      <c r="G849" s="79"/>
    </row>
    <row r="850" spans="2:7" ht="15.75" customHeight="1" x14ac:dyDescent="0.2">
      <c r="B850" s="79"/>
      <c r="C850" s="79"/>
      <c r="D850" s="79"/>
      <c r="E850" s="79"/>
      <c r="F850" s="79"/>
      <c r="G850" s="79"/>
    </row>
    <row r="851" spans="2:7" ht="15.75" customHeight="1" x14ac:dyDescent="0.2">
      <c r="B851" s="79"/>
      <c r="C851" s="79"/>
      <c r="D851" s="79"/>
      <c r="E851" s="79"/>
      <c r="F851" s="79"/>
      <c r="G851" s="79"/>
    </row>
    <row r="852" spans="2:7" ht="15.75" customHeight="1" x14ac:dyDescent="0.2">
      <c r="B852" s="79"/>
      <c r="C852" s="79"/>
      <c r="D852" s="79"/>
      <c r="E852" s="79"/>
      <c r="F852" s="79"/>
      <c r="G852" s="79"/>
    </row>
    <row r="853" spans="2:7" ht="15.75" customHeight="1" x14ac:dyDescent="0.2">
      <c r="B853" s="79"/>
      <c r="C853" s="79"/>
      <c r="D853" s="79"/>
      <c r="E853" s="79"/>
      <c r="F853" s="79"/>
      <c r="G853" s="79"/>
    </row>
    <row r="854" spans="2:7" ht="15.75" customHeight="1" x14ac:dyDescent="0.2">
      <c r="B854" s="79"/>
      <c r="C854" s="79"/>
      <c r="D854" s="79"/>
      <c r="E854" s="79"/>
      <c r="F854" s="79"/>
      <c r="G854" s="79"/>
    </row>
    <row r="855" spans="2:7" ht="15.75" customHeight="1" x14ac:dyDescent="0.2">
      <c r="B855" s="79"/>
      <c r="C855" s="79"/>
      <c r="D855" s="79"/>
      <c r="E855" s="79"/>
      <c r="F855" s="79"/>
      <c r="G855" s="79"/>
    </row>
    <row r="856" spans="2:7" ht="15.75" customHeight="1" x14ac:dyDescent="0.2">
      <c r="B856" s="79"/>
      <c r="C856" s="79"/>
      <c r="D856" s="79"/>
      <c r="E856" s="79"/>
      <c r="F856" s="79"/>
      <c r="G856" s="79"/>
    </row>
    <row r="857" spans="2:7" ht="15.75" customHeight="1" x14ac:dyDescent="0.2">
      <c r="B857" s="79"/>
      <c r="C857" s="79"/>
      <c r="D857" s="79"/>
      <c r="E857" s="79"/>
      <c r="F857" s="79"/>
      <c r="G857" s="79"/>
    </row>
    <row r="858" spans="2:7" ht="15.75" customHeight="1" x14ac:dyDescent="0.2">
      <c r="B858" s="79"/>
      <c r="C858" s="79"/>
      <c r="D858" s="79"/>
      <c r="E858" s="79"/>
      <c r="F858" s="79"/>
      <c r="G858" s="79"/>
    </row>
    <row r="859" spans="2:7" ht="15.75" customHeight="1" x14ac:dyDescent="0.2">
      <c r="B859" s="79"/>
      <c r="C859" s="79"/>
      <c r="D859" s="79"/>
      <c r="E859" s="79"/>
      <c r="F859" s="79"/>
      <c r="G859" s="79"/>
    </row>
    <row r="860" spans="2:7" ht="15.75" customHeight="1" x14ac:dyDescent="0.2">
      <c r="B860" s="79"/>
      <c r="C860" s="79"/>
      <c r="D860" s="79"/>
      <c r="E860" s="79"/>
      <c r="F860" s="79"/>
      <c r="G860" s="79"/>
    </row>
    <row r="861" spans="2:7" ht="15.75" customHeight="1" x14ac:dyDescent="0.2">
      <c r="B861" s="79"/>
      <c r="C861" s="79"/>
      <c r="D861" s="79"/>
      <c r="E861" s="79"/>
      <c r="F861" s="79"/>
      <c r="G861" s="79"/>
    </row>
    <row r="862" spans="2:7" ht="15.75" customHeight="1" x14ac:dyDescent="0.2">
      <c r="B862" s="79"/>
      <c r="C862" s="79"/>
      <c r="D862" s="79"/>
      <c r="E862" s="79"/>
      <c r="F862" s="79"/>
      <c r="G862" s="79"/>
    </row>
    <row r="863" spans="2:7" ht="15.75" customHeight="1" x14ac:dyDescent="0.2">
      <c r="B863" s="79"/>
      <c r="C863" s="79"/>
      <c r="D863" s="79"/>
      <c r="E863" s="79"/>
      <c r="F863" s="79"/>
      <c r="G863" s="79"/>
    </row>
    <row r="864" spans="2:7" ht="15.75" customHeight="1" x14ac:dyDescent="0.2">
      <c r="B864" s="79"/>
      <c r="C864" s="79"/>
      <c r="D864" s="79"/>
      <c r="E864" s="79"/>
      <c r="F864" s="79"/>
      <c r="G864" s="79"/>
    </row>
    <row r="865" spans="2:7" ht="15.75" customHeight="1" x14ac:dyDescent="0.2">
      <c r="B865" s="79"/>
      <c r="C865" s="79"/>
      <c r="D865" s="79"/>
      <c r="E865" s="79"/>
      <c r="F865" s="79"/>
      <c r="G865" s="79"/>
    </row>
    <row r="866" spans="2:7" ht="15.75" customHeight="1" x14ac:dyDescent="0.2">
      <c r="B866" s="79"/>
      <c r="C866" s="79"/>
      <c r="D866" s="79"/>
      <c r="E866" s="79"/>
      <c r="F866" s="79"/>
      <c r="G866" s="79"/>
    </row>
    <row r="867" spans="2:7" ht="15.75" customHeight="1" x14ac:dyDescent="0.2">
      <c r="B867" s="79"/>
      <c r="C867" s="79"/>
      <c r="D867" s="79"/>
      <c r="E867" s="79"/>
      <c r="F867" s="79"/>
      <c r="G867" s="79"/>
    </row>
    <row r="868" spans="2:7" ht="15.75" customHeight="1" x14ac:dyDescent="0.2">
      <c r="B868" s="79"/>
      <c r="C868" s="79"/>
      <c r="D868" s="79"/>
      <c r="E868" s="79"/>
      <c r="F868" s="79"/>
      <c r="G868" s="79"/>
    </row>
    <row r="869" spans="2:7" ht="15.75" customHeight="1" x14ac:dyDescent="0.2">
      <c r="B869" s="79"/>
      <c r="C869" s="79"/>
      <c r="D869" s="79"/>
      <c r="E869" s="79"/>
      <c r="F869" s="79"/>
      <c r="G869" s="79"/>
    </row>
    <row r="870" spans="2:7" ht="15.75" customHeight="1" x14ac:dyDescent="0.2">
      <c r="B870" s="79"/>
      <c r="C870" s="79"/>
      <c r="D870" s="79"/>
      <c r="E870" s="79"/>
      <c r="F870" s="79"/>
      <c r="G870" s="79"/>
    </row>
    <row r="871" spans="2:7" ht="15.75" customHeight="1" x14ac:dyDescent="0.2">
      <c r="B871" s="79"/>
      <c r="C871" s="79"/>
      <c r="D871" s="79"/>
      <c r="E871" s="79"/>
      <c r="F871" s="79"/>
      <c r="G871" s="79"/>
    </row>
    <row r="872" spans="2:7" ht="15.75" customHeight="1" x14ac:dyDescent="0.2">
      <c r="B872" s="79"/>
      <c r="C872" s="79"/>
      <c r="D872" s="79"/>
      <c r="E872" s="79"/>
      <c r="F872" s="79"/>
      <c r="G872" s="79"/>
    </row>
    <row r="873" spans="2:7" ht="15.75" customHeight="1" x14ac:dyDescent="0.2">
      <c r="B873" s="79"/>
      <c r="C873" s="79"/>
      <c r="D873" s="79"/>
      <c r="E873" s="79"/>
      <c r="F873" s="79"/>
      <c r="G873" s="79"/>
    </row>
    <row r="874" spans="2:7" ht="15.75" customHeight="1" x14ac:dyDescent="0.2">
      <c r="B874" s="79"/>
      <c r="C874" s="79"/>
      <c r="D874" s="79"/>
      <c r="E874" s="79"/>
      <c r="F874" s="79"/>
      <c r="G874" s="79"/>
    </row>
    <row r="875" spans="2:7" ht="15.75" customHeight="1" x14ac:dyDescent="0.2">
      <c r="B875" s="79"/>
      <c r="C875" s="79"/>
      <c r="D875" s="79"/>
      <c r="E875" s="79"/>
      <c r="F875" s="79"/>
      <c r="G875" s="79"/>
    </row>
    <row r="876" spans="2:7" ht="15.75" customHeight="1" x14ac:dyDescent="0.2">
      <c r="B876" s="79"/>
      <c r="C876" s="79"/>
      <c r="D876" s="79"/>
      <c r="E876" s="79"/>
      <c r="F876" s="79"/>
      <c r="G876" s="79"/>
    </row>
    <row r="877" spans="2:7" ht="15.75" customHeight="1" x14ac:dyDescent="0.2">
      <c r="B877" s="79"/>
      <c r="C877" s="79"/>
      <c r="D877" s="79"/>
      <c r="E877" s="79"/>
      <c r="F877" s="79"/>
      <c r="G877" s="79"/>
    </row>
    <row r="878" spans="2:7" ht="15.75" customHeight="1" x14ac:dyDescent="0.2">
      <c r="B878" s="79"/>
      <c r="C878" s="79"/>
      <c r="D878" s="79"/>
      <c r="E878" s="79"/>
      <c r="F878" s="79"/>
      <c r="G878" s="79"/>
    </row>
    <row r="879" spans="2:7" ht="15.75" customHeight="1" x14ac:dyDescent="0.2">
      <c r="B879" s="79"/>
      <c r="C879" s="79"/>
      <c r="D879" s="79"/>
      <c r="E879" s="79"/>
      <c r="F879" s="79"/>
      <c r="G879" s="79"/>
    </row>
    <row r="880" spans="2:7" ht="15.75" customHeight="1" x14ac:dyDescent="0.2">
      <c r="B880" s="79"/>
      <c r="C880" s="79"/>
      <c r="D880" s="79"/>
      <c r="E880" s="79"/>
      <c r="F880" s="79"/>
      <c r="G880" s="79"/>
    </row>
    <row r="881" spans="2:7" ht="15.75" customHeight="1" x14ac:dyDescent="0.2">
      <c r="B881" s="79"/>
      <c r="C881" s="79"/>
      <c r="D881" s="79"/>
      <c r="E881" s="79"/>
      <c r="F881" s="79"/>
      <c r="G881" s="79"/>
    </row>
    <row r="882" spans="2:7" ht="15.75" customHeight="1" x14ac:dyDescent="0.2">
      <c r="B882" s="79"/>
      <c r="C882" s="79"/>
      <c r="D882" s="79"/>
      <c r="E882" s="79"/>
      <c r="F882" s="79"/>
      <c r="G882" s="79"/>
    </row>
    <row r="883" spans="2:7" ht="15.75" customHeight="1" x14ac:dyDescent="0.2">
      <c r="B883" s="79"/>
      <c r="C883" s="79"/>
      <c r="D883" s="79"/>
      <c r="E883" s="79"/>
      <c r="F883" s="79"/>
      <c r="G883" s="79"/>
    </row>
    <row r="884" spans="2:7" ht="15.75" customHeight="1" x14ac:dyDescent="0.2">
      <c r="B884" s="79"/>
      <c r="C884" s="79"/>
      <c r="D884" s="79"/>
      <c r="E884" s="79"/>
      <c r="F884" s="79"/>
      <c r="G884" s="79"/>
    </row>
    <row r="885" spans="2:7" ht="15.75" customHeight="1" x14ac:dyDescent="0.2">
      <c r="B885" s="79"/>
      <c r="C885" s="79"/>
      <c r="D885" s="79"/>
      <c r="E885" s="79"/>
      <c r="F885" s="79"/>
      <c r="G885" s="79"/>
    </row>
    <row r="886" spans="2:7" ht="15.75" customHeight="1" x14ac:dyDescent="0.2">
      <c r="B886" s="79"/>
      <c r="C886" s="79"/>
      <c r="D886" s="79"/>
      <c r="E886" s="79"/>
      <c r="F886" s="79"/>
      <c r="G886" s="79"/>
    </row>
    <row r="887" spans="2:7" ht="15.75" customHeight="1" x14ac:dyDescent="0.2">
      <c r="B887" s="79"/>
      <c r="C887" s="79"/>
      <c r="D887" s="79"/>
      <c r="E887" s="79"/>
      <c r="F887" s="79"/>
      <c r="G887" s="79"/>
    </row>
    <row r="888" spans="2:7" ht="15.75" customHeight="1" x14ac:dyDescent="0.2">
      <c r="B888" s="79"/>
      <c r="C888" s="79"/>
      <c r="D888" s="79"/>
      <c r="E888" s="79"/>
      <c r="F888" s="79"/>
      <c r="G888" s="79"/>
    </row>
    <row r="889" spans="2:7" ht="15.75" customHeight="1" x14ac:dyDescent="0.2">
      <c r="B889" s="79"/>
      <c r="C889" s="79"/>
      <c r="D889" s="79"/>
      <c r="E889" s="79"/>
      <c r="F889" s="79"/>
      <c r="G889" s="79"/>
    </row>
    <row r="890" spans="2:7" ht="15.75" customHeight="1" x14ac:dyDescent="0.2">
      <c r="B890" s="79"/>
      <c r="C890" s="79"/>
      <c r="D890" s="79"/>
      <c r="E890" s="79"/>
      <c r="F890" s="79"/>
      <c r="G890" s="79"/>
    </row>
    <row r="891" spans="2:7" ht="15.75" customHeight="1" x14ac:dyDescent="0.2">
      <c r="B891" s="79"/>
      <c r="C891" s="79"/>
      <c r="D891" s="79"/>
      <c r="E891" s="79"/>
      <c r="F891" s="79"/>
      <c r="G891" s="79"/>
    </row>
    <row r="892" spans="2:7" ht="15.75" customHeight="1" x14ac:dyDescent="0.2">
      <c r="B892" s="79"/>
      <c r="C892" s="79"/>
      <c r="D892" s="79"/>
      <c r="E892" s="79"/>
      <c r="F892" s="79"/>
      <c r="G892" s="79"/>
    </row>
    <row r="893" spans="2:7" ht="15.75" customHeight="1" x14ac:dyDescent="0.2">
      <c r="B893" s="79"/>
      <c r="C893" s="79"/>
      <c r="D893" s="79"/>
      <c r="E893" s="79"/>
      <c r="F893" s="79"/>
      <c r="G893" s="79"/>
    </row>
    <row r="894" spans="2:7" ht="15.75" customHeight="1" x14ac:dyDescent="0.2">
      <c r="B894" s="79"/>
      <c r="C894" s="79"/>
      <c r="D894" s="79"/>
      <c r="E894" s="79"/>
      <c r="F894" s="79"/>
      <c r="G894" s="79"/>
    </row>
    <row r="895" spans="2:7" ht="15.75" customHeight="1" x14ac:dyDescent="0.2">
      <c r="B895" s="79"/>
      <c r="C895" s="79"/>
      <c r="D895" s="79"/>
      <c r="E895" s="79"/>
      <c r="F895" s="79"/>
      <c r="G895" s="79"/>
    </row>
    <row r="896" spans="2:7" ht="15.75" customHeight="1" x14ac:dyDescent="0.2">
      <c r="B896" s="79"/>
      <c r="C896" s="79"/>
      <c r="D896" s="79"/>
      <c r="E896" s="79"/>
      <c r="F896" s="79"/>
      <c r="G896" s="79"/>
    </row>
    <row r="897" spans="2:7" ht="15.75" customHeight="1" x14ac:dyDescent="0.2">
      <c r="B897" s="79"/>
      <c r="C897" s="79"/>
      <c r="D897" s="79"/>
      <c r="E897" s="79"/>
      <c r="F897" s="79"/>
      <c r="G897" s="79"/>
    </row>
    <row r="898" spans="2:7" ht="15.75" customHeight="1" x14ac:dyDescent="0.2">
      <c r="B898" s="79"/>
      <c r="C898" s="79"/>
      <c r="D898" s="79"/>
      <c r="E898" s="79"/>
      <c r="F898" s="79"/>
      <c r="G898" s="79"/>
    </row>
    <row r="899" spans="2:7" ht="15.75" customHeight="1" x14ac:dyDescent="0.2">
      <c r="B899" s="79"/>
      <c r="C899" s="79"/>
      <c r="D899" s="79"/>
      <c r="E899" s="79"/>
      <c r="F899" s="79"/>
      <c r="G899" s="79"/>
    </row>
    <row r="900" spans="2:7" ht="15.75" customHeight="1" x14ac:dyDescent="0.2">
      <c r="B900" s="79"/>
      <c r="C900" s="79"/>
      <c r="D900" s="79"/>
      <c r="E900" s="79"/>
      <c r="F900" s="79"/>
      <c r="G900" s="79"/>
    </row>
    <row r="901" spans="2:7" ht="15.75" customHeight="1" x14ac:dyDescent="0.2">
      <c r="B901" s="79"/>
      <c r="C901" s="79"/>
      <c r="D901" s="79"/>
      <c r="E901" s="79"/>
      <c r="F901" s="79"/>
      <c r="G901" s="79"/>
    </row>
    <row r="902" spans="2:7" ht="15.75" customHeight="1" x14ac:dyDescent="0.2">
      <c r="B902" s="79"/>
      <c r="C902" s="79"/>
      <c r="D902" s="79"/>
      <c r="E902" s="79"/>
      <c r="F902" s="79"/>
      <c r="G902" s="79"/>
    </row>
    <row r="903" spans="2:7" ht="15.75" customHeight="1" x14ac:dyDescent="0.2">
      <c r="B903" s="79"/>
      <c r="C903" s="79"/>
      <c r="D903" s="79"/>
      <c r="E903" s="79"/>
      <c r="F903" s="79"/>
      <c r="G903" s="79"/>
    </row>
    <row r="904" spans="2:7" ht="15.75" customHeight="1" x14ac:dyDescent="0.2">
      <c r="B904" s="79"/>
      <c r="C904" s="79"/>
      <c r="D904" s="79"/>
      <c r="E904" s="79"/>
      <c r="F904" s="79"/>
      <c r="G904" s="79"/>
    </row>
    <row r="905" spans="2:7" ht="15.75" customHeight="1" x14ac:dyDescent="0.2">
      <c r="B905" s="79"/>
      <c r="C905" s="79"/>
      <c r="D905" s="79"/>
      <c r="E905" s="79"/>
      <c r="F905" s="79"/>
      <c r="G905" s="79"/>
    </row>
    <row r="906" spans="2:7" ht="15.75" customHeight="1" x14ac:dyDescent="0.2">
      <c r="B906" s="79"/>
      <c r="C906" s="79"/>
      <c r="D906" s="79"/>
      <c r="E906" s="79"/>
      <c r="F906" s="79"/>
      <c r="G906" s="79"/>
    </row>
    <row r="907" spans="2:7" ht="15.75" customHeight="1" x14ac:dyDescent="0.2">
      <c r="B907" s="79"/>
      <c r="C907" s="79"/>
      <c r="D907" s="79"/>
      <c r="E907" s="79"/>
      <c r="F907" s="79"/>
      <c r="G907" s="79"/>
    </row>
    <row r="908" spans="2:7" ht="15.75" customHeight="1" x14ac:dyDescent="0.2">
      <c r="B908" s="79"/>
      <c r="C908" s="79"/>
      <c r="D908" s="79"/>
      <c r="E908" s="79"/>
      <c r="F908" s="79"/>
      <c r="G908" s="79"/>
    </row>
    <row r="909" spans="2:7" ht="15.75" customHeight="1" x14ac:dyDescent="0.2">
      <c r="B909" s="79"/>
      <c r="C909" s="79"/>
      <c r="D909" s="79"/>
      <c r="E909" s="79"/>
      <c r="F909" s="79"/>
      <c r="G909" s="79"/>
    </row>
    <row r="910" spans="2:7" ht="15.75" customHeight="1" x14ac:dyDescent="0.2">
      <c r="B910" s="79"/>
      <c r="C910" s="79"/>
      <c r="D910" s="79"/>
      <c r="E910" s="79"/>
      <c r="F910" s="79"/>
      <c r="G910" s="79"/>
    </row>
    <row r="911" spans="2:7" ht="15.75" customHeight="1" x14ac:dyDescent="0.2">
      <c r="B911" s="79"/>
      <c r="C911" s="79"/>
      <c r="D911" s="79"/>
      <c r="E911" s="79"/>
      <c r="F911" s="79"/>
      <c r="G911" s="79"/>
    </row>
    <row r="912" spans="2:7" ht="15.75" customHeight="1" x14ac:dyDescent="0.2">
      <c r="B912" s="79"/>
      <c r="C912" s="79"/>
      <c r="D912" s="79"/>
      <c r="E912" s="79"/>
      <c r="F912" s="79"/>
      <c r="G912" s="79"/>
    </row>
    <row r="913" spans="2:7" ht="15.75" customHeight="1" x14ac:dyDescent="0.2">
      <c r="B913" s="79"/>
      <c r="C913" s="79"/>
      <c r="D913" s="79"/>
      <c r="E913" s="79"/>
      <c r="F913" s="79"/>
      <c r="G913" s="79"/>
    </row>
    <row r="914" spans="2:7" ht="15.75" customHeight="1" x14ac:dyDescent="0.2">
      <c r="B914" s="79"/>
      <c r="C914" s="79"/>
      <c r="D914" s="79"/>
      <c r="E914" s="79"/>
      <c r="F914" s="79"/>
      <c r="G914" s="79"/>
    </row>
    <row r="915" spans="2:7" ht="15.75" customHeight="1" x14ac:dyDescent="0.2">
      <c r="B915" s="79"/>
      <c r="C915" s="79"/>
      <c r="D915" s="79"/>
      <c r="E915" s="79"/>
      <c r="F915" s="79"/>
      <c r="G915" s="79"/>
    </row>
    <row r="916" spans="2:7" ht="15.75" customHeight="1" x14ac:dyDescent="0.2">
      <c r="B916" s="79"/>
      <c r="C916" s="79"/>
      <c r="D916" s="79"/>
      <c r="E916" s="79"/>
      <c r="F916" s="79"/>
      <c r="G916" s="79"/>
    </row>
    <row r="917" spans="2:7" ht="15.75" customHeight="1" x14ac:dyDescent="0.2">
      <c r="B917" s="79"/>
      <c r="C917" s="79"/>
      <c r="D917" s="79"/>
      <c r="E917" s="79"/>
      <c r="F917" s="79"/>
      <c r="G917" s="79"/>
    </row>
    <row r="918" spans="2:7" ht="15.75" customHeight="1" x14ac:dyDescent="0.2">
      <c r="B918" s="79"/>
      <c r="C918" s="79"/>
      <c r="D918" s="79"/>
      <c r="E918" s="79"/>
      <c r="F918" s="79"/>
      <c r="G918" s="79"/>
    </row>
    <row r="919" spans="2:7" ht="15.75" customHeight="1" x14ac:dyDescent="0.2">
      <c r="B919" s="79"/>
      <c r="C919" s="79"/>
      <c r="D919" s="79"/>
      <c r="E919" s="79"/>
      <c r="F919" s="79"/>
      <c r="G919" s="79"/>
    </row>
    <row r="920" spans="2:7" ht="15.75" customHeight="1" x14ac:dyDescent="0.2">
      <c r="B920" s="79"/>
      <c r="C920" s="79"/>
      <c r="D920" s="79"/>
      <c r="E920" s="79"/>
      <c r="F920" s="79"/>
      <c r="G920" s="79"/>
    </row>
    <row r="921" spans="2:7" ht="15.75" customHeight="1" x14ac:dyDescent="0.2">
      <c r="B921" s="79"/>
      <c r="C921" s="79"/>
      <c r="D921" s="79"/>
      <c r="E921" s="79"/>
      <c r="F921" s="79"/>
      <c r="G921" s="79"/>
    </row>
    <row r="922" spans="2:7" ht="15.75" customHeight="1" x14ac:dyDescent="0.2">
      <c r="B922" s="79"/>
      <c r="C922" s="79"/>
      <c r="D922" s="79"/>
      <c r="E922" s="79"/>
      <c r="F922" s="79"/>
      <c r="G922" s="79"/>
    </row>
    <row r="923" spans="2:7" ht="15.75" customHeight="1" x14ac:dyDescent="0.2">
      <c r="B923" s="79"/>
      <c r="C923" s="79"/>
      <c r="D923" s="79"/>
      <c r="E923" s="79"/>
      <c r="F923" s="79"/>
      <c r="G923" s="79"/>
    </row>
    <row r="924" spans="2:7" ht="15.75" customHeight="1" x14ac:dyDescent="0.2">
      <c r="B924" s="79"/>
      <c r="C924" s="79"/>
      <c r="D924" s="79"/>
      <c r="E924" s="79"/>
      <c r="F924" s="79"/>
      <c r="G924" s="79"/>
    </row>
    <row r="925" spans="2:7" ht="15.75" customHeight="1" x14ac:dyDescent="0.2">
      <c r="B925" s="79"/>
      <c r="C925" s="79"/>
      <c r="D925" s="79"/>
      <c r="E925" s="79"/>
      <c r="F925" s="79"/>
      <c r="G925" s="79"/>
    </row>
    <row r="926" spans="2:7" ht="15.75" customHeight="1" x14ac:dyDescent="0.2">
      <c r="B926" s="79"/>
      <c r="C926" s="79"/>
      <c r="D926" s="79"/>
      <c r="E926" s="79"/>
      <c r="F926" s="79"/>
      <c r="G926" s="79"/>
    </row>
    <row r="927" spans="2:7" ht="15.75" customHeight="1" x14ac:dyDescent="0.2">
      <c r="B927" s="79"/>
      <c r="C927" s="79"/>
      <c r="D927" s="79"/>
      <c r="E927" s="79"/>
      <c r="F927" s="79"/>
      <c r="G927" s="79"/>
    </row>
    <row r="928" spans="2:7" ht="15.75" customHeight="1" x14ac:dyDescent="0.2">
      <c r="B928" s="79"/>
      <c r="C928" s="79"/>
      <c r="D928" s="79"/>
      <c r="E928" s="79"/>
      <c r="F928" s="79"/>
      <c r="G928" s="79"/>
    </row>
    <row r="929" spans="2:7" ht="15.75" customHeight="1" x14ac:dyDescent="0.2">
      <c r="B929" s="79"/>
      <c r="C929" s="79"/>
      <c r="D929" s="79"/>
      <c r="E929" s="79"/>
      <c r="F929" s="79"/>
      <c r="G929" s="79"/>
    </row>
    <row r="930" spans="2:7" ht="15.75" customHeight="1" x14ac:dyDescent="0.2">
      <c r="B930" s="79"/>
      <c r="C930" s="79"/>
      <c r="D930" s="79"/>
      <c r="E930" s="79"/>
      <c r="F930" s="79"/>
      <c r="G930" s="79"/>
    </row>
    <row r="931" spans="2:7" ht="15.75" customHeight="1" x14ac:dyDescent="0.2">
      <c r="B931" s="79"/>
      <c r="C931" s="79"/>
      <c r="D931" s="79"/>
      <c r="E931" s="79"/>
      <c r="F931" s="79"/>
      <c r="G931" s="79"/>
    </row>
    <row r="932" spans="2:7" ht="15.75" customHeight="1" x14ac:dyDescent="0.2">
      <c r="B932" s="79"/>
      <c r="C932" s="79"/>
      <c r="D932" s="79"/>
      <c r="E932" s="79"/>
      <c r="F932" s="79"/>
      <c r="G932" s="79"/>
    </row>
    <row r="933" spans="2:7" ht="15.75" customHeight="1" x14ac:dyDescent="0.2">
      <c r="B933" s="79"/>
      <c r="C933" s="79"/>
      <c r="D933" s="79"/>
      <c r="E933" s="79"/>
      <c r="F933" s="79"/>
      <c r="G933" s="79"/>
    </row>
    <row r="934" spans="2:7" ht="15.75" customHeight="1" x14ac:dyDescent="0.2">
      <c r="B934" s="79"/>
      <c r="C934" s="79"/>
      <c r="D934" s="79"/>
      <c r="E934" s="79"/>
      <c r="F934" s="79"/>
      <c r="G934" s="79"/>
    </row>
    <row r="935" spans="2:7" ht="15.75" customHeight="1" x14ac:dyDescent="0.2">
      <c r="B935" s="79"/>
      <c r="C935" s="79"/>
      <c r="D935" s="79"/>
      <c r="E935" s="79"/>
      <c r="F935" s="79"/>
      <c r="G935" s="79"/>
    </row>
    <row r="936" spans="2:7" ht="15.75" customHeight="1" x14ac:dyDescent="0.2">
      <c r="B936" s="79"/>
      <c r="C936" s="79"/>
      <c r="D936" s="79"/>
      <c r="E936" s="79"/>
      <c r="F936" s="79"/>
      <c r="G936" s="79"/>
    </row>
    <row r="937" spans="2:7" ht="15.75" customHeight="1" x14ac:dyDescent="0.2">
      <c r="B937" s="79"/>
      <c r="C937" s="79"/>
      <c r="D937" s="79"/>
      <c r="E937" s="79"/>
      <c r="F937" s="79"/>
      <c r="G937" s="79"/>
    </row>
    <row r="938" spans="2:7" ht="15.75" customHeight="1" x14ac:dyDescent="0.2">
      <c r="B938" s="79"/>
      <c r="C938" s="79"/>
      <c r="D938" s="79"/>
      <c r="E938" s="79"/>
      <c r="F938" s="79"/>
      <c r="G938" s="79"/>
    </row>
    <row r="939" spans="2:7" ht="15.75" customHeight="1" x14ac:dyDescent="0.2">
      <c r="B939" s="79"/>
      <c r="C939" s="79"/>
      <c r="D939" s="79"/>
      <c r="E939" s="79"/>
      <c r="F939" s="79"/>
      <c r="G939" s="79"/>
    </row>
    <row r="940" spans="2:7" ht="15.75" customHeight="1" x14ac:dyDescent="0.2">
      <c r="B940" s="79"/>
      <c r="C940" s="79"/>
      <c r="D940" s="79"/>
      <c r="E940" s="79"/>
      <c r="F940" s="79"/>
      <c r="G940" s="79"/>
    </row>
    <row r="941" spans="2:7" ht="15.75" customHeight="1" x14ac:dyDescent="0.2">
      <c r="B941" s="79"/>
      <c r="C941" s="79"/>
      <c r="D941" s="79"/>
      <c r="E941" s="79"/>
      <c r="F941" s="79"/>
      <c r="G941" s="79"/>
    </row>
    <row r="942" spans="2:7" ht="15.75" customHeight="1" x14ac:dyDescent="0.2">
      <c r="B942" s="79"/>
      <c r="C942" s="79"/>
      <c r="D942" s="79"/>
      <c r="E942" s="79"/>
      <c r="F942" s="79"/>
      <c r="G942" s="79"/>
    </row>
    <row r="943" spans="2:7" ht="15.75" customHeight="1" x14ac:dyDescent="0.2">
      <c r="B943" s="79"/>
      <c r="C943" s="79"/>
      <c r="D943" s="79"/>
      <c r="E943" s="79"/>
      <c r="F943" s="79"/>
      <c r="G943" s="79"/>
    </row>
    <row r="944" spans="2:7" ht="15.75" customHeight="1" x14ac:dyDescent="0.2">
      <c r="B944" s="79"/>
      <c r="C944" s="79"/>
      <c r="D944" s="79"/>
      <c r="E944" s="79"/>
      <c r="F944" s="79"/>
      <c r="G944" s="79"/>
    </row>
    <row r="945" spans="2:7" ht="15.75" customHeight="1" x14ac:dyDescent="0.2">
      <c r="B945" s="79"/>
      <c r="C945" s="79"/>
      <c r="D945" s="79"/>
      <c r="E945" s="79"/>
      <c r="F945" s="79"/>
      <c r="G945" s="79"/>
    </row>
    <row r="946" spans="2:7" ht="15.75" customHeight="1" x14ac:dyDescent="0.2">
      <c r="B946" s="79"/>
      <c r="C946" s="79"/>
      <c r="D946" s="79"/>
      <c r="E946" s="79"/>
      <c r="F946" s="79"/>
      <c r="G946" s="79"/>
    </row>
    <row r="947" spans="2:7" ht="15.75" customHeight="1" x14ac:dyDescent="0.2">
      <c r="B947" s="79"/>
      <c r="C947" s="79"/>
      <c r="D947" s="79"/>
      <c r="E947" s="79"/>
      <c r="F947" s="79"/>
      <c r="G947" s="79"/>
    </row>
    <row r="948" spans="2:7" ht="15.75" customHeight="1" x14ac:dyDescent="0.2">
      <c r="B948" s="79"/>
      <c r="C948" s="79"/>
      <c r="D948" s="79"/>
      <c r="E948" s="79"/>
      <c r="F948" s="79"/>
      <c r="G948" s="79"/>
    </row>
    <row r="949" spans="2:7" ht="15.75" customHeight="1" x14ac:dyDescent="0.2">
      <c r="B949" s="79"/>
      <c r="C949" s="79"/>
      <c r="D949" s="79"/>
      <c r="E949" s="79"/>
      <c r="F949" s="79"/>
      <c r="G949" s="79"/>
    </row>
    <row r="950" spans="2:7" ht="15.75" customHeight="1" x14ac:dyDescent="0.2">
      <c r="B950" s="79"/>
      <c r="C950" s="79"/>
      <c r="D950" s="79"/>
      <c r="E950" s="79"/>
      <c r="F950" s="79"/>
      <c r="G950" s="79"/>
    </row>
    <row r="951" spans="2:7" ht="15.75" customHeight="1" x14ac:dyDescent="0.2">
      <c r="B951" s="79"/>
      <c r="C951" s="79"/>
      <c r="D951" s="79"/>
      <c r="E951" s="79"/>
      <c r="F951" s="79"/>
      <c r="G951" s="79"/>
    </row>
    <row r="952" spans="2:7" ht="15.75" customHeight="1" x14ac:dyDescent="0.2">
      <c r="B952" s="79"/>
      <c r="C952" s="79"/>
      <c r="D952" s="79"/>
      <c r="E952" s="79"/>
      <c r="F952" s="79"/>
      <c r="G952" s="79"/>
    </row>
    <row r="953" spans="2:7" ht="15.75" customHeight="1" x14ac:dyDescent="0.2">
      <c r="B953" s="79"/>
      <c r="C953" s="79"/>
      <c r="D953" s="79"/>
      <c r="E953" s="79"/>
      <c r="F953" s="79"/>
      <c r="G953" s="79"/>
    </row>
    <row r="954" spans="2:7" ht="15.75" customHeight="1" x14ac:dyDescent="0.2">
      <c r="B954" s="79"/>
      <c r="C954" s="79"/>
      <c r="D954" s="79"/>
      <c r="E954" s="79"/>
      <c r="F954" s="79"/>
      <c r="G954" s="79"/>
    </row>
    <row r="955" spans="2:7" ht="15.75" customHeight="1" x14ac:dyDescent="0.2">
      <c r="B955" s="79"/>
      <c r="C955" s="79"/>
      <c r="D955" s="79"/>
      <c r="E955" s="79"/>
      <c r="F955" s="79"/>
      <c r="G955" s="79"/>
    </row>
    <row r="956" spans="2:7" ht="15.75" customHeight="1" x14ac:dyDescent="0.2">
      <c r="B956" s="79"/>
      <c r="C956" s="79"/>
      <c r="D956" s="79"/>
      <c r="E956" s="79"/>
      <c r="F956" s="79"/>
      <c r="G956" s="79"/>
    </row>
    <row r="957" spans="2:7" ht="15.75" customHeight="1" x14ac:dyDescent="0.2">
      <c r="B957" s="79"/>
      <c r="C957" s="79"/>
      <c r="D957" s="79"/>
      <c r="E957" s="79"/>
      <c r="F957" s="79"/>
      <c r="G957" s="79"/>
    </row>
    <row r="958" spans="2:7" ht="15.75" customHeight="1" x14ac:dyDescent="0.2">
      <c r="B958" s="79"/>
      <c r="C958" s="79"/>
      <c r="D958" s="79"/>
      <c r="E958" s="79"/>
      <c r="F958" s="79"/>
      <c r="G958" s="79"/>
    </row>
    <row r="959" spans="2:7" ht="15.75" customHeight="1" x14ac:dyDescent="0.2">
      <c r="B959" s="79"/>
      <c r="C959" s="79"/>
      <c r="D959" s="79"/>
      <c r="E959" s="79"/>
      <c r="F959" s="79"/>
      <c r="G959" s="79"/>
    </row>
    <row r="960" spans="2:7" ht="15.75" customHeight="1" x14ac:dyDescent="0.2">
      <c r="B960" s="79"/>
      <c r="C960" s="79"/>
      <c r="D960" s="79"/>
      <c r="E960" s="79"/>
      <c r="F960" s="79"/>
      <c r="G960" s="79"/>
    </row>
    <row r="961" spans="2:7" ht="15.75" customHeight="1" x14ac:dyDescent="0.2">
      <c r="B961" s="79"/>
      <c r="C961" s="79"/>
      <c r="D961" s="79"/>
      <c r="E961" s="79"/>
      <c r="F961" s="79"/>
      <c r="G961" s="79"/>
    </row>
    <row r="962" spans="2:7" ht="15.75" customHeight="1" x14ac:dyDescent="0.2">
      <c r="B962" s="79"/>
      <c r="C962" s="79"/>
      <c r="D962" s="79"/>
      <c r="E962" s="79"/>
      <c r="F962" s="79"/>
      <c r="G962" s="79"/>
    </row>
    <row r="963" spans="2:7" ht="15.75" customHeight="1" x14ac:dyDescent="0.2">
      <c r="B963" s="79"/>
      <c r="C963" s="79"/>
      <c r="D963" s="79"/>
      <c r="E963" s="79"/>
      <c r="F963" s="79"/>
      <c r="G963" s="79"/>
    </row>
    <row r="964" spans="2:7" ht="15.75" customHeight="1" x14ac:dyDescent="0.2">
      <c r="B964" s="79"/>
      <c r="C964" s="79"/>
      <c r="D964" s="79"/>
      <c r="E964" s="79"/>
      <c r="F964" s="79"/>
      <c r="G964" s="79"/>
    </row>
    <row r="965" spans="2:7" ht="15.75" customHeight="1" x14ac:dyDescent="0.2">
      <c r="B965" s="79"/>
      <c r="C965" s="79"/>
      <c r="D965" s="79"/>
      <c r="E965" s="79"/>
      <c r="F965" s="79"/>
      <c r="G965" s="79"/>
    </row>
    <row r="966" spans="2:7" ht="15.75" customHeight="1" x14ac:dyDescent="0.2">
      <c r="B966" s="79"/>
      <c r="C966" s="79"/>
      <c r="D966" s="79"/>
      <c r="E966" s="79"/>
      <c r="F966" s="79"/>
      <c r="G966" s="79"/>
    </row>
    <row r="967" spans="2:7" ht="15.75" customHeight="1" x14ac:dyDescent="0.2">
      <c r="B967" s="79"/>
      <c r="C967" s="79"/>
      <c r="D967" s="79"/>
      <c r="E967" s="79"/>
      <c r="F967" s="79"/>
      <c r="G967" s="79"/>
    </row>
    <row r="968" spans="2:7" ht="15.75" customHeight="1" x14ac:dyDescent="0.2">
      <c r="B968" s="79"/>
      <c r="C968" s="79"/>
      <c r="D968" s="79"/>
      <c r="E968" s="79"/>
      <c r="F968" s="79"/>
      <c r="G968" s="79"/>
    </row>
    <row r="969" spans="2:7" ht="15.75" customHeight="1" x14ac:dyDescent="0.2">
      <c r="B969" s="79"/>
      <c r="C969" s="79"/>
      <c r="D969" s="79"/>
      <c r="E969" s="79"/>
      <c r="F969" s="79"/>
      <c r="G969" s="79"/>
    </row>
    <row r="970" spans="2:7" ht="15.75" customHeight="1" x14ac:dyDescent="0.2">
      <c r="B970" s="79"/>
      <c r="C970" s="79"/>
      <c r="D970" s="79"/>
      <c r="E970" s="79"/>
      <c r="F970" s="79"/>
      <c r="G970" s="79"/>
    </row>
    <row r="971" spans="2:7" ht="15.75" customHeight="1" x14ac:dyDescent="0.2">
      <c r="B971" s="79"/>
      <c r="C971" s="79"/>
      <c r="D971" s="79"/>
      <c r="E971" s="79"/>
      <c r="F971" s="79"/>
      <c r="G971" s="79"/>
    </row>
    <row r="972" spans="2:7" ht="15.75" customHeight="1" x14ac:dyDescent="0.2">
      <c r="B972" s="79"/>
      <c r="C972" s="79"/>
      <c r="D972" s="79"/>
      <c r="E972" s="79"/>
      <c r="F972" s="79"/>
      <c r="G972" s="79"/>
    </row>
    <row r="973" spans="2:7" ht="15.75" customHeight="1" x14ac:dyDescent="0.2">
      <c r="B973" s="79"/>
      <c r="C973" s="79"/>
      <c r="D973" s="79"/>
      <c r="E973" s="79"/>
      <c r="F973" s="79"/>
      <c r="G973" s="79"/>
    </row>
    <row r="974" spans="2:7" ht="15.75" customHeight="1" x14ac:dyDescent="0.2">
      <c r="B974" s="79"/>
      <c r="C974" s="79"/>
      <c r="D974" s="79"/>
      <c r="E974" s="79"/>
      <c r="F974" s="79"/>
      <c r="G974" s="79"/>
    </row>
    <row r="975" spans="2:7" ht="15.75" customHeight="1" x14ac:dyDescent="0.2">
      <c r="B975" s="79"/>
      <c r="C975" s="79"/>
      <c r="D975" s="79"/>
      <c r="E975" s="79"/>
      <c r="F975" s="79"/>
      <c r="G975" s="79"/>
    </row>
    <row r="976" spans="2:7" ht="15.75" customHeight="1" x14ac:dyDescent="0.2">
      <c r="B976" s="79"/>
      <c r="C976" s="79"/>
      <c r="D976" s="79"/>
      <c r="E976" s="79"/>
      <c r="F976" s="79"/>
      <c r="G976" s="79"/>
    </row>
    <row r="977" spans="2:7" ht="15.75" customHeight="1" x14ac:dyDescent="0.2">
      <c r="B977" s="79"/>
      <c r="C977" s="79"/>
      <c r="D977" s="79"/>
      <c r="E977" s="79"/>
      <c r="F977" s="79"/>
      <c r="G977" s="79"/>
    </row>
    <row r="978" spans="2:7" ht="15.75" customHeight="1" x14ac:dyDescent="0.2">
      <c r="B978" s="79"/>
      <c r="C978" s="79"/>
      <c r="D978" s="79"/>
      <c r="E978" s="79"/>
      <c r="F978" s="79"/>
      <c r="G978" s="79"/>
    </row>
    <row r="979" spans="2:7" ht="15.75" customHeight="1" x14ac:dyDescent="0.2">
      <c r="B979" s="79"/>
      <c r="C979" s="79"/>
      <c r="D979" s="79"/>
      <c r="E979" s="79"/>
      <c r="F979" s="79"/>
      <c r="G979" s="79"/>
    </row>
    <row r="980" spans="2:7" ht="15.75" customHeight="1" x14ac:dyDescent="0.2">
      <c r="B980" s="79"/>
      <c r="C980" s="79"/>
      <c r="D980" s="79"/>
      <c r="E980" s="79"/>
      <c r="F980" s="79"/>
      <c r="G980" s="79"/>
    </row>
    <row r="981" spans="2:7" ht="15.75" customHeight="1" x14ac:dyDescent="0.2">
      <c r="B981" s="79"/>
      <c r="C981" s="79"/>
      <c r="D981" s="79"/>
      <c r="E981" s="79"/>
      <c r="F981" s="79"/>
      <c r="G981" s="79"/>
    </row>
    <row r="982" spans="2:7" ht="15.75" customHeight="1" x14ac:dyDescent="0.2">
      <c r="B982" s="79"/>
      <c r="C982" s="79"/>
      <c r="D982" s="79"/>
      <c r="E982" s="79"/>
      <c r="F982" s="79"/>
      <c r="G982" s="79"/>
    </row>
    <row r="983" spans="2:7" ht="15.75" customHeight="1" x14ac:dyDescent="0.2">
      <c r="B983" s="79"/>
      <c r="C983" s="79"/>
      <c r="D983" s="79"/>
      <c r="E983" s="79"/>
      <c r="F983" s="79"/>
      <c r="G983" s="79"/>
    </row>
    <row r="984" spans="2:7" ht="15.75" customHeight="1" x14ac:dyDescent="0.2">
      <c r="B984" s="79"/>
      <c r="C984" s="79"/>
      <c r="D984" s="79"/>
      <c r="E984" s="79"/>
      <c r="F984" s="79"/>
      <c r="G984" s="79"/>
    </row>
    <row r="985" spans="2:7" ht="15.75" customHeight="1" x14ac:dyDescent="0.2">
      <c r="B985" s="79"/>
      <c r="C985" s="79"/>
      <c r="D985" s="79"/>
      <c r="E985" s="79"/>
      <c r="F985" s="79"/>
      <c r="G985" s="79"/>
    </row>
    <row r="986" spans="2:7" ht="15.75" customHeight="1" x14ac:dyDescent="0.2">
      <c r="B986" s="79"/>
      <c r="C986" s="79"/>
      <c r="D986" s="79"/>
      <c r="E986" s="79"/>
      <c r="F986" s="79"/>
      <c r="G986" s="79"/>
    </row>
    <row r="987" spans="2:7" ht="15.75" customHeight="1" x14ac:dyDescent="0.2">
      <c r="B987" s="79"/>
      <c r="C987" s="79"/>
      <c r="D987" s="79"/>
      <c r="E987" s="79"/>
      <c r="F987" s="79"/>
      <c r="G987" s="79"/>
    </row>
    <row r="988" spans="2:7" ht="15.75" customHeight="1" x14ac:dyDescent="0.2">
      <c r="B988" s="79"/>
      <c r="C988" s="79"/>
      <c r="D988" s="79"/>
      <c r="E988" s="79"/>
      <c r="F988" s="79"/>
      <c r="G988" s="79"/>
    </row>
    <row r="989" spans="2:7" ht="15.75" customHeight="1" x14ac:dyDescent="0.2">
      <c r="B989" s="79"/>
      <c r="C989" s="79"/>
      <c r="D989" s="79"/>
      <c r="E989" s="79"/>
      <c r="F989" s="79"/>
      <c r="G989" s="79"/>
    </row>
    <row r="990" spans="2:7" ht="15.75" customHeight="1" x14ac:dyDescent="0.2">
      <c r="B990" s="79"/>
      <c r="C990" s="79"/>
      <c r="D990" s="79"/>
      <c r="E990" s="79"/>
      <c r="F990" s="79"/>
      <c r="G990" s="79"/>
    </row>
    <row r="991" spans="2:7" ht="15.75" customHeight="1" x14ac:dyDescent="0.2">
      <c r="B991" s="79"/>
      <c r="C991" s="79"/>
      <c r="D991" s="79"/>
      <c r="E991" s="79"/>
      <c r="F991" s="79"/>
      <c r="G991" s="79"/>
    </row>
    <row r="992" spans="2:7" ht="15.75" customHeight="1" x14ac:dyDescent="0.2">
      <c r="B992" s="79"/>
      <c r="C992" s="79"/>
      <c r="D992" s="79"/>
      <c r="E992" s="79"/>
      <c r="F992" s="79"/>
      <c r="G992" s="79"/>
    </row>
    <row r="993" spans="2:7" ht="15.75" customHeight="1" x14ac:dyDescent="0.2">
      <c r="B993" s="79"/>
      <c r="C993" s="79"/>
      <c r="D993" s="79"/>
      <c r="E993" s="79"/>
      <c r="F993" s="79"/>
      <c r="G993" s="79"/>
    </row>
    <row r="994" spans="2:7" ht="15.75" customHeight="1" x14ac:dyDescent="0.2">
      <c r="B994" s="79"/>
      <c r="C994" s="79"/>
      <c r="D994" s="79"/>
      <c r="E994" s="79"/>
      <c r="F994" s="79"/>
      <c r="G994" s="79"/>
    </row>
    <row r="995" spans="2:7" ht="15.75" customHeight="1" x14ac:dyDescent="0.2">
      <c r="B995" s="79"/>
      <c r="C995" s="79"/>
      <c r="D995" s="79"/>
      <c r="E995" s="79"/>
      <c r="F995" s="79"/>
      <c r="G995" s="79"/>
    </row>
    <row r="996" spans="2:7" ht="15.75" customHeight="1" x14ac:dyDescent="0.2">
      <c r="B996" s="79"/>
      <c r="C996" s="79"/>
      <c r="D996" s="79"/>
      <c r="E996" s="79"/>
      <c r="F996" s="79"/>
      <c r="G996" s="79"/>
    </row>
    <row r="997" spans="2:7" ht="15.75" customHeight="1" x14ac:dyDescent="0.2">
      <c r="B997" s="79"/>
      <c r="C997" s="79"/>
      <c r="D997" s="79"/>
      <c r="E997" s="79"/>
      <c r="F997" s="79"/>
      <c r="G997" s="79"/>
    </row>
    <row r="998" spans="2:7" ht="15.75" customHeight="1" x14ac:dyDescent="0.2">
      <c r="B998" s="79"/>
      <c r="C998" s="79"/>
      <c r="D998" s="79"/>
      <c r="E998" s="79"/>
      <c r="F998" s="79"/>
      <c r="G998" s="79"/>
    </row>
    <row r="999" spans="2:7" ht="15.75" customHeight="1" x14ac:dyDescent="0.2">
      <c r="B999" s="79"/>
      <c r="C999" s="79"/>
      <c r="D999" s="79"/>
      <c r="E999" s="79"/>
      <c r="F999" s="79"/>
      <c r="G999" s="79"/>
    </row>
    <row r="1000" spans="2:7" ht="15.75" customHeight="1" x14ac:dyDescent="0.2">
      <c r="B1000" s="79"/>
      <c r="C1000" s="79"/>
      <c r="D1000" s="79"/>
      <c r="E1000" s="79"/>
      <c r="F1000" s="79"/>
      <c r="G1000" s="79"/>
    </row>
  </sheetData>
  <conditionalFormatting sqref="B34:F34">
    <cfRule type="cellIs" dxfId="9" priority="1" operator="lessThan">
      <formula>B33</formula>
    </cfRule>
    <cfRule type="cellIs" dxfId="8" priority="2" operator="greaterThanOrEqual">
      <formula>B33</formula>
    </cfRule>
  </conditionalFormatting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showGridLines="0" workbookViewId="0">
      <selection activeCell="B32" sqref="B32"/>
    </sheetView>
  </sheetViews>
  <sheetFormatPr baseColWidth="10" defaultColWidth="14.5" defaultRowHeight="15" customHeight="1" x14ac:dyDescent="0.2"/>
  <cols>
    <col min="1" max="1" width="50" customWidth="1"/>
    <col min="2" max="7" width="14" customWidth="1"/>
    <col min="8" max="8" width="9.6640625" customWidth="1"/>
    <col min="9" max="26" width="8.6640625" customWidth="1"/>
  </cols>
  <sheetData>
    <row r="1" spans="1:7" ht="15" customHeight="1" x14ac:dyDescent="0.2">
      <c r="A1" s="78" t="s">
        <v>623</v>
      </c>
    </row>
    <row r="2" spans="1:7" ht="15" customHeight="1" x14ac:dyDescent="0.2">
      <c r="A2" s="48" t="s">
        <v>624</v>
      </c>
    </row>
    <row r="4" spans="1:7" ht="15" customHeight="1" x14ac:dyDescent="0.2">
      <c r="A4" s="42" t="s">
        <v>625</v>
      </c>
    </row>
    <row r="5" spans="1:7" ht="15" customHeight="1" x14ac:dyDescent="0.2">
      <c r="A5" s="42" t="s">
        <v>102</v>
      </c>
      <c r="B5" s="80">
        <v>2026</v>
      </c>
      <c r="C5" s="80">
        <v>2027</v>
      </c>
      <c r="D5" s="80">
        <v>2028</v>
      </c>
      <c r="E5" s="80">
        <v>2029</v>
      </c>
      <c r="F5" s="80">
        <v>2030</v>
      </c>
      <c r="G5" s="80" t="s">
        <v>555</v>
      </c>
    </row>
    <row r="6" spans="1:7" ht="15" customHeight="1" x14ac:dyDescent="0.2">
      <c r="A6" s="48" t="s">
        <v>592</v>
      </c>
      <c r="B6" s="116">
        <f>'FLUJO 5 AÑOS (5Y)'!B47</f>
        <v>3000000</v>
      </c>
      <c r="C6" s="116">
        <f>'FLUJO 5 AÑOS (5Y)'!C47</f>
        <v>3240309.8731527096</v>
      </c>
      <c r="D6" s="116">
        <f>'FLUJO 5 AÑOS (5Y)'!D47</f>
        <v>3358344.3237741119</v>
      </c>
      <c r="E6" s="116">
        <f>'FLUJO 5 AÑOS (5Y)'!E47</f>
        <v>3611074.8416918707</v>
      </c>
      <c r="F6" s="116">
        <f>'FLUJO 5 AÑOS (5Y)'!F47</f>
        <v>3840340.6641522143</v>
      </c>
      <c r="G6" s="117">
        <f t="shared" ref="G6:G8" si="0">SUM(B6:F6)</f>
        <v>17050069.702770904</v>
      </c>
    </row>
    <row r="7" spans="1:7" ht="15" customHeight="1" x14ac:dyDescent="0.2">
      <c r="A7" s="48" t="s">
        <v>626</v>
      </c>
      <c r="B7" s="116">
        <f>'FLUJO 5 AÑOS (5Y)'!B26</f>
        <v>0</v>
      </c>
      <c r="C7" s="116">
        <f>'FLUJO 5 AÑOS (5Y)'!C26</f>
        <v>0</v>
      </c>
      <c r="D7" s="116">
        <f>'FLUJO 5 AÑOS (5Y)'!D26</f>
        <v>0</v>
      </c>
      <c r="E7" s="116">
        <f>'FLUJO 5 AÑOS (5Y)'!E26</f>
        <v>0</v>
      </c>
      <c r="F7" s="116">
        <f>'FLUJO 5 AÑOS (5Y)'!F26</f>
        <v>0</v>
      </c>
      <c r="G7" s="117">
        <f t="shared" si="0"/>
        <v>0</v>
      </c>
    </row>
    <row r="8" spans="1:7" ht="15" customHeight="1" x14ac:dyDescent="0.2">
      <c r="A8" s="48" t="s">
        <v>627</v>
      </c>
      <c r="B8" s="116">
        <f>'FLUJO 5 AÑOS (5Y)'!B27</f>
        <v>49548.491379310348</v>
      </c>
      <c r="C8" s="116">
        <f>'FLUJO 5 AÑOS (5Y)'!C27</f>
        <v>16744.433212480893</v>
      </c>
      <c r="D8" s="116">
        <f>'FLUJO 5 AÑOS (5Y)'!D27</f>
        <v>43952.222680757317</v>
      </c>
      <c r="E8" s="116">
        <f>'FLUJO 5 AÑOS (5Y)'!E27</f>
        <v>25735.627179053565</v>
      </c>
      <c r="F8" s="116">
        <f>'FLUJO 5 AÑOS (5Y)'!F27</f>
        <v>2865.8227807543008</v>
      </c>
      <c r="G8" s="117">
        <f t="shared" si="0"/>
        <v>138846.59723235641</v>
      </c>
    </row>
    <row r="9" spans="1:7" ht="15" customHeight="1" x14ac:dyDescent="0.2">
      <c r="A9" s="42" t="s">
        <v>628</v>
      </c>
      <c r="B9" s="117">
        <f t="shared" ref="B9:G9" si="1">B7+B8</f>
        <v>49548.491379310348</v>
      </c>
      <c r="C9" s="117">
        <f t="shared" si="1"/>
        <v>16744.433212480893</v>
      </c>
      <c r="D9" s="117">
        <f t="shared" si="1"/>
        <v>43952.222680757317</v>
      </c>
      <c r="E9" s="117">
        <f t="shared" si="1"/>
        <v>25735.627179053565</v>
      </c>
      <c r="F9" s="117">
        <f t="shared" si="1"/>
        <v>2865.8227807543008</v>
      </c>
      <c r="G9" s="117">
        <f t="shared" si="1"/>
        <v>138846.59723235641</v>
      </c>
    </row>
    <row r="11" spans="1:7" ht="15" customHeight="1" x14ac:dyDescent="0.2">
      <c r="A11" s="73" t="s">
        <v>629</v>
      </c>
    </row>
    <row r="12" spans="1:7" ht="15" customHeight="1" x14ac:dyDescent="0.2">
      <c r="A12" s="42" t="s">
        <v>102</v>
      </c>
      <c r="B12" s="118">
        <v>2026</v>
      </c>
      <c r="C12" s="118">
        <v>2027</v>
      </c>
      <c r="D12" s="118">
        <v>2028</v>
      </c>
      <c r="E12" s="118">
        <v>2029</v>
      </c>
      <c r="F12" s="118">
        <v>2030</v>
      </c>
      <c r="G12" s="42" t="s">
        <v>555</v>
      </c>
    </row>
    <row r="13" spans="1:7" ht="15" customHeight="1" x14ac:dyDescent="0.2">
      <c r="A13" s="48" t="s">
        <v>630</v>
      </c>
      <c r="B13" s="116">
        <f>'FLUJO 5 AÑOS (5Y)'!B21-'FLUJO 5 AÑOS (5Y)'!B24-'FLUJO 5 AÑOS (5Y)'!B25-'FLUJO 5 AÑOS (5Y)'!B26-'FLUJO 5 AÑOS (5Y)'!B27-'FLUJO 5 AÑOS (5Y)'!B28-'FLUJO 5 AÑOS (5Y)'!B29-'FLUJO 5 AÑOS (5Y)'!B30-'FLUJO 5 AÑOS (5Y)'!B31</f>
        <v>240309.87315270928</v>
      </c>
      <c r="C13" s="116">
        <f>'FLUJO 5 AÑOS (5Y)'!C21-'FLUJO 5 AÑOS (5Y)'!C24-'FLUJO 5 AÑOS (5Y)'!C25-'FLUJO 5 AÑOS (5Y)'!C26-'FLUJO 5 AÑOS (5Y)'!C27-'FLUJO 5 AÑOS (5Y)'!C28-'FLUJO 5 AÑOS (5Y)'!C29-'FLUJO 5 AÑOS (5Y)'!C30-'FLUJO 5 AÑOS (5Y)'!C31</f>
        <v>312453.0430105651</v>
      </c>
      <c r="D13" s="116">
        <f>'FLUJO 5 AÑOS (5Y)'!D21-'FLUJO 5 AÑOS (5Y)'!D24-'FLUJO 5 AÑOS (5Y)'!D25-'FLUJO 5 AÑOS (5Y)'!D26-'FLUJO 5 AÑOS (5Y)'!D27-'FLUJO 5 AÑOS (5Y)'!D28-'FLUJO 5 AÑOS (5Y)'!D29-'FLUJO 5 AÑOS (5Y)'!D30-'FLUJO 5 AÑOS (5Y)'!D31</f>
        <v>454231.17734420521</v>
      </c>
      <c r="E13" s="116">
        <f>'FLUJO 5 AÑOS (5Y)'!E21-'FLUJO 5 AÑOS (5Y)'!E24-'FLUJO 5 AÑOS (5Y)'!E25-'FLUJO 5 AÑOS (5Y)'!E26-'FLUJO 5 AÑOS (5Y)'!E27-'FLUJO 5 AÑOS (5Y)'!E28-'FLUJO 5 AÑOS (5Y)'!E29-'FLUJO 5 AÑOS (5Y)'!E30-'FLUJO 5 AÑOS (5Y)'!E31</f>
        <v>445930.31296185602</v>
      </c>
      <c r="F13" s="116">
        <f>'FLUJO 5 AÑOS (5Y)'!F21-'FLUJO 5 AÑOS (5Y)'!F24-'FLUJO 5 AÑOS (5Y)'!F25-'FLUJO 5 AÑOS (5Y)'!F26-'FLUJO 5 AÑOS (5Y)'!F27-'FLUJO 5 AÑOS (5Y)'!F28-'FLUJO 5 AÑOS (5Y)'!F29-'FLUJO 5 AÑOS (5Y)'!F30-'FLUJO 5 AÑOS (5Y)'!F31</f>
        <v>308769.70475283358</v>
      </c>
      <c r="G13" s="117">
        <f t="shared" ref="G13:G14" si="2">SUM(B13:F13)</f>
        <v>1761694.1112221691</v>
      </c>
    </row>
    <row r="14" spans="1:7" ht="15" customHeight="1" x14ac:dyDescent="0.2">
      <c r="A14" s="48" t="s">
        <v>631</v>
      </c>
      <c r="B14" s="117">
        <f>MAX(0,B13-'FLUJO 5 AÑOS (5Y)'!B47*SUPUESTOS!$B$34)*SUPUESTOS!$B$33</f>
        <v>6030.9873152709279</v>
      </c>
      <c r="C14" s="117">
        <f>MAX(0,C13-'FLUJO 5 AÑOS (5Y)'!C47*SUPUESTOS!$B$34)*SUPUESTOS!$B$33</f>
        <v>11803.445062140254</v>
      </c>
      <c r="D14" s="117">
        <f>MAX(0,D13-'FLUJO 5 AÑOS (5Y)'!D47*SUPUESTOS!$B$34)*SUPUESTOS!$B$33</f>
        <v>25273.051791775852</v>
      </c>
      <c r="E14" s="117">
        <f>MAX(0,E13-'FLUJO 5 AÑOS (5Y)'!E47*SUPUESTOS!$B$34)*SUPUESTOS!$B$33</f>
        <v>22926.582246034381</v>
      </c>
      <c r="F14" s="117">
        <f>MAX(0,F13-'FLUJO 5 AÑOS (5Y)'!F47*SUPUESTOS!$B$34)*SUPUESTOS!$B$33</f>
        <v>7834.9264903700741</v>
      </c>
      <c r="G14" s="117">
        <f t="shared" si="2"/>
        <v>73868.992905591484</v>
      </c>
    </row>
    <row r="15" spans="1:7" ht="15" customHeight="1" x14ac:dyDescent="0.2">
      <c r="A15" s="48" t="s">
        <v>632</v>
      </c>
      <c r="B15" s="116">
        <v>0</v>
      </c>
      <c r="C15" s="116">
        <f t="shared" ref="C15:F15" si="3">B19</f>
        <v>6030.9873152709279</v>
      </c>
      <c r="D15" s="116">
        <f t="shared" si="3"/>
        <v>17834.432377411184</v>
      </c>
      <c r="E15" s="116">
        <f t="shared" si="3"/>
        <v>43107.484169187039</v>
      </c>
      <c r="F15" s="116">
        <f t="shared" si="3"/>
        <v>66034.066415221416</v>
      </c>
      <c r="G15" s="117"/>
    </row>
    <row r="16" spans="1:7" ht="15" customHeight="1" x14ac:dyDescent="0.2">
      <c r="A16" s="48" t="s">
        <v>633</v>
      </c>
      <c r="B16" s="117">
        <f t="shared" ref="B16:F16" si="4">B14+B15</f>
        <v>6030.9873152709279</v>
      </c>
      <c r="C16" s="117">
        <f t="shared" si="4"/>
        <v>17834.432377411184</v>
      </c>
      <c r="D16" s="117">
        <f t="shared" si="4"/>
        <v>43107.484169187039</v>
      </c>
      <c r="E16" s="117">
        <f t="shared" si="4"/>
        <v>66034.066415221416</v>
      </c>
      <c r="F16" s="117">
        <f t="shared" si="4"/>
        <v>73868.992905591484</v>
      </c>
      <c r="G16" s="117">
        <f>SUM(B14:F14)+B15</f>
        <v>73868.992905591484</v>
      </c>
    </row>
    <row r="17" spans="1:9" ht="15" customHeight="1" x14ac:dyDescent="0.2">
      <c r="A17" s="48" t="s">
        <v>634</v>
      </c>
      <c r="B17" s="117">
        <f>MAX(0, SUPUESTOS!$B$35*'FLUJO 5 AÑOS (5Y)'!B47-('FLUJO 5 AÑOS (5Y)'!B24+'FLUJO 5 AÑOS (5Y)'!B25+'FLUJO 5 AÑOS (5Y)'!B26+'FLUJO 5 AÑOS (5Y)'!B27+'FLUJO 5 AÑOS (5Y)'!B28))</f>
        <v>0</v>
      </c>
      <c r="C17" s="117">
        <f>MAX(0, SUPUESTOS!$B$35*'FLUJO 5 AÑOS (5Y)'!C47-('FLUJO 5 AÑOS (5Y)'!C24+'FLUJO 5 AÑOS (5Y)'!C25+'FLUJO 5 AÑOS (5Y)'!C26+'FLUJO 5 AÑOS (5Y)'!C27+'FLUJO 5 AÑOS (5Y)'!C28))</f>
        <v>41748.581459932902</v>
      </c>
      <c r="D17" s="117">
        <f>MAX(0, SUPUESTOS!$B$35*'FLUJO 5 AÑOS (5Y)'!D47-('FLUJO 5 AÑOS (5Y)'!D24+'FLUJO 5 AÑOS (5Y)'!D25+'FLUJO 5 AÑOS (5Y)'!D26+'FLUJO 5 AÑOS (5Y)'!D27+'FLUJO 5 AÑOS (5Y)'!D28))</f>
        <v>19498.23891775537</v>
      </c>
      <c r="E17" s="117">
        <f>MAX(0, SUPUESTOS!$B$35*'FLUJO 5 AÑOS (5Y)'!E47-('FLUJO 5 AÑOS (5Y)'!E24+'FLUJO 5 AÑOS (5Y)'!E25+'FLUJO 5 AÑOS (5Y)'!E26+'FLUJO 5 AÑOS (5Y)'!E27+'FLUJO 5 AÑOS (5Y)'!E28))</f>
        <v>48329.516172005009</v>
      </c>
      <c r="F17" s="117">
        <f>MAX(0, SUPUESTOS!$B$35*'FLUJO 5 AÑOS (5Y)'!F47-('FLUJO 5 AÑOS (5Y)'!F24+'FLUJO 5 AÑOS (5Y)'!F25+'FLUJO 5 AÑOS (5Y)'!F26+'FLUJO 5 AÑOS (5Y)'!F27+'FLUJO 5 AÑOS (5Y)'!F28))</f>
        <v>80828.485113638715</v>
      </c>
      <c r="G17" s="117">
        <f t="shared" ref="G17:G18" si="5">SUM(B17:F17)</f>
        <v>190404.821663332</v>
      </c>
    </row>
    <row r="18" spans="1:9" ht="15" customHeight="1" x14ac:dyDescent="0.2">
      <c r="A18" s="42" t="s">
        <v>635</v>
      </c>
      <c r="B18" s="119">
        <v>0</v>
      </c>
      <c r="C18" s="119">
        <v>0</v>
      </c>
      <c r="D18" s="119">
        <v>0</v>
      </c>
      <c r="E18" s="119">
        <v>0</v>
      </c>
      <c r="F18" s="119">
        <f>MIN(F16,F17)</f>
        <v>73868.992905591484</v>
      </c>
      <c r="G18" s="119">
        <f t="shared" si="5"/>
        <v>73868.992905591484</v>
      </c>
    </row>
    <row r="19" spans="1:9" ht="15" customHeight="1" x14ac:dyDescent="0.2">
      <c r="A19" s="48" t="s">
        <v>636</v>
      </c>
      <c r="B19" s="117">
        <f t="shared" ref="B19:G19" si="6">B16-B18</f>
        <v>6030.9873152709279</v>
      </c>
      <c r="C19" s="117">
        <f t="shared" si="6"/>
        <v>17834.432377411184</v>
      </c>
      <c r="D19" s="117">
        <f t="shared" si="6"/>
        <v>43107.484169187039</v>
      </c>
      <c r="E19" s="117">
        <f t="shared" si="6"/>
        <v>66034.066415221416</v>
      </c>
      <c r="F19" s="117">
        <f t="shared" si="6"/>
        <v>0</v>
      </c>
      <c r="G19" s="117">
        <f t="shared" si="6"/>
        <v>0</v>
      </c>
    </row>
    <row r="20" spans="1:9" ht="15" customHeight="1" x14ac:dyDescent="0.2">
      <c r="A20" s="120" t="s">
        <v>637</v>
      </c>
    </row>
    <row r="21" spans="1:9" ht="15" customHeight="1" x14ac:dyDescent="0.2">
      <c r="A21" s="42" t="s">
        <v>638</v>
      </c>
    </row>
    <row r="22" spans="1:9" ht="15" customHeight="1" x14ac:dyDescent="0.2">
      <c r="A22" s="42" t="s">
        <v>102</v>
      </c>
      <c r="B22" s="80">
        <v>2026</v>
      </c>
      <c r="C22" s="80">
        <v>2027</v>
      </c>
      <c r="D22" s="80">
        <v>2028</v>
      </c>
      <c r="E22" s="80">
        <v>2029</v>
      </c>
      <c r="F22" s="80">
        <v>2030</v>
      </c>
      <c r="G22" s="80" t="s">
        <v>555</v>
      </c>
    </row>
    <row r="23" spans="1:9" ht="15" customHeight="1" x14ac:dyDescent="0.2">
      <c r="A23" s="48" t="s">
        <v>562</v>
      </c>
      <c r="B23" s="116">
        <f>'FLUJO 5 AÑOS (5Y)'!B10</f>
        <v>3963879.3103448274</v>
      </c>
      <c r="C23" s="116">
        <f>'FLUJO 5 AÑOS (5Y)'!C10</f>
        <v>1339554.6569984714</v>
      </c>
      <c r="D23" s="116">
        <f>'FLUJO 5 AÑOS (5Y)'!D10</f>
        <v>3516177.8144605849</v>
      </c>
      <c r="E23" s="116">
        <f>'FLUJO 5 AÑOS (5Y)'!E10</f>
        <v>2058850.174324285</v>
      </c>
      <c r="F23" s="116">
        <f>'FLUJO 5 AÑOS (5Y)'!F10</f>
        <v>229265.82246034406</v>
      </c>
      <c r="G23" s="117">
        <f t="shared" ref="G23:G27" si="7">SUM(B23:F23)</f>
        <v>11107727.778588513</v>
      </c>
    </row>
    <row r="24" spans="1:9" ht="15" customHeight="1" x14ac:dyDescent="0.2">
      <c r="A24" s="48" t="s">
        <v>639</v>
      </c>
      <c r="B24" s="117">
        <f>(B23/(1+SUPUESTOS!$B$73))*SUPUESTOS!$B$73</f>
        <v>188756.15763546797</v>
      </c>
      <c r="C24" s="117">
        <f>(C23/(1+SUPUESTOS!$B$73))*SUPUESTOS!$B$73</f>
        <v>63788.316999927214</v>
      </c>
      <c r="D24" s="117">
        <f>(D23/(1+SUPUESTOS!$B$73))*SUPUESTOS!$B$73</f>
        <v>167437.03878383737</v>
      </c>
      <c r="E24" s="117">
        <f>(E23/(1+SUPUESTOS!$B$73))*SUPUESTOS!$B$73</f>
        <v>98040.484491632611</v>
      </c>
      <c r="F24" s="117">
        <f>(F23/(1+SUPUESTOS!$B$73))*SUPUESTOS!$B$73</f>
        <v>10917.420117159241</v>
      </c>
      <c r="G24" s="117">
        <f t="shared" si="7"/>
        <v>528939.41802802437</v>
      </c>
    </row>
    <row r="25" spans="1:9" ht="15" customHeight="1" x14ac:dyDescent="0.2">
      <c r="A25" s="48" t="s">
        <v>640</v>
      </c>
      <c r="B25" s="117">
        <f>(B23/(1+SUPUESTOS!$B$73))*SUPUESTOS!$B$74</f>
        <v>188756.15763546797</v>
      </c>
      <c r="C25" s="117">
        <f>(C23/(1+SUPUESTOS!$B$73))*SUPUESTOS!$B$74</f>
        <v>63788.316999927214</v>
      </c>
      <c r="D25" s="117">
        <f>(D23/(1+SUPUESTOS!$B$73))*SUPUESTOS!$B$74</f>
        <v>167437.03878383737</v>
      </c>
      <c r="E25" s="117">
        <f>(E23/(1+SUPUESTOS!$B$73))*SUPUESTOS!$B$74</f>
        <v>98040.484491632611</v>
      </c>
      <c r="F25" s="117">
        <f>(F23/(1+SUPUESTOS!$B$73))*SUPUESTOS!$B$74</f>
        <v>10917.420117159241</v>
      </c>
      <c r="G25" s="117">
        <f t="shared" si="7"/>
        <v>528939.41802802437</v>
      </c>
    </row>
    <row r="26" spans="1:9" ht="15" customHeight="1" x14ac:dyDescent="0.2">
      <c r="A26" s="42" t="s">
        <v>641</v>
      </c>
      <c r="B26" s="117">
        <f>(B23/(1+SUPUESTOS!$B$73))*SUPUESTOS!$B$75</f>
        <v>0</v>
      </c>
      <c r="C26" s="117">
        <f>(C23/(1+SUPUESTOS!$B$73))*SUPUESTOS!$B$75</f>
        <v>0</v>
      </c>
      <c r="D26" s="117">
        <f>(D23/(1+SUPUESTOS!$B$73))*SUPUESTOS!$B$75</f>
        <v>0</v>
      </c>
      <c r="E26" s="117">
        <f>(E23/(1+SUPUESTOS!$B$73))*SUPUESTOS!$B$75</f>
        <v>0</v>
      </c>
      <c r="F26" s="117">
        <f>(F23/(1+SUPUESTOS!$B$73))*SUPUESTOS!$B$75</f>
        <v>0</v>
      </c>
      <c r="G26" s="117">
        <f t="shared" si="7"/>
        <v>0</v>
      </c>
    </row>
    <row r="27" spans="1:9" ht="15" customHeight="1" x14ac:dyDescent="0.2">
      <c r="A27" s="48" t="s">
        <v>642</v>
      </c>
      <c r="B27" s="117">
        <f>B26*SUPUESTOS!$B$76</f>
        <v>0</v>
      </c>
      <c r="C27" s="117">
        <f>C26*SUPUESTOS!$B$76</f>
        <v>0</v>
      </c>
      <c r="D27" s="117">
        <f>D26*SUPUESTOS!$B$76</f>
        <v>0</v>
      </c>
      <c r="E27" s="117">
        <f>E26*SUPUESTOS!$B$76</f>
        <v>0</v>
      </c>
      <c r="F27" s="117">
        <f>F26*SUPUESTOS!$B$76</f>
        <v>0</v>
      </c>
      <c r="G27" s="117">
        <f t="shared" si="7"/>
        <v>0</v>
      </c>
    </row>
    <row r="28" spans="1:9" ht="15" customHeight="1" x14ac:dyDescent="0.2">
      <c r="A28" s="48" t="s">
        <v>643</v>
      </c>
      <c r="B28" s="117">
        <f t="shared" ref="B28:G28" si="8">B26</f>
        <v>0</v>
      </c>
      <c r="C28" s="117">
        <f t="shared" si="8"/>
        <v>0</v>
      </c>
      <c r="D28" s="117">
        <f t="shared" si="8"/>
        <v>0</v>
      </c>
      <c r="E28" s="117">
        <f t="shared" si="8"/>
        <v>0</v>
      </c>
      <c r="F28" s="117">
        <f t="shared" si="8"/>
        <v>0</v>
      </c>
      <c r="G28" s="117">
        <f t="shared" si="8"/>
        <v>0</v>
      </c>
    </row>
    <row r="29" spans="1:9" ht="15" customHeight="1" x14ac:dyDescent="0.2">
      <c r="A29" s="121" t="s">
        <v>644</v>
      </c>
      <c r="B29" s="122">
        <f>'FLUJO 5 AÑOS (5Y)'!B81</f>
        <v>0</v>
      </c>
      <c r="C29" s="122">
        <f>'FLUJO 5 AÑOS (5Y)'!C81</f>
        <v>0</v>
      </c>
      <c r="D29" s="122">
        <f>'FLUJO 5 AÑOS (5Y)'!D81</f>
        <v>0</v>
      </c>
      <c r="E29" s="122">
        <f>'FLUJO 5 AÑOS (5Y)'!E81</f>
        <v>0</v>
      </c>
      <c r="F29" s="122">
        <f>'FLUJO 5 AÑOS (5Y)'!F81</f>
        <v>0</v>
      </c>
      <c r="G29" s="123">
        <f t="shared" ref="G29:G30" si="9">SUM(B29:F29)</f>
        <v>0</v>
      </c>
    </row>
    <row r="30" spans="1:9" ht="15" customHeight="1" x14ac:dyDescent="0.2">
      <c r="A30" s="124" t="s">
        <v>645</v>
      </c>
      <c r="B30" s="125">
        <f>B9+B18+B28+B29</f>
        <v>49548.491379310348</v>
      </c>
      <c r="C30" s="125">
        <f t="shared" ref="C30:F30" si="10">C9+C18+C28+C29+B32</f>
        <v>39992.924591791241</v>
      </c>
      <c r="D30" s="125">
        <f t="shared" si="10"/>
        <v>43952.222680757317</v>
      </c>
      <c r="E30" s="125">
        <f t="shared" si="10"/>
        <v>25735.627179053565</v>
      </c>
      <c r="F30" s="125">
        <f t="shared" si="10"/>
        <v>76734.815686345784</v>
      </c>
      <c r="G30" s="125">
        <f t="shared" si="9"/>
        <v>235964.08151725825</v>
      </c>
    </row>
    <row r="31" spans="1:9" ht="15" customHeight="1" x14ac:dyDescent="0.2">
      <c r="A31" s="124" t="s">
        <v>646</v>
      </c>
      <c r="B31" s="126">
        <f>B30</f>
        <v>49548.491379310348</v>
      </c>
      <c r="C31" s="126">
        <f t="shared" ref="C31:F31" si="11">B31+C30</f>
        <v>89541.415971101582</v>
      </c>
      <c r="D31" s="126">
        <f t="shared" si="11"/>
        <v>133493.6386518589</v>
      </c>
      <c r="E31" s="126">
        <f t="shared" si="11"/>
        <v>159229.26583091245</v>
      </c>
      <c r="F31" s="126">
        <f t="shared" si="11"/>
        <v>235964.08151725825</v>
      </c>
    </row>
    <row r="32" spans="1:9" ht="15" customHeight="1" x14ac:dyDescent="0.2">
      <c r="A32" s="127" t="s">
        <v>647</v>
      </c>
      <c r="B32" s="128">
        <f>MAX(0, ('FLUJO 5 AÑOS (5Y)'!B24+'FLUJO 5 AÑOS (5Y)'!B25+'FLUJO 5 AÑOS (5Y)'!B26+'FLUJO 5 AÑOS (5Y)'!B27+'FLUJO 5 AÑOS (5Y)'!B28) - SUPUESTOS!$B$35*'FLUJO 5 AÑOS (5Y)'!B47)</f>
        <v>23248.491379310348</v>
      </c>
      <c r="C32" s="128">
        <f>MAX(0, ('FLUJO 5 AÑOS (5Y)'!C24+'FLUJO 5 AÑOS (5Y)'!C25+'FLUJO 5 AÑOS (5Y)'!C26+'FLUJO 5 AÑOS (5Y)'!C27+'FLUJO 5 AÑOS (5Y)'!C28) - SUPUESTOS!$B$35*'FLUJO 5 AÑOS (5Y)'!C47)</f>
        <v>0</v>
      </c>
      <c r="D32" s="128">
        <f>MAX(0, ('FLUJO 5 AÑOS (5Y)'!D24+'FLUJO 5 AÑOS (5Y)'!D25+'FLUJO 5 AÑOS (5Y)'!D26+'FLUJO 5 AÑOS (5Y)'!D27+'FLUJO 5 AÑOS (5Y)'!D28) - SUPUESTOS!$B$35*'FLUJO 5 AÑOS (5Y)'!D47)</f>
        <v>0</v>
      </c>
      <c r="E32" s="128">
        <f>MAX(0, ('FLUJO 5 AÑOS (5Y)'!E24+'FLUJO 5 AÑOS (5Y)'!E25+'FLUJO 5 AÑOS (5Y)'!E26+'FLUJO 5 AÑOS (5Y)'!E27+'FLUJO 5 AÑOS (5Y)'!E28) - SUPUESTOS!$B$35*'FLUJO 5 AÑOS (5Y)'!E47)</f>
        <v>0</v>
      </c>
      <c r="F32" s="128">
        <f>MAX(0, ('FLUJO 5 AÑOS (5Y)'!F24+'FLUJO 5 AÑOS (5Y)'!F25+'FLUJO 5 AÑOS (5Y)'!F26+'FLUJO 5 AÑOS (5Y)'!F27+'FLUJO 5 AÑOS (5Y)'!F28) - SUPUESTOS!$B$35*'FLUJO 5 AÑOS (5Y)'!F47)</f>
        <v>0</v>
      </c>
      <c r="G32" s="129">
        <f>SUM(B32:F32)</f>
        <v>23248.491379310348</v>
      </c>
      <c r="I32" s="48" t="s">
        <v>648</v>
      </c>
    </row>
    <row r="33" spans="1:6" ht="15" customHeight="1" x14ac:dyDescent="0.2">
      <c r="A33" s="42" t="s">
        <v>649</v>
      </c>
      <c r="B33" s="130"/>
      <c r="C33" s="130"/>
      <c r="D33" s="130"/>
      <c r="E33" s="130"/>
      <c r="F33" s="130"/>
    </row>
    <row r="34" spans="1:6" ht="15.75" customHeight="1" x14ac:dyDescent="0.2"/>
    <row r="35" spans="1:6" ht="15" customHeight="1" x14ac:dyDescent="0.2">
      <c r="A35" s="42" t="s">
        <v>650</v>
      </c>
      <c r="B35" s="42" t="s">
        <v>651</v>
      </c>
      <c r="C35" s="42" t="s">
        <v>652</v>
      </c>
      <c r="D35" s="42"/>
    </row>
    <row r="36" spans="1:6" ht="15" customHeight="1" x14ac:dyDescent="0.2">
      <c r="A36" s="48" t="s">
        <v>653</v>
      </c>
      <c r="B36" s="117">
        <f>G8</f>
        <v>138846.59723235641</v>
      </c>
      <c r="C36" s="117">
        <f t="shared" ref="C36:C39" si="12">B36/5</f>
        <v>27769.31944647128</v>
      </c>
      <c r="D36" s="131"/>
    </row>
    <row r="37" spans="1:6" ht="15" customHeight="1" x14ac:dyDescent="0.2">
      <c r="A37" s="48" t="s">
        <v>654</v>
      </c>
      <c r="B37" s="117">
        <f>G8+G18</f>
        <v>212715.59013794787</v>
      </c>
      <c r="C37" s="117">
        <f t="shared" si="12"/>
        <v>42543.118027589575</v>
      </c>
      <c r="D37" s="131"/>
      <c r="E37" s="131"/>
    </row>
    <row r="38" spans="1:6" ht="15" customHeight="1" x14ac:dyDescent="0.2">
      <c r="A38" s="48" t="s">
        <v>655</v>
      </c>
      <c r="B38" s="117">
        <f>G8+G18+G26</f>
        <v>212715.59013794787</v>
      </c>
      <c r="C38" s="117">
        <f t="shared" si="12"/>
        <v>42543.118027589575</v>
      </c>
      <c r="D38" s="131"/>
      <c r="E38" s="131"/>
    </row>
    <row r="39" spans="1:6" ht="15" customHeight="1" x14ac:dyDescent="0.2">
      <c r="A39" s="48" t="s">
        <v>656</v>
      </c>
      <c r="B39" s="117">
        <f>G8+G18+G26+G29</f>
        <v>212715.59013794787</v>
      </c>
      <c r="C39" s="117">
        <f t="shared" si="12"/>
        <v>42543.118027589575</v>
      </c>
      <c r="D39" s="131"/>
    </row>
    <row r="40" spans="1:6" ht="15.75" customHeight="1" x14ac:dyDescent="0.2"/>
    <row r="41" spans="1:6" ht="15" customHeight="1" x14ac:dyDescent="0.2">
      <c r="A41" s="42" t="s">
        <v>657</v>
      </c>
    </row>
    <row r="42" spans="1:6" ht="15" customHeight="1" x14ac:dyDescent="0.2">
      <c r="A42" s="48" t="s">
        <v>658</v>
      </c>
      <c r="B42" s="132">
        <f>'FLUJO 5 AÑOS (5Y)'!B65</f>
        <v>8.8919693347931039E-2</v>
      </c>
    </row>
    <row r="43" spans="1:6" ht="15" customHeight="1" x14ac:dyDescent="0.2">
      <c r="A43" s="48" t="s">
        <v>659</v>
      </c>
      <c r="B43" s="133">
        <f>'FLUJO 5 AÑOS (5Y)'!B66</f>
        <v>1.3682254935776501</v>
      </c>
    </row>
    <row r="44" spans="1:6" ht="15" customHeight="1" x14ac:dyDescent="0.2">
      <c r="A44" s="48" t="s">
        <v>660</v>
      </c>
      <c r="B44" s="117">
        <f t="shared" ref="B44:B45" si="13">G13</f>
        <v>1761694.1112221691</v>
      </c>
    </row>
    <row r="45" spans="1:6" ht="15" customHeight="1" x14ac:dyDescent="0.2">
      <c r="A45" s="48" t="s">
        <v>661</v>
      </c>
      <c r="B45" s="117">
        <f t="shared" si="13"/>
        <v>73868.992905591484</v>
      </c>
    </row>
    <row r="46" spans="1:6" ht="15" customHeight="1" x14ac:dyDescent="0.2">
      <c r="A46" s="48" t="s">
        <v>662</v>
      </c>
      <c r="B46" s="117">
        <f>G18</f>
        <v>73868.992905591484</v>
      </c>
    </row>
    <row r="47" spans="1:6" ht="15" customHeight="1" x14ac:dyDescent="0.2">
      <c r="A47" s="48" t="s">
        <v>663</v>
      </c>
      <c r="B47" s="134">
        <f>F32</f>
        <v>0</v>
      </c>
    </row>
    <row r="48" spans="1:6" ht="15" customHeight="1" x14ac:dyDescent="0.2">
      <c r="A48" s="48" t="s">
        <v>664</v>
      </c>
      <c r="B48" s="135">
        <f>SUPUESTOS!B30</f>
        <v>0</v>
      </c>
    </row>
    <row r="49" spans="1:1" ht="15.75" customHeight="1" x14ac:dyDescent="0.2"/>
    <row r="50" spans="1:1" ht="15" customHeight="1" x14ac:dyDescent="0.2">
      <c r="A50" s="42" t="s">
        <v>665</v>
      </c>
    </row>
    <row r="51" spans="1:1" ht="15" customHeight="1" x14ac:dyDescent="0.2">
      <c r="A51" s="48" t="s">
        <v>666</v>
      </c>
    </row>
    <row r="52" spans="1:1" ht="15" customHeight="1" x14ac:dyDescent="0.2">
      <c r="A52" s="48" t="s">
        <v>667</v>
      </c>
    </row>
    <row r="53" spans="1:1" ht="15" customHeight="1" x14ac:dyDescent="0.2">
      <c r="A53" s="48" t="s">
        <v>668</v>
      </c>
    </row>
    <row r="54" spans="1:1" ht="15" customHeight="1" x14ac:dyDescent="0.2">
      <c r="A54" s="48" t="s">
        <v>669</v>
      </c>
    </row>
    <row r="55" spans="1:1" ht="15" customHeight="1" x14ac:dyDescent="0.2">
      <c r="A55" s="48" t="s">
        <v>670</v>
      </c>
    </row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18:F18">
    <cfRule type="cellIs" dxfId="7" priority="1" operator="lessThan">
      <formula>B14</formula>
    </cfRule>
    <cfRule type="cellIs" dxfId="6" priority="2" operator="greaterThanOrEqual">
      <formula>B16</formula>
    </cfRule>
  </conditionalFormatting>
  <conditionalFormatting sqref="B19:G19">
    <cfRule type="cellIs" dxfId="5" priority="3" operator="greaterThan">
      <formula>0</formula>
    </cfRule>
  </conditionalFormatting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showGridLines="0" workbookViewId="0"/>
  </sheetViews>
  <sheetFormatPr baseColWidth="10" defaultColWidth="14.5" defaultRowHeight="15" customHeight="1" x14ac:dyDescent="0.2"/>
  <cols>
    <col min="1" max="1" width="50" customWidth="1"/>
    <col min="2" max="13" width="15" customWidth="1"/>
    <col min="14" max="26" width="8.6640625" customWidth="1"/>
  </cols>
  <sheetData>
    <row r="1" spans="1:13" ht="15.75" customHeight="1" x14ac:dyDescent="0.2">
      <c r="A1" s="136" t="s">
        <v>671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3" x14ac:dyDescent="0.2"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15" customHeight="1" x14ac:dyDescent="0.2">
      <c r="A3" s="42" t="s">
        <v>554</v>
      </c>
      <c r="B3" s="137">
        <v>2026</v>
      </c>
      <c r="C3" s="137">
        <v>2027</v>
      </c>
      <c r="D3" s="137">
        <v>2028</v>
      </c>
      <c r="E3" s="137">
        <v>2029</v>
      </c>
      <c r="F3" s="137">
        <v>2030</v>
      </c>
      <c r="G3" s="137">
        <v>2031</v>
      </c>
      <c r="H3" s="137">
        <v>2032</v>
      </c>
      <c r="I3" s="137">
        <v>2033</v>
      </c>
      <c r="J3" s="137">
        <v>2034</v>
      </c>
      <c r="K3" s="137">
        <v>2035</v>
      </c>
      <c r="L3" s="137">
        <v>2036</v>
      </c>
      <c r="M3" s="138" t="s">
        <v>555</v>
      </c>
    </row>
    <row r="4" spans="1:13" ht="15" customHeight="1" x14ac:dyDescent="0.2">
      <c r="A4" s="44" t="s">
        <v>556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</row>
    <row r="5" spans="1:13" ht="15" customHeight="1" x14ac:dyDescent="0.2">
      <c r="A5" s="48" t="s">
        <v>557</v>
      </c>
      <c r="B5" s="82">
        <f>B44*(1-SUPUESTOS!$B$36-SUPUESTOS!$B$37)+B14</f>
        <v>2947500</v>
      </c>
      <c r="C5" s="83">
        <f t="shared" ref="C5:L5" si="0">C44+C14</f>
        <v>8276858.8731527096</v>
      </c>
      <c r="D5" s="83">
        <f t="shared" si="0"/>
        <v>13582178.780604161</v>
      </c>
      <c r="E5" s="83">
        <f t="shared" si="0"/>
        <v>19097054.036225777</v>
      </c>
      <c r="F5" s="83">
        <f t="shared" si="0"/>
        <v>27830407.798961092</v>
      </c>
      <c r="G5" s="83">
        <f t="shared" si="0"/>
        <v>36929753.333956137</v>
      </c>
      <c r="H5" s="83">
        <f t="shared" si="0"/>
        <v>46390088.77003099</v>
      </c>
      <c r="I5" s="83">
        <f t="shared" si="0"/>
        <v>56225244.962845005</v>
      </c>
      <c r="J5" s="83">
        <f t="shared" si="0"/>
        <v>58450060.553173013</v>
      </c>
      <c r="K5" s="83">
        <f t="shared" si="0"/>
        <v>60709726.878653318</v>
      </c>
      <c r="L5" s="83">
        <f t="shared" si="0"/>
        <v>63057631.254633501</v>
      </c>
      <c r="M5" s="84"/>
    </row>
    <row r="6" spans="1:13" ht="15" customHeight="1" x14ac:dyDescent="0.2">
      <c r="A6" s="48" t="s">
        <v>558</v>
      </c>
      <c r="B6" s="82">
        <f>B5*SUPUESTOS!$B$22</f>
        <v>1016379.3103448275</v>
      </c>
      <c r="C6" s="82">
        <f>C5*SUPUESTOS!$B$22</f>
        <v>2854089.2666043825</v>
      </c>
      <c r="D6" s="82">
        <f>D5*SUPUESTOS!$B$22</f>
        <v>4683509.9243462617</v>
      </c>
      <c r="E6" s="82">
        <f>E5*SUPUESTOS!$B$22</f>
        <v>6585191.0469744056</v>
      </c>
      <c r="F6" s="82">
        <f>F5*SUPUESTOS!$B$22</f>
        <v>9596692.3444693405</v>
      </c>
      <c r="G6" s="82">
        <f>G5*SUPUESTOS!$B$22</f>
        <v>12734397.701364184</v>
      </c>
      <c r="H6" s="82">
        <f>H5*SUPUESTOS!$B$22</f>
        <v>15996582.334493443</v>
      </c>
      <c r="I6" s="82">
        <f>I5*SUPUESTOS!$B$22</f>
        <v>19388015.504429311</v>
      </c>
      <c r="J6" s="82">
        <f>J5*SUPUESTOS!$B$22</f>
        <v>20155193.294197589</v>
      </c>
      <c r="K6" s="82">
        <f>K5*SUPUESTOS!$B$22</f>
        <v>20934388.57884597</v>
      </c>
      <c r="L6" s="82">
        <f>L5*SUPUESTOS!$B$22</f>
        <v>21744010.777459826</v>
      </c>
      <c r="M6" s="84"/>
    </row>
    <row r="7" spans="1:13" ht="15" customHeight="1" x14ac:dyDescent="0.2">
      <c r="A7" s="48" t="s">
        <v>559</v>
      </c>
      <c r="B7" s="85">
        <v>1</v>
      </c>
      <c r="C7" s="85">
        <v>1</v>
      </c>
      <c r="D7" s="85">
        <v>1</v>
      </c>
      <c r="E7" s="85">
        <v>1</v>
      </c>
      <c r="F7" s="85">
        <v>1</v>
      </c>
      <c r="G7" s="85">
        <v>1</v>
      </c>
      <c r="H7" s="85">
        <v>1</v>
      </c>
      <c r="I7" s="85">
        <v>1</v>
      </c>
      <c r="J7" s="85">
        <v>1</v>
      </c>
      <c r="K7" s="85">
        <v>1</v>
      </c>
      <c r="L7" s="85">
        <v>0</v>
      </c>
      <c r="M7" s="79"/>
    </row>
    <row r="8" spans="1:13" ht="15" customHeight="1" x14ac:dyDescent="0.2">
      <c r="A8" s="48" t="s">
        <v>560</v>
      </c>
      <c r="B8" s="83">
        <f>IF(B7=1,B6*SUPUESTOS!$B$23,0)</f>
        <v>1016379.3103448275</v>
      </c>
      <c r="C8" s="83">
        <f>IF(C7=1,C6*SUPUESTOS!$B$23,0)</f>
        <v>2854089.2666043825</v>
      </c>
      <c r="D8" s="83">
        <f>IF(D7=1,D6*SUPUESTOS!$B$23,0)</f>
        <v>4683509.9243462617</v>
      </c>
      <c r="E8" s="83">
        <f>IF(E7=1,E6*SUPUESTOS!$B$23,0)</f>
        <v>6585191.0469744056</v>
      </c>
      <c r="F8" s="83">
        <f>IF(F7=1,F6*SUPUESTOS!$B$23,0)</f>
        <v>9596692.3444693405</v>
      </c>
      <c r="G8" s="83">
        <f>IF(G7=1,G6*SUPUESTOS!$B$23,0)</f>
        <v>12734397.701364184</v>
      </c>
      <c r="H8" s="83">
        <f>IF(H7=1,H6*SUPUESTOS!$B$23,0)</f>
        <v>15996582.334493443</v>
      </c>
      <c r="I8" s="83">
        <f>IF(I7=1,I6*SUPUESTOS!$B$23,0)</f>
        <v>19388015.504429311</v>
      </c>
      <c r="J8" s="83">
        <f>IF(J7=1,J6*SUPUESTOS!$B$23,0)</f>
        <v>20155193.294197589</v>
      </c>
      <c r="K8" s="83">
        <f>IF(K7=1,K6*SUPUESTOS!$B$23,0)</f>
        <v>20934388.57884597</v>
      </c>
      <c r="L8" s="83">
        <f>IF(L7=1,L6*SUPUESTOS!$B$23,0)</f>
        <v>0</v>
      </c>
      <c r="M8" s="84"/>
    </row>
    <row r="9" spans="1:13" ht="15" customHeight="1" x14ac:dyDescent="0.2">
      <c r="A9" s="48" t="s">
        <v>561</v>
      </c>
      <c r="B9" s="83">
        <f t="shared" ref="B9:L9" si="1">B5-B6+B8</f>
        <v>2947500</v>
      </c>
      <c r="C9" s="83">
        <f t="shared" si="1"/>
        <v>8276858.8731527096</v>
      </c>
      <c r="D9" s="83">
        <f t="shared" si="1"/>
        <v>13582178.780604161</v>
      </c>
      <c r="E9" s="83">
        <f t="shared" si="1"/>
        <v>19097054.036225777</v>
      </c>
      <c r="F9" s="83">
        <f t="shared" si="1"/>
        <v>27830407.798961088</v>
      </c>
      <c r="G9" s="83">
        <f t="shared" si="1"/>
        <v>36929753.333956137</v>
      </c>
      <c r="H9" s="83">
        <f t="shared" si="1"/>
        <v>46390088.77003099</v>
      </c>
      <c r="I9" s="83">
        <f t="shared" si="1"/>
        <v>56225244.962845005</v>
      </c>
      <c r="J9" s="83">
        <f t="shared" si="1"/>
        <v>58450060.553173013</v>
      </c>
      <c r="K9" s="83">
        <f t="shared" si="1"/>
        <v>60709726.878653318</v>
      </c>
      <c r="L9" s="83">
        <f t="shared" si="1"/>
        <v>41313620.477173671</v>
      </c>
      <c r="M9" s="84"/>
    </row>
    <row r="10" spans="1:13" ht="15" customHeight="1" x14ac:dyDescent="0.2">
      <c r="A10" s="48" t="s">
        <v>562</v>
      </c>
      <c r="B10" s="84">
        <f>B5+B8</f>
        <v>3963879.3103448274</v>
      </c>
      <c r="C10" s="84">
        <f t="shared" ref="C10:L10" si="2">C8+MAX(0,C5-B9)</f>
        <v>8183448.1397570921</v>
      </c>
      <c r="D10" s="84">
        <f t="shared" si="2"/>
        <v>9988829.8317977134</v>
      </c>
      <c r="E10" s="84">
        <f t="shared" si="2"/>
        <v>12100066.302596021</v>
      </c>
      <c r="F10" s="84">
        <f t="shared" si="2"/>
        <v>18330046.107204653</v>
      </c>
      <c r="G10" s="84">
        <f t="shared" si="2"/>
        <v>21833743.236359231</v>
      </c>
      <c r="H10" s="84">
        <f t="shared" si="2"/>
        <v>25456917.770568296</v>
      </c>
      <c r="I10" s="84">
        <f t="shared" si="2"/>
        <v>29223171.697243325</v>
      </c>
      <c r="J10" s="84">
        <f t="shared" si="2"/>
        <v>22380008.884525597</v>
      </c>
      <c r="K10" s="84">
        <f t="shared" si="2"/>
        <v>23194054.904326275</v>
      </c>
      <c r="L10" s="84">
        <f t="shared" si="2"/>
        <v>2347904.3759801835</v>
      </c>
      <c r="M10" s="84">
        <f>SUM(B10:L10)</f>
        <v>177002070.56070322</v>
      </c>
    </row>
    <row r="11" spans="1:13" ht="15" customHeight="1" x14ac:dyDescent="0.2">
      <c r="B11" s="79">
        <f>ROUND(B10/SUPUESTOS!$B$8,0)</f>
        <v>99</v>
      </c>
      <c r="C11" s="79">
        <f>ROUND(C10/SUPUESTOS!$B$8,0)</f>
        <v>205</v>
      </c>
      <c r="D11" s="79">
        <f>ROUND(D10/SUPUESTOS!$B$8,0)</f>
        <v>250</v>
      </c>
      <c r="E11" s="79">
        <f>ROUND(E10/SUPUESTOS!$B$8,0)</f>
        <v>303</v>
      </c>
      <c r="F11" s="79">
        <f>ROUND(F10/SUPUESTOS!$B$8,0)</f>
        <v>458</v>
      </c>
      <c r="G11" s="79">
        <f>ROUND(G10/SUPUESTOS!$B$8,0)</f>
        <v>546</v>
      </c>
      <c r="H11" s="79">
        <f>ROUND(H10/SUPUESTOS!$B$8,0)</f>
        <v>636</v>
      </c>
      <c r="I11" s="79">
        <f>ROUND(I10/SUPUESTOS!$B$8,0)</f>
        <v>731</v>
      </c>
      <c r="J11" s="79">
        <f>ROUND(J10/SUPUESTOS!$B$8,0)</f>
        <v>560</v>
      </c>
      <c r="K11" s="79">
        <f>ROUND(K10/SUPUESTOS!$B$8,0)</f>
        <v>580</v>
      </c>
      <c r="L11" s="79">
        <f>ROUND(L10/SUPUESTOS!$B$8,0)</f>
        <v>59</v>
      </c>
      <c r="M11" s="79"/>
    </row>
    <row r="12" spans="1:13" ht="15" customHeight="1" x14ac:dyDescent="0.2">
      <c r="A12" s="87" t="s">
        <v>563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</row>
    <row r="13" spans="1:13" ht="15" customHeight="1" x14ac:dyDescent="0.2">
      <c r="A13" s="48" t="s">
        <v>672</v>
      </c>
      <c r="B13" s="88">
        <v>0</v>
      </c>
      <c r="C13" s="88">
        <v>0</v>
      </c>
      <c r="D13" s="88">
        <v>0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0</v>
      </c>
      <c r="L13" s="88">
        <v>0</v>
      </c>
      <c r="M13" s="79"/>
    </row>
    <row r="14" spans="1:13" ht="15" customHeight="1" x14ac:dyDescent="0.2">
      <c r="A14" s="48" t="s">
        <v>565</v>
      </c>
      <c r="B14" s="83">
        <f>IF(B13=1, B44*SUPUESTOS!$B$52, 0)</f>
        <v>0</v>
      </c>
      <c r="C14" s="83">
        <f>IF(C13=1, C44*SUPUESTOS!$B$52, B14)</f>
        <v>0</v>
      </c>
      <c r="D14" s="83">
        <f>IF(D13=1, D44*SUPUESTOS!$B$52, C14)</f>
        <v>0</v>
      </c>
      <c r="E14" s="83">
        <f>IF(E13=1, E44*SUPUESTOS!$B$52, D14)</f>
        <v>0</v>
      </c>
      <c r="F14" s="83">
        <f>IF(F13=1, F44*SUPUESTOS!$B$52, E14)</f>
        <v>0</v>
      </c>
      <c r="G14" s="83">
        <f>IF(G13=1, G44*SUPUESTOS!$B$52, F14)</f>
        <v>0</v>
      </c>
      <c r="H14" s="83">
        <f>IF(H13=1, H44*SUPUESTOS!$B$52, G14)</f>
        <v>0</v>
      </c>
      <c r="I14" s="83">
        <f>IF(I13=1, I44*SUPUESTOS!$B$52, H14)</f>
        <v>0</v>
      </c>
      <c r="J14" s="83">
        <f>IF(J13=1, J44*SUPUESTOS!$B$52, I14)</f>
        <v>0</v>
      </c>
      <c r="K14" s="83">
        <f>IF(K13=1, K44*SUPUESTOS!$B$52, J14)</f>
        <v>0</v>
      </c>
      <c r="L14" s="83">
        <f>IF(L13=1, L44*SUPUESTOS!$B$52, K14)</f>
        <v>0</v>
      </c>
      <c r="M14" s="84"/>
    </row>
    <row r="15" spans="1:13" ht="15" customHeight="1" x14ac:dyDescent="0.2">
      <c r="A15" s="48" t="s">
        <v>566</v>
      </c>
      <c r="B15" s="89">
        <f t="shared" ref="B15:L15" si="3">B5</f>
        <v>2947500</v>
      </c>
      <c r="C15" s="89">
        <f t="shared" si="3"/>
        <v>8276858.8731527096</v>
      </c>
      <c r="D15" s="89">
        <f t="shared" si="3"/>
        <v>13582178.780604161</v>
      </c>
      <c r="E15" s="89">
        <f t="shared" si="3"/>
        <v>19097054.036225777</v>
      </c>
      <c r="F15" s="89">
        <f t="shared" si="3"/>
        <v>27830407.798961092</v>
      </c>
      <c r="G15" s="89">
        <f t="shared" si="3"/>
        <v>36929753.333956137</v>
      </c>
      <c r="H15" s="89">
        <f t="shared" si="3"/>
        <v>46390088.77003099</v>
      </c>
      <c r="I15" s="89">
        <f t="shared" si="3"/>
        <v>56225244.962845005</v>
      </c>
      <c r="J15" s="89">
        <f t="shared" si="3"/>
        <v>58450060.553173013</v>
      </c>
      <c r="K15" s="89">
        <f t="shared" si="3"/>
        <v>60709726.878653318</v>
      </c>
      <c r="L15" s="89">
        <f t="shared" si="3"/>
        <v>63057631.254633501</v>
      </c>
      <c r="M15" s="84"/>
    </row>
    <row r="16" spans="1:13" ht="15" customHeight="1" x14ac:dyDescent="0.2">
      <c r="A16" s="48" t="s">
        <v>567</v>
      </c>
      <c r="B16" s="139">
        <f t="shared" ref="B16:L16" si="4">IF(B5&gt;0,B14/B5,0)</f>
        <v>0</v>
      </c>
      <c r="C16" s="139">
        <f t="shared" si="4"/>
        <v>0</v>
      </c>
      <c r="D16" s="139">
        <f t="shared" si="4"/>
        <v>0</v>
      </c>
      <c r="E16" s="139">
        <f t="shared" si="4"/>
        <v>0</v>
      </c>
      <c r="F16" s="139">
        <f t="shared" si="4"/>
        <v>0</v>
      </c>
      <c r="G16" s="139">
        <f t="shared" si="4"/>
        <v>0</v>
      </c>
      <c r="H16" s="139">
        <f t="shared" si="4"/>
        <v>0</v>
      </c>
      <c r="I16" s="139">
        <f t="shared" si="4"/>
        <v>0</v>
      </c>
      <c r="J16" s="139">
        <f t="shared" si="4"/>
        <v>0</v>
      </c>
      <c r="K16" s="139">
        <f t="shared" si="4"/>
        <v>0</v>
      </c>
      <c r="L16" s="139">
        <f t="shared" si="4"/>
        <v>0</v>
      </c>
      <c r="M16" s="79"/>
    </row>
    <row r="17" spans="1:13" x14ac:dyDescent="0.2"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</row>
    <row r="18" spans="1:13" ht="15" customHeight="1" x14ac:dyDescent="0.2">
      <c r="A18" s="44" t="s">
        <v>568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</row>
    <row r="19" spans="1:13" ht="15" customHeight="1" x14ac:dyDescent="0.2">
      <c r="A19" s="48" t="s">
        <v>569</v>
      </c>
      <c r="B19" s="82">
        <f>IF(B7=1,B5*SUPUESTOS!$B$24,B5*SUPUESTOS!$B$24/2)</f>
        <v>365490</v>
      </c>
      <c r="C19" s="82">
        <f>IF(C7=1,C5*SUPUESTOS!$B$24,C5*SUPUESTOS!$B$24/2)</f>
        <v>1026330.5002709359</v>
      </c>
      <c r="D19" s="82">
        <f>IF(D7=1,D5*SUPUESTOS!$B$24,D5*SUPUESTOS!$B$24/2)</f>
        <v>1684190.168794916</v>
      </c>
      <c r="E19" s="82">
        <f>IF(E7=1,E5*SUPUESTOS!$B$24,E5*SUPUESTOS!$B$24/2)</f>
        <v>2368034.7004919965</v>
      </c>
      <c r="F19" s="82">
        <f>IF(F7=1,F5*SUPUESTOS!$B$24,F5*SUPUESTOS!$B$24/2)</f>
        <v>3450970.5670711752</v>
      </c>
      <c r="G19" s="82">
        <f>IF(G7=1,G5*SUPUESTOS!$B$24,G5*SUPUESTOS!$B$24/2)</f>
        <v>4579289.4134105612</v>
      </c>
      <c r="H19" s="82">
        <f>IF(H7=1,H5*SUPUESTOS!$B$24,H5*SUPUESTOS!$B$24/2)</f>
        <v>5752371.0074838428</v>
      </c>
      <c r="I19" s="82">
        <f>IF(I7=1,I5*SUPUESTOS!$B$24,I5*SUPUESTOS!$B$24/2)</f>
        <v>6971930.3753927806</v>
      </c>
      <c r="J19" s="82">
        <f>IF(J7=1,J5*SUPUESTOS!$B$24,J5*SUPUESTOS!$B$24/2)</f>
        <v>7247807.508593454</v>
      </c>
      <c r="K19" s="82">
        <f>IF(K7=1,K5*SUPUESTOS!$B$24,K5*SUPUESTOS!$B$24/2)</f>
        <v>7528006.1329530114</v>
      </c>
      <c r="L19" s="82">
        <f>IF(L7=1,L5*SUPUESTOS!$B$24,L5*SUPUESTOS!$B$24/2)</f>
        <v>3909573.1377872769</v>
      </c>
      <c r="M19" s="84">
        <f t="shared" ref="M19:M21" si="5">SUM(B19:L19)</f>
        <v>44883993.512249947</v>
      </c>
    </row>
    <row r="20" spans="1:13" ht="15" customHeight="1" x14ac:dyDescent="0.2">
      <c r="A20" s="48" t="s">
        <v>673</v>
      </c>
      <c r="B20" s="82">
        <f>(B10/(1+SUPUESTOS!$B$38))*SUPUESTOS!$B$38</f>
        <v>188756.15763546797</v>
      </c>
      <c r="C20" s="82">
        <f>(C10/(1+SUPUESTOS!$B$38))*SUPUESTOS!$B$38</f>
        <v>389688.00665509963</v>
      </c>
      <c r="D20" s="82">
        <f>(D10/(1+SUPUESTOS!$B$38))*SUPUESTOS!$B$38</f>
        <v>475658.56341893872</v>
      </c>
      <c r="E20" s="82">
        <f>(E10/(1+SUPUESTOS!$B$38))*SUPUESTOS!$B$38</f>
        <v>576193.63345695334</v>
      </c>
      <c r="F20" s="82">
        <f>(F10/(1+SUPUESTOS!$B$38))*SUPUESTOS!$B$38</f>
        <v>872859.33843831683</v>
      </c>
      <c r="G20" s="82">
        <f>(G10/(1+SUPUESTOS!$B$38))*SUPUESTOS!$B$38</f>
        <v>1039702.0588742491</v>
      </c>
      <c r="H20" s="82">
        <f>(H10/(1+SUPUESTOS!$B$38))*SUPUESTOS!$B$38</f>
        <v>1212234.1795508713</v>
      </c>
      <c r="I20" s="82">
        <f>(I10/(1+SUPUESTOS!$B$38))*SUPUESTOS!$B$38</f>
        <v>1391579.6046306347</v>
      </c>
      <c r="J20" s="82">
        <f>(J10/(1+SUPUESTOS!$B$38))*SUPUESTOS!$B$38</f>
        <v>1065714.7087869332</v>
      </c>
      <c r="K20" s="82">
        <f>(K10/(1+SUPUESTOS!$B$38))*SUPUESTOS!$B$38</f>
        <v>1104478.804967918</v>
      </c>
      <c r="L20" s="82">
        <f>(L10/(1+SUPUESTOS!$B$38))*SUPUESTOS!$B$38</f>
        <v>111804.97028477065</v>
      </c>
      <c r="M20" s="84">
        <f t="shared" si="5"/>
        <v>8428670.0267001521</v>
      </c>
    </row>
    <row r="21" spans="1:13" ht="15" customHeight="1" x14ac:dyDescent="0.2">
      <c r="A21" s="42" t="s">
        <v>571</v>
      </c>
      <c r="B21" s="84">
        <f t="shared" ref="B21:L21" si="6">B19+B20</f>
        <v>554246.15763546794</v>
      </c>
      <c r="C21" s="84">
        <f t="shared" si="6"/>
        <v>1416018.5069260355</v>
      </c>
      <c r="D21" s="84">
        <f t="shared" si="6"/>
        <v>2159848.7322138548</v>
      </c>
      <c r="E21" s="84">
        <f t="shared" si="6"/>
        <v>2944228.3339489498</v>
      </c>
      <c r="F21" s="84">
        <f t="shared" si="6"/>
        <v>4323829.9055094924</v>
      </c>
      <c r="G21" s="84">
        <f t="shared" si="6"/>
        <v>5618991.4722848106</v>
      </c>
      <c r="H21" s="84">
        <f t="shared" si="6"/>
        <v>6964605.187034714</v>
      </c>
      <c r="I21" s="84">
        <f t="shared" si="6"/>
        <v>8363509.9800234158</v>
      </c>
      <c r="J21" s="84">
        <f t="shared" si="6"/>
        <v>8313522.2173803877</v>
      </c>
      <c r="K21" s="84">
        <f t="shared" si="6"/>
        <v>8632484.9379209299</v>
      </c>
      <c r="L21" s="84">
        <f t="shared" si="6"/>
        <v>4021378.1080720476</v>
      </c>
      <c r="M21" s="84">
        <f t="shared" si="5"/>
        <v>53312663.538950108</v>
      </c>
    </row>
    <row r="22" spans="1:13" ht="15.75" customHeight="1" x14ac:dyDescent="0.2"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</row>
    <row r="23" spans="1:13" ht="15" customHeight="1" x14ac:dyDescent="0.2">
      <c r="A23" s="44" t="s">
        <v>572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</row>
    <row r="24" spans="1:13" ht="15" customHeight="1" x14ac:dyDescent="0.2">
      <c r="A24" s="48" t="s">
        <v>573</v>
      </c>
      <c r="B24" s="84">
        <f>B44*SUPUESTOS!$B$28</f>
        <v>36000</v>
      </c>
      <c r="C24" s="84">
        <f>C44*SUPUESTOS!$B$28</f>
        <v>99322.306477832521</v>
      </c>
      <c r="D24" s="84">
        <f>D44*SUPUESTOS!$B$28</f>
        <v>162986.14536724993</v>
      </c>
      <c r="E24" s="84">
        <f>E44*SUPUESTOS!$B$28</f>
        <v>229164.64843470932</v>
      </c>
      <c r="F24" s="84">
        <f>F44*SUPUESTOS!$B$28</f>
        <v>333964.89358753309</v>
      </c>
      <c r="G24" s="84">
        <f>G44*SUPUESTOS!$B$28</f>
        <v>443157.04000747367</v>
      </c>
      <c r="H24" s="84">
        <f>H44*SUPUESTOS!$B$28</f>
        <v>556681.06524037186</v>
      </c>
      <c r="I24" s="84">
        <f>I44*SUPUESTOS!$B$28</f>
        <v>674702.93955414009</v>
      </c>
      <c r="J24" s="84">
        <f>J44*SUPUESTOS!$B$28</f>
        <v>701400.72663807613</v>
      </c>
      <c r="K24" s="84">
        <f>K44*SUPUESTOS!$B$28</f>
        <v>728516.72254383983</v>
      </c>
      <c r="L24" s="84">
        <f>L44*SUPUESTOS!$B$28</f>
        <v>756691.57505560201</v>
      </c>
      <c r="M24" s="84">
        <f t="shared" ref="M24:M32" si="7">SUM(B24:L24)</f>
        <v>4722588.0629068278</v>
      </c>
    </row>
    <row r="25" spans="1:13" ht="15" customHeight="1" x14ac:dyDescent="0.2">
      <c r="A25" s="48" t="s">
        <v>574</v>
      </c>
      <c r="B25" s="84">
        <f>MAX(B44*SUPUESTOS!$B$29,SUPUESTOS!$B$40)+10000</f>
        <v>31600</v>
      </c>
      <c r="C25" s="84">
        <f>MAX(C44*SUPUESTOS!$B$29,SUPUESTOS!$B$40)</f>
        <v>21600</v>
      </c>
      <c r="D25" s="84">
        <f>MAX(D44*SUPUESTOS!$B$29,SUPUESTOS!$B$40)</f>
        <v>27164.357561208322</v>
      </c>
      <c r="E25" s="84">
        <f>MAX(E44*SUPUESTOS!$B$29,SUPUESTOS!$B$40)</f>
        <v>38194.108072451556</v>
      </c>
      <c r="F25" s="84">
        <f>MAX(F44*SUPUESTOS!$B$29,SUPUESTOS!$B$40)</f>
        <v>55660.815597922185</v>
      </c>
      <c r="G25" s="84">
        <f>MAX(G44*SUPUESTOS!$B$29,SUPUESTOS!$B$40)</f>
        <v>73859.506667912283</v>
      </c>
      <c r="H25" s="84">
        <f>MAX(H44*SUPUESTOS!$B$29,SUPUESTOS!$B$40)</f>
        <v>92780.177540061981</v>
      </c>
      <c r="I25" s="84">
        <f>MAX(I44*SUPUESTOS!$B$29,SUPUESTOS!$B$40)</f>
        <v>112450.48992569001</v>
      </c>
      <c r="J25" s="84">
        <f>MAX(J44*SUPUESTOS!$B$29,SUPUESTOS!$B$40)</f>
        <v>116900.12110634602</v>
      </c>
      <c r="K25" s="84">
        <f>MAX(K44*SUPUESTOS!$B$29,SUPUESTOS!$B$40)</f>
        <v>121419.45375730663</v>
      </c>
      <c r="L25" s="84">
        <f>MAX(L44*SUPUESTOS!$B$29,SUPUESTOS!$B$40)</f>
        <v>126115.26250926701</v>
      </c>
      <c r="M25" s="84">
        <f t="shared" si="7"/>
        <v>817744.29273816594</v>
      </c>
    </row>
    <row r="26" spans="1:13" ht="15" customHeight="1" x14ac:dyDescent="0.2">
      <c r="A26" s="66" t="s">
        <v>575</v>
      </c>
      <c r="B26" s="92">
        <f>B44*SUPUESTOS!$B$30</f>
        <v>0</v>
      </c>
      <c r="C26" s="92">
        <f>C44*SUPUESTOS!$B$30</f>
        <v>0</v>
      </c>
      <c r="D26" s="92">
        <f>D44*SUPUESTOS!$B$30</f>
        <v>0</v>
      </c>
      <c r="E26" s="92">
        <f>E44*SUPUESTOS!$B$30</f>
        <v>0</v>
      </c>
      <c r="F26" s="92">
        <f>F44*SUPUESTOS!$B$30</f>
        <v>0</v>
      </c>
      <c r="G26" s="92">
        <f>G44*SUPUESTOS!$B$30</f>
        <v>0</v>
      </c>
      <c r="H26" s="92">
        <f>H44*SUPUESTOS!$B$30</f>
        <v>0</v>
      </c>
      <c r="I26" s="92">
        <f>I44*SUPUESTOS!$B$30</f>
        <v>0</v>
      </c>
      <c r="J26" s="92">
        <f>J44*SUPUESTOS!$B$30</f>
        <v>0</v>
      </c>
      <c r="K26" s="92">
        <f>K44*SUPUESTOS!$B$30</f>
        <v>0</v>
      </c>
      <c r="L26" s="92">
        <f>L44*SUPUESTOS!$B$30</f>
        <v>0</v>
      </c>
      <c r="M26" s="92">
        <f t="shared" si="7"/>
        <v>0</v>
      </c>
    </row>
    <row r="27" spans="1:13" ht="15" customHeight="1" x14ac:dyDescent="0.2">
      <c r="A27" s="66" t="s">
        <v>576</v>
      </c>
      <c r="B27" s="92">
        <f>B10*(SUPUESTOS!$B$31)</f>
        <v>49548.491379310348</v>
      </c>
      <c r="C27" s="92">
        <f>C10*(SUPUESTOS!$B$31)</f>
        <v>102293.10174696366</v>
      </c>
      <c r="D27" s="92">
        <f>D10*(SUPUESTOS!$B$31)</f>
        <v>124860.37289747142</v>
      </c>
      <c r="E27" s="92">
        <f>E10*(SUPUESTOS!$B$31)</f>
        <v>151250.82878245026</v>
      </c>
      <c r="F27" s="92">
        <f>F10*(SUPUESTOS!$B$31)</f>
        <v>229125.57634005818</v>
      </c>
      <c r="G27" s="92">
        <f>G10*(SUPUESTOS!$B$31)</f>
        <v>272921.7904544904</v>
      </c>
      <c r="H27" s="92">
        <f>H10*(SUPUESTOS!$B$31)</f>
        <v>318211.47213210375</v>
      </c>
      <c r="I27" s="92">
        <f>I10*(SUPUESTOS!$B$31)</f>
        <v>365289.64621554158</v>
      </c>
      <c r="J27" s="92">
        <f>J10*(SUPUESTOS!$B$31)</f>
        <v>279750.11105656996</v>
      </c>
      <c r="K27" s="92">
        <f>K10*(SUPUESTOS!$B$31)</f>
        <v>289925.68630407844</v>
      </c>
      <c r="L27" s="92">
        <f>L10*(SUPUESTOS!$B$31)</f>
        <v>29348.804699752294</v>
      </c>
      <c r="M27" s="92">
        <f t="shared" si="7"/>
        <v>2212525.88200879</v>
      </c>
    </row>
    <row r="28" spans="1:13" ht="15" customHeight="1" x14ac:dyDescent="0.2">
      <c r="A28" s="48" t="s">
        <v>577</v>
      </c>
      <c r="B28" s="84">
        <f>SUPUESTOS!$B$42+SUPUESTOS!$B$43+SUPUESTOS!$B$44+SUPUESTOS!$B$45+SUPUESTOS!$B$46+SUPUESTOS!$B$47+SUPUESTOS!$B$48</f>
        <v>68100</v>
      </c>
      <c r="C28" s="84">
        <f>SUPUESTOS!$B$42+SUPUESTOS!$B$43+SUPUESTOS!$B$45+SUPUESTOS!$B$46+SUPUESTOS!$B$47+SUPUESTOS!$B$48</f>
        <v>56000</v>
      </c>
      <c r="D28" s="84">
        <f>SUPUESTOS!$B$42+SUPUESTOS!$B$43+SUPUESTOS!$B$45+SUPUESTOS!$B$46+SUPUESTOS!$B$47+SUPUESTOS!$B$48</f>
        <v>56000</v>
      </c>
      <c r="E28" s="84">
        <f>SUPUESTOS!$B$42+SUPUESTOS!$B$43+SUPUESTOS!$B$45+SUPUESTOS!$B$46+SUPUESTOS!$B$47+SUPUESTOS!$B$48</f>
        <v>56000</v>
      </c>
      <c r="F28" s="84">
        <f>SUPUESTOS!$B$42+SUPUESTOS!$B$43+SUPUESTOS!$B$45+SUPUESTOS!$B$46+SUPUESTOS!$B$47+SUPUESTOS!$B$48</f>
        <v>56000</v>
      </c>
      <c r="G28" s="84">
        <f>SUPUESTOS!$B$42+SUPUESTOS!$B$43+SUPUESTOS!$B$45+SUPUESTOS!$B$46+SUPUESTOS!$B$47+SUPUESTOS!$B$48</f>
        <v>56000</v>
      </c>
      <c r="H28" s="84">
        <f>SUPUESTOS!$B$42+SUPUESTOS!$B$43+SUPUESTOS!$B$45+SUPUESTOS!$B$46+SUPUESTOS!$B$47+SUPUESTOS!$B$48</f>
        <v>56000</v>
      </c>
      <c r="I28" s="84">
        <f>SUPUESTOS!$B$42+SUPUESTOS!$B$43+SUPUESTOS!$B$45+SUPUESTOS!$B$46+SUPUESTOS!$B$47+SUPUESTOS!$B$48</f>
        <v>56000</v>
      </c>
      <c r="J28" s="84">
        <f>SUPUESTOS!$B$42+SUPUESTOS!$B$43+SUPUESTOS!$B$45+SUPUESTOS!$B$46+SUPUESTOS!$B$47+SUPUESTOS!$B$48</f>
        <v>56000</v>
      </c>
      <c r="K28" s="84">
        <f>SUPUESTOS!$B$42+SUPUESTOS!$B$43+SUPUESTOS!$B$45+SUPUESTOS!$B$46+SUPUESTOS!$B$47+SUPUESTOS!$B$48</f>
        <v>56000</v>
      </c>
      <c r="L28" s="84">
        <f>SUPUESTOS!$B$42+SUPUESTOS!$B$43+SUPUESTOS!$B$45+SUPUESTOS!$B$46+SUPUESTOS!$B$47+SUPUESTOS!$B$48</f>
        <v>56000</v>
      </c>
      <c r="M28" s="84">
        <f t="shared" si="7"/>
        <v>628100</v>
      </c>
    </row>
    <row r="29" spans="1:13" ht="15" customHeight="1" x14ac:dyDescent="0.2">
      <c r="A29" s="48" t="s">
        <v>578</v>
      </c>
      <c r="B29" s="84">
        <f>(SUPUESTOS!$B$6+B42)*(SUPUESTOS!$B$36+SUPUESTOS!$B$37)</f>
        <v>52499.999999999993</v>
      </c>
      <c r="C29" s="84">
        <f>C42*(SUPUESTOS!$B$36+SUPUESTOS!$B$37)</f>
        <v>87499.999999999985</v>
      </c>
      <c r="D29" s="84">
        <f>D42*(SUPUESTOS!$B$36+SUPUESTOS!$B$37)</f>
        <v>87499.999999999985</v>
      </c>
      <c r="E29" s="84">
        <f>E42*(SUPUESTOS!$B$36+SUPUESTOS!$B$37)</f>
        <v>87499.999999999985</v>
      </c>
      <c r="F29" s="84">
        <f>F42*(SUPUESTOS!$B$36+SUPUESTOS!$B$37)</f>
        <v>140000</v>
      </c>
      <c r="G29" s="84">
        <f>G42*(SUPUESTOS!$B$36+SUPUESTOS!$B$37)</f>
        <v>140000</v>
      </c>
      <c r="H29" s="84">
        <f>H42*(SUPUESTOS!$B$36+SUPUESTOS!$B$37)</f>
        <v>140000</v>
      </c>
      <c r="I29" s="84">
        <f>I42*(SUPUESTOS!$B$36+SUPUESTOS!$B$37)</f>
        <v>140000</v>
      </c>
      <c r="J29" s="84">
        <f>J42*(SUPUESTOS!$B$36+SUPUESTOS!$B$37)</f>
        <v>0</v>
      </c>
      <c r="K29" s="84">
        <f>K42*(SUPUESTOS!$B$36+SUPUESTOS!$B$37)</f>
        <v>0</v>
      </c>
      <c r="L29" s="84">
        <f>L42*(SUPUESTOS!$B$36+SUPUESTOS!$B$37)</f>
        <v>0</v>
      </c>
      <c r="M29" s="84">
        <f t="shared" si="7"/>
        <v>875000</v>
      </c>
    </row>
    <row r="30" spans="1:13" ht="15" customHeight="1" x14ac:dyDescent="0.2">
      <c r="A30" s="66" t="s">
        <v>579</v>
      </c>
      <c r="B30" s="84">
        <f>B20*SUPUESTOS!$B$39</f>
        <v>39638.793103448275</v>
      </c>
      <c r="C30" s="84">
        <f>C20*SUPUESTOS!$B$39</f>
        <v>81834.481397570926</v>
      </c>
      <c r="D30" s="84">
        <f>D20*SUPUESTOS!$B$39</f>
        <v>99888.298317977125</v>
      </c>
      <c r="E30" s="84">
        <f>E20*SUPUESTOS!$B$39</f>
        <v>121000.6630259602</v>
      </c>
      <c r="F30" s="84">
        <f>F20*SUPUESTOS!$B$39</f>
        <v>183300.46107204651</v>
      </c>
      <c r="G30" s="84">
        <f>G20*SUPUESTOS!$B$39</f>
        <v>218337.43236359229</v>
      </c>
      <c r="H30" s="84">
        <f>H20*SUPUESTOS!$B$39</f>
        <v>254569.17770568296</v>
      </c>
      <c r="I30" s="84">
        <f>I20*SUPUESTOS!$B$39</f>
        <v>292231.71697243326</v>
      </c>
      <c r="J30" s="84">
        <f>J20*SUPUESTOS!$B$39</f>
        <v>223800.08884525596</v>
      </c>
      <c r="K30" s="84">
        <f>K20*SUPUESTOS!$B$39</f>
        <v>231940.54904326276</v>
      </c>
      <c r="L30" s="84">
        <f>L20*SUPUESTOS!$B$39</f>
        <v>23479.043759801836</v>
      </c>
      <c r="M30" s="84">
        <f t="shared" si="7"/>
        <v>1770020.7056070322</v>
      </c>
    </row>
    <row r="31" spans="1:13" ht="15" customHeight="1" x14ac:dyDescent="0.2">
      <c r="A31" s="93" t="s">
        <v>580</v>
      </c>
      <c r="B31" s="84">
        <f>B14*SUPUESTOS!$B$54</f>
        <v>0</v>
      </c>
      <c r="C31" s="84">
        <f>C14*SUPUESTOS!$B$54</f>
        <v>0</v>
      </c>
      <c r="D31" s="84">
        <f>D14*SUPUESTOS!$B$54</f>
        <v>0</v>
      </c>
      <c r="E31" s="84">
        <f>E14*SUPUESTOS!$B$54</f>
        <v>0</v>
      </c>
      <c r="F31" s="84">
        <f>F14*SUPUESTOS!$B$54</f>
        <v>0</v>
      </c>
      <c r="G31" s="84">
        <f>G14*SUPUESTOS!$B$54</f>
        <v>0</v>
      </c>
      <c r="H31" s="84">
        <f>H14*SUPUESTOS!$B$54</f>
        <v>0</v>
      </c>
      <c r="I31" s="84">
        <f>I14*SUPUESTOS!$B$54</f>
        <v>0</v>
      </c>
      <c r="J31" s="84">
        <f>J14*SUPUESTOS!$B$54</f>
        <v>0</v>
      </c>
      <c r="K31" s="84">
        <f>K14*SUPUESTOS!$B$54</f>
        <v>0</v>
      </c>
      <c r="L31" s="84">
        <f>L14*SUPUESTOS!$B$54</f>
        <v>0</v>
      </c>
      <c r="M31" s="84">
        <f t="shared" si="7"/>
        <v>0</v>
      </c>
    </row>
    <row r="32" spans="1:13" ht="15" customHeight="1" x14ac:dyDescent="0.2">
      <c r="A32" s="42" t="s">
        <v>581</v>
      </c>
      <c r="B32" s="84">
        <f t="shared" ref="B32:L32" si="8">B24+B25+B26+B27+B28+B29+B30+B31+B34</f>
        <v>277387.28448275861</v>
      </c>
      <c r="C32" s="84">
        <f t="shared" si="8"/>
        <v>448549.8896223671</v>
      </c>
      <c r="D32" s="84">
        <f t="shared" si="8"/>
        <v>558399.1741439068</v>
      </c>
      <c r="E32" s="84">
        <f t="shared" si="8"/>
        <v>683110.24831557134</v>
      </c>
      <c r="F32" s="84">
        <f t="shared" si="8"/>
        <v>998051.74659756001</v>
      </c>
      <c r="G32" s="84">
        <f t="shared" si="8"/>
        <v>1204275.7694934686</v>
      </c>
      <c r="H32" s="84">
        <f t="shared" si="8"/>
        <v>1418241.8926182205</v>
      </c>
      <c r="I32" s="84">
        <f t="shared" si="8"/>
        <v>1640674.792667805</v>
      </c>
      <c r="J32" s="84">
        <f t="shared" si="8"/>
        <v>1377851.047646248</v>
      </c>
      <c r="K32" s="84">
        <f t="shared" si="8"/>
        <v>1427802.4116484877</v>
      </c>
      <c r="L32" s="84">
        <f t="shared" si="8"/>
        <v>2934380.5594629766</v>
      </c>
      <c r="M32" s="84">
        <f t="shared" si="7"/>
        <v>12968724.816699371</v>
      </c>
    </row>
    <row r="33" spans="1:13" ht="15" customHeight="1" x14ac:dyDescent="0.2">
      <c r="A33" s="94" t="s">
        <v>582</v>
      </c>
      <c r="B33" s="95">
        <f>'RESULTADOS ASESOR TCMC'!B14</f>
        <v>9685.8873152709275</v>
      </c>
      <c r="C33" s="95">
        <f>'RESULTADOS ASESOR TCMC'!C14</f>
        <v>47085.708491450583</v>
      </c>
      <c r="D33" s="95">
        <f>'RESULTADOS ASESOR TCMC'!D14</f>
        <v>78651.883123369844</v>
      </c>
      <c r="E33" s="95">
        <f>'RESULTADOS ASESOR TCMC'!E14</f>
        <v>111529.48434598313</v>
      </c>
      <c r="F33" s="95">
        <f>'RESULTADOS ASESOR TCMC'!F14</f>
        <v>165595.36909742674</v>
      </c>
      <c r="G33" s="95">
        <f>'RESULTADOS ASESOR TCMC'!G14</f>
        <v>219893.05027539746</v>
      </c>
      <c r="H33" s="95">
        <f>'RESULTADOS ASESOR TCMC'!H14</f>
        <v>276295.79682146345</v>
      </c>
      <c r="I33" s="95">
        <f>'RESULTADOS ASESOR TCMC'!I14</f>
        <v>334932.04895849113</v>
      </c>
      <c r="J33" s="95">
        <f>'RESULTADOS ASESOR TCMC'!J14</f>
        <v>342866.75365437591</v>
      </c>
      <c r="K33" s="95">
        <f>'RESULTADOS ASESOR TCMC'!K14</f>
        <v>356209.89135532442</v>
      </c>
      <c r="L33" s="95">
        <f>'RESULTADOS ASESOR TCMC'!L14</f>
        <v>0</v>
      </c>
      <c r="M33" s="95">
        <f>'RESULTADOS ASESOR TCMC'!M14</f>
        <v>1942745.8734385534</v>
      </c>
    </row>
    <row r="34" spans="1:13" ht="15" customHeight="1" x14ac:dyDescent="0.2">
      <c r="A34" s="96" t="s">
        <v>674</v>
      </c>
      <c r="B34" s="97">
        <f>'RESULTADOS ASESOR TCMC'!B18</f>
        <v>0</v>
      </c>
      <c r="C34" s="97">
        <f>'RESULTADOS ASESOR TCMC'!C18</f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f>'RESULTADOS ASESOR TCMC'!L18</f>
        <v>1942745.8734385534</v>
      </c>
      <c r="M34" s="97">
        <f>'RESULTADOS ASESOR TCMC'!M18</f>
        <v>1942745.8734385534</v>
      </c>
    </row>
    <row r="35" spans="1:13" ht="15" customHeight="1" x14ac:dyDescent="0.2">
      <c r="A35" s="44" t="s">
        <v>584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</row>
    <row r="36" spans="1:13" ht="15" customHeight="1" x14ac:dyDescent="0.2">
      <c r="A36" s="42" t="s">
        <v>585</v>
      </c>
      <c r="B36" s="84">
        <f t="shared" ref="B36:L36" si="9">B21-B32</f>
        <v>276858.87315270933</v>
      </c>
      <c r="C36" s="84">
        <f t="shared" si="9"/>
        <v>967468.6173036684</v>
      </c>
      <c r="D36" s="84">
        <f t="shared" si="9"/>
        <v>1601449.5580699481</v>
      </c>
      <c r="E36" s="84">
        <f t="shared" si="9"/>
        <v>2261118.0856333785</v>
      </c>
      <c r="F36" s="84">
        <f t="shared" si="9"/>
        <v>3325778.1589119323</v>
      </c>
      <c r="G36" s="84">
        <f t="shared" si="9"/>
        <v>4414715.7027913425</v>
      </c>
      <c r="H36" s="84">
        <f t="shared" si="9"/>
        <v>5546363.2944164937</v>
      </c>
      <c r="I36" s="84">
        <f t="shared" si="9"/>
        <v>6722835.1873556105</v>
      </c>
      <c r="J36" s="84">
        <f t="shared" si="9"/>
        <v>6935671.1697341399</v>
      </c>
      <c r="K36" s="84">
        <f t="shared" si="9"/>
        <v>7204682.5262724422</v>
      </c>
      <c r="L36" s="84">
        <f t="shared" si="9"/>
        <v>1086997.5486090709</v>
      </c>
      <c r="M36" s="84">
        <f>SUM(B36:L36)</f>
        <v>40343938.722250737</v>
      </c>
    </row>
    <row r="37" spans="1:13" ht="15" customHeight="1" x14ac:dyDescent="0.2">
      <c r="A37" s="48" t="s">
        <v>586</v>
      </c>
      <c r="B37" s="100">
        <f t="shared" ref="B37:L37" si="10">IF(B44&gt;0,B36/B44,0)</f>
        <v>9.2286291050903108E-2</v>
      </c>
      <c r="C37" s="100">
        <f t="shared" si="10"/>
        <v>0.11688837904942474</v>
      </c>
      <c r="D37" s="100">
        <f t="shared" si="10"/>
        <v>0.11790814890147636</v>
      </c>
      <c r="E37" s="100">
        <f t="shared" si="10"/>
        <v>0.11840140795246196</v>
      </c>
      <c r="F37" s="100">
        <f t="shared" si="10"/>
        <v>0.11950159634513453</v>
      </c>
      <c r="G37" s="100">
        <f t="shared" si="10"/>
        <v>0.11954360114103724</v>
      </c>
      <c r="H37" s="100">
        <f t="shared" si="10"/>
        <v>0.11955923003103985</v>
      </c>
      <c r="I37" s="100">
        <f t="shared" si="10"/>
        <v>0.11956969136903221</v>
      </c>
      <c r="J37" s="100">
        <f t="shared" si="10"/>
        <v>0.11865977732263668</v>
      </c>
      <c r="K37" s="100">
        <f t="shared" si="10"/>
        <v>0.11867427011610794</v>
      </c>
      <c r="L37" s="100">
        <f t="shared" si="10"/>
        <v>1.7238160187458641E-2</v>
      </c>
      <c r="M37" s="79"/>
    </row>
    <row r="38" spans="1:13" ht="15" customHeight="1" x14ac:dyDescent="0.2">
      <c r="A38" s="140" t="s">
        <v>587</v>
      </c>
      <c r="B38" s="141">
        <f t="shared" ref="B38:L38" si="11">B76</f>
        <v>0</v>
      </c>
      <c r="C38" s="141">
        <f t="shared" si="11"/>
        <v>662148.70985221677</v>
      </c>
      <c r="D38" s="141">
        <f t="shared" si="11"/>
        <v>1086574.302448333</v>
      </c>
      <c r="E38" s="141">
        <f t="shared" si="11"/>
        <v>1527764.3228980622</v>
      </c>
      <c r="F38" s="141">
        <f t="shared" si="11"/>
        <v>2226432.6239168872</v>
      </c>
      <c r="G38" s="141">
        <f t="shared" si="11"/>
        <v>2954380.266716491</v>
      </c>
      <c r="H38" s="141">
        <f t="shared" si="11"/>
        <v>3711207.1016024793</v>
      </c>
      <c r="I38" s="141">
        <f t="shared" si="11"/>
        <v>4498019.5970276007</v>
      </c>
      <c r="J38" s="141">
        <f t="shared" si="11"/>
        <v>4676004.8442538409</v>
      </c>
      <c r="K38" s="141">
        <f t="shared" si="11"/>
        <v>4856778.1502922652</v>
      </c>
      <c r="L38" s="141">
        <f t="shared" si="11"/>
        <v>0</v>
      </c>
      <c r="M38" s="84">
        <f t="shared" ref="M38:M39" si="12">SUM(B38:L38)</f>
        <v>26199309.91900818</v>
      </c>
    </row>
    <row r="39" spans="1:13" ht="15" customHeight="1" x14ac:dyDescent="0.2">
      <c r="A39" s="48" t="s">
        <v>588</v>
      </c>
      <c r="B39" s="84">
        <f t="shared" ref="B39:L39" si="13">B36-B38</f>
        <v>276858.87315270933</v>
      </c>
      <c r="C39" s="84">
        <f t="shared" si="13"/>
        <v>305319.90745145164</v>
      </c>
      <c r="D39" s="84">
        <f t="shared" si="13"/>
        <v>514875.2556216151</v>
      </c>
      <c r="E39" s="84">
        <f t="shared" si="13"/>
        <v>733353.7627353163</v>
      </c>
      <c r="F39" s="84">
        <f t="shared" si="13"/>
        <v>1099345.534995045</v>
      </c>
      <c r="G39" s="84">
        <f t="shared" si="13"/>
        <v>1460335.4360748515</v>
      </c>
      <c r="H39" s="84">
        <f t="shared" si="13"/>
        <v>1835156.1928140144</v>
      </c>
      <c r="I39" s="84">
        <f t="shared" si="13"/>
        <v>2224815.5903280098</v>
      </c>
      <c r="J39" s="84">
        <f t="shared" si="13"/>
        <v>2259666.3254802991</v>
      </c>
      <c r="K39" s="84">
        <f t="shared" si="13"/>
        <v>2347904.375980177</v>
      </c>
      <c r="L39" s="84">
        <f t="shared" si="13"/>
        <v>1086997.5486090709</v>
      </c>
      <c r="M39" s="84">
        <f t="shared" si="12"/>
        <v>14144628.80324256</v>
      </c>
    </row>
    <row r="40" spans="1:13" ht="15.75" customHeight="1" x14ac:dyDescent="0.2"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</row>
    <row r="41" spans="1:13" ht="15" customHeight="1" x14ac:dyDescent="0.2">
      <c r="A41" s="44" t="s">
        <v>589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</row>
    <row r="42" spans="1:13" ht="15" customHeight="1" x14ac:dyDescent="0.2">
      <c r="A42" s="42" t="s">
        <v>590</v>
      </c>
      <c r="B42" s="101">
        <v>0</v>
      </c>
      <c r="C42" s="101">
        <v>5000000</v>
      </c>
      <c r="D42" s="101">
        <v>5000000</v>
      </c>
      <c r="E42" s="101">
        <v>5000000</v>
      </c>
      <c r="F42" s="101">
        <v>8000000</v>
      </c>
      <c r="G42" s="101">
        <v>8000000</v>
      </c>
      <c r="H42" s="101">
        <v>8000000</v>
      </c>
      <c r="I42" s="101">
        <v>8000000</v>
      </c>
      <c r="J42" s="101">
        <v>0</v>
      </c>
      <c r="K42" s="101">
        <v>0</v>
      </c>
      <c r="L42" s="101">
        <v>0</v>
      </c>
      <c r="M42" s="91">
        <f>SUM(B42:L42)</f>
        <v>47000000</v>
      </c>
    </row>
    <row r="43" spans="1:13" ht="15" customHeight="1" x14ac:dyDescent="0.2">
      <c r="A43" s="48" t="s">
        <v>591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</row>
    <row r="44" spans="1:13" ht="15" customHeight="1" x14ac:dyDescent="0.2">
      <c r="A44" s="48" t="s">
        <v>592</v>
      </c>
      <c r="B44" s="82">
        <f>SUPUESTOS!$B$6+B42</f>
        <v>3000000</v>
      </c>
      <c r="C44" s="84">
        <f t="shared" ref="C44:L44" si="14">B45-B38+C42</f>
        <v>8276858.8731527096</v>
      </c>
      <c r="D44" s="84">
        <f t="shared" si="14"/>
        <v>13582178.780604161</v>
      </c>
      <c r="E44" s="84">
        <f t="shared" si="14"/>
        <v>19097054.036225777</v>
      </c>
      <c r="F44" s="84">
        <f t="shared" si="14"/>
        <v>27830407.798961092</v>
      </c>
      <c r="G44" s="84">
        <f t="shared" si="14"/>
        <v>36929753.333956137</v>
      </c>
      <c r="H44" s="84">
        <f t="shared" si="14"/>
        <v>46390088.77003099</v>
      </c>
      <c r="I44" s="84">
        <f t="shared" si="14"/>
        <v>56225244.962845005</v>
      </c>
      <c r="J44" s="84">
        <f t="shared" si="14"/>
        <v>58450060.553173013</v>
      </c>
      <c r="K44" s="84">
        <f t="shared" si="14"/>
        <v>60709726.878653318</v>
      </c>
      <c r="L44" s="84">
        <f t="shared" si="14"/>
        <v>63057631.254633501</v>
      </c>
      <c r="M44" s="84"/>
    </row>
    <row r="45" spans="1:13" ht="15" customHeight="1" x14ac:dyDescent="0.2">
      <c r="A45" s="48" t="s">
        <v>593</v>
      </c>
      <c r="B45" s="84">
        <f t="shared" ref="B45:L45" si="15">B44+B36</f>
        <v>3276858.8731527096</v>
      </c>
      <c r="C45" s="84">
        <f t="shared" si="15"/>
        <v>9244327.4904563781</v>
      </c>
      <c r="D45" s="84">
        <f t="shared" si="15"/>
        <v>15183628.338674109</v>
      </c>
      <c r="E45" s="84">
        <f t="shared" si="15"/>
        <v>21358172.121859156</v>
      </c>
      <c r="F45" s="84">
        <f t="shared" si="15"/>
        <v>31156185.957873024</v>
      </c>
      <c r="G45" s="84">
        <f t="shared" si="15"/>
        <v>41344469.036747478</v>
      </c>
      <c r="H45" s="84">
        <f t="shared" si="15"/>
        <v>51936452.064447485</v>
      </c>
      <c r="I45" s="84">
        <f t="shared" si="15"/>
        <v>62948080.150200613</v>
      </c>
      <c r="J45" s="84">
        <f t="shared" si="15"/>
        <v>65385731.722907156</v>
      </c>
      <c r="K45" s="84">
        <f t="shared" si="15"/>
        <v>67914409.404925764</v>
      </c>
      <c r="L45" s="84">
        <f t="shared" si="15"/>
        <v>64144628.803242572</v>
      </c>
      <c r="M45" s="84"/>
    </row>
    <row r="46" spans="1:13" ht="15.75" customHeight="1" x14ac:dyDescent="0.2"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3" ht="15" customHeight="1" x14ac:dyDescent="0.2">
      <c r="A47" s="44" t="s">
        <v>675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</row>
    <row r="48" spans="1:13" ht="15" customHeight="1" x14ac:dyDescent="0.2">
      <c r="A48" s="48" t="s">
        <v>595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>
        <f>IF(L7=0,L6,0)</f>
        <v>21744010.777459826</v>
      </c>
      <c r="M48" s="84"/>
    </row>
    <row r="49" spans="1:13" ht="15" customHeight="1" x14ac:dyDescent="0.2">
      <c r="A49" s="48" t="s">
        <v>596</v>
      </c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>
        <f>L9</f>
        <v>41313620.477173671</v>
      </c>
      <c r="M49" s="84"/>
    </row>
    <row r="50" spans="1:13" ht="15" customHeight="1" x14ac:dyDescent="0.2">
      <c r="A50" s="48" t="s">
        <v>597</v>
      </c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>
        <f>L49/(1+SUPUESTOS!$B$69)</f>
        <v>37902404.10749878</v>
      </c>
      <c r="M50" s="84"/>
    </row>
    <row r="51" spans="1:13" ht="15" customHeight="1" x14ac:dyDescent="0.2">
      <c r="A51" s="48" t="s">
        <v>598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>
        <f>L14</f>
        <v>0</v>
      </c>
      <c r="M51" s="84"/>
    </row>
    <row r="52" spans="1:13" ht="15" customHeight="1" x14ac:dyDescent="0.2">
      <c r="A52" s="42" t="s">
        <v>599</v>
      </c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>
        <f>L48+L50-L51</f>
        <v>59646414.88495861</v>
      </c>
      <c r="M52" s="84"/>
    </row>
    <row r="53" spans="1:13" ht="15.75" customHeight="1" x14ac:dyDescent="0.2"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</row>
    <row r="54" spans="1:13" ht="15" customHeight="1" x14ac:dyDescent="0.2">
      <c r="A54" s="44" t="s">
        <v>600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</row>
    <row r="55" spans="1:13" ht="15" customHeight="1" x14ac:dyDescent="0.2">
      <c r="A55" s="48" t="s">
        <v>601</v>
      </c>
      <c r="B55" s="84">
        <f t="shared" ref="B55:L55" si="16">B79</f>
        <v>0</v>
      </c>
      <c r="C55" s="84">
        <f t="shared" si="16"/>
        <v>662148.70985221677</v>
      </c>
      <c r="D55" s="84">
        <f t="shared" si="16"/>
        <v>1086574.302448333</v>
      </c>
      <c r="E55" s="84">
        <f t="shared" si="16"/>
        <v>1527764.3228980622</v>
      </c>
      <c r="F55" s="84">
        <f t="shared" si="16"/>
        <v>2226432.6239168872</v>
      </c>
      <c r="G55" s="84">
        <f t="shared" si="16"/>
        <v>2954380.266716491</v>
      </c>
      <c r="H55" s="84">
        <f t="shared" si="16"/>
        <v>3711207.1016024793</v>
      </c>
      <c r="I55" s="84">
        <f t="shared" si="16"/>
        <v>4498019.5970276007</v>
      </c>
      <c r="J55" s="84">
        <f t="shared" si="16"/>
        <v>4676004.8442538409</v>
      </c>
      <c r="K55" s="84">
        <f t="shared" si="16"/>
        <v>4856778.1502922652</v>
      </c>
      <c r="L55" s="84">
        <f t="shared" si="16"/>
        <v>0</v>
      </c>
      <c r="M55" s="84">
        <f t="shared" ref="M55:M56" si="17">SUM(B55:L55)</f>
        <v>26199309.91900818</v>
      </c>
    </row>
    <row r="56" spans="1:13" ht="15" customHeight="1" x14ac:dyDescent="0.2">
      <c r="A56" s="48" t="s">
        <v>602</v>
      </c>
      <c r="B56" s="84">
        <v>0</v>
      </c>
      <c r="C56" s="84">
        <v>0</v>
      </c>
      <c r="D56" s="84">
        <v>0</v>
      </c>
      <c r="E56" s="84">
        <v>0</v>
      </c>
      <c r="F56" s="84">
        <v>0</v>
      </c>
      <c r="G56" s="84">
        <v>0</v>
      </c>
      <c r="H56" s="84">
        <v>0</v>
      </c>
      <c r="I56" s="84">
        <v>0</v>
      </c>
      <c r="J56" s="84">
        <v>0</v>
      </c>
      <c r="K56" s="84">
        <v>0</v>
      </c>
      <c r="L56" s="84">
        <f>L52</f>
        <v>59646414.88495861</v>
      </c>
      <c r="M56" s="84">
        <f t="shared" si="17"/>
        <v>59646414.88495861</v>
      </c>
    </row>
    <row r="57" spans="1:13" ht="15" customHeight="1" x14ac:dyDescent="0.2">
      <c r="A57" s="42" t="s">
        <v>603</v>
      </c>
      <c r="B57" s="84">
        <f t="shared" ref="B57:M57" si="18">B55+B56</f>
        <v>0</v>
      </c>
      <c r="C57" s="84">
        <f t="shared" si="18"/>
        <v>662148.70985221677</v>
      </c>
      <c r="D57" s="84">
        <f t="shared" si="18"/>
        <v>1086574.302448333</v>
      </c>
      <c r="E57" s="84">
        <f t="shared" si="18"/>
        <v>1527764.3228980622</v>
      </c>
      <c r="F57" s="84">
        <f t="shared" si="18"/>
        <v>2226432.6239168872</v>
      </c>
      <c r="G57" s="84">
        <f t="shared" si="18"/>
        <v>2954380.266716491</v>
      </c>
      <c r="H57" s="84">
        <f t="shared" si="18"/>
        <v>3711207.1016024793</v>
      </c>
      <c r="I57" s="84">
        <f t="shared" si="18"/>
        <v>4498019.5970276007</v>
      </c>
      <c r="J57" s="84">
        <f t="shared" si="18"/>
        <v>4676004.8442538409</v>
      </c>
      <c r="K57" s="84">
        <f t="shared" si="18"/>
        <v>4856778.1502922652</v>
      </c>
      <c r="L57" s="84">
        <f t="shared" si="18"/>
        <v>59646414.88495861</v>
      </c>
      <c r="M57" s="84">
        <f t="shared" si="18"/>
        <v>85845724.80396679</v>
      </c>
    </row>
    <row r="58" spans="1:13" ht="15" customHeight="1" x14ac:dyDescent="0.2">
      <c r="A58" s="48" t="s">
        <v>604</v>
      </c>
      <c r="B58" s="84">
        <f>B57</f>
        <v>0</v>
      </c>
      <c r="C58" s="84">
        <f t="shared" ref="C58:L58" si="19">B58+C57</f>
        <v>662148.70985221677</v>
      </c>
      <c r="D58" s="84">
        <f t="shared" si="19"/>
        <v>1748723.0123005498</v>
      </c>
      <c r="E58" s="84">
        <f t="shared" si="19"/>
        <v>3276487.335198612</v>
      </c>
      <c r="F58" s="84">
        <f t="shared" si="19"/>
        <v>5502919.9591154996</v>
      </c>
      <c r="G58" s="84">
        <f t="shared" si="19"/>
        <v>8457300.2258319911</v>
      </c>
      <c r="H58" s="84">
        <f t="shared" si="19"/>
        <v>12168507.327434471</v>
      </c>
      <c r="I58" s="84">
        <f t="shared" si="19"/>
        <v>16666526.924462073</v>
      </c>
      <c r="J58" s="84">
        <f t="shared" si="19"/>
        <v>21342531.768715914</v>
      </c>
      <c r="K58" s="84">
        <f t="shared" si="19"/>
        <v>26199309.91900818</v>
      </c>
      <c r="L58" s="84">
        <f t="shared" si="19"/>
        <v>85845724.80396679</v>
      </c>
      <c r="M58" s="84"/>
    </row>
    <row r="59" spans="1:13" ht="15.75" customHeight="1" x14ac:dyDescent="0.2"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</row>
    <row r="60" spans="1:13" ht="15" customHeight="1" x14ac:dyDescent="0.2">
      <c r="A60" s="142" t="s">
        <v>605</v>
      </c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4"/>
      <c r="M60" s="79"/>
    </row>
    <row r="61" spans="1:13" ht="15" customHeight="1" x14ac:dyDescent="0.2">
      <c r="A61" s="145" t="s">
        <v>676</v>
      </c>
      <c r="B61" s="84">
        <f>-SUPUESTOS!$B$6-B42-B57</f>
        <v>-3000000</v>
      </c>
      <c r="C61" s="84">
        <f t="shared" ref="C61:K61" si="20">C57-C42</f>
        <v>-4337851.2901477832</v>
      </c>
      <c r="D61" s="84">
        <f t="shared" si="20"/>
        <v>-3913425.6975516668</v>
      </c>
      <c r="E61" s="84">
        <f t="shared" si="20"/>
        <v>-3472235.6771019381</v>
      </c>
      <c r="F61" s="84">
        <f t="shared" si="20"/>
        <v>-5773567.3760831133</v>
      </c>
      <c r="G61" s="84">
        <f t="shared" si="20"/>
        <v>-5045619.7332835086</v>
      </c>
      <c r="H61" s="84">
        <f t="shared" si="20"/>
        <v>-4288792.8983975202</v>
      </c>
      <c r="I61" s="84">
        <f t="shared" si="20"/>
        <v>-3501980.4029723993</v>
      </c>
      <c r="J61" s="84">
        <f t="shared" si="20"/>
        <v>4676004.8442538409</v>
      </c>
      <c r="K61" s="84">
        <f t="shared" si="20"/>
        <v>4856778.1502922652</v>
      </c>
      <c r="L61" s="146">
        <f>K57-L42+L57</f>
        <v>64503193.035250872</v>
      </c>
      <c r="M61" s="84"/>
    </row>
    <row r="62" spans="1:13" ht="15" customHeight="1" x14ac:dyDescent="0.2">
      <c r="A62" s="147" t="s">
        <v>608</v>
      </c>
      <c r="B62" s="148">
        <f>IFERROR(IRR(B61:M61),"-")</f>
        <v>0.13181270190016892</v>
      </c>
      <c r="C62" s="79"/>
      <c r="D62" s="79"/>
      <c r="E62" s="79"/>
      <c r="F62" s="79"/>
      <c r="G62" s="79"/>
      <c r="H62" s="79"/>
      <c r="I62" s="79"/>
      <c r="J62" s="79"/>
      <c r="K62" s="79"/>
      <c r="L62" s="149"/>
      <c r="M62" s="79"/>
    </row>
    <row r="63" spans="1:13" ht="15" customHeight="1" x14ac:dyDescent="0.2">
      <c r="A63" s="150" t="s">
        <v>609</v>
      </c>
      <c r="B63" s="151">
        <f>IF((SUPUESTOS!$B$6+M42)&gt;0,M57/(SUPUESTOS!$B$6+M42),0)</f>
        <v>1.7169144960793359</v>
      </c>
      <c r="C63" s="152"/>
      <c r="D63" s="152"/>
      <c r="E63" s="152"/>
      <c r="F63" s="152"/>
      <c r="G63" s="152"/>
      <c r="H63" s="152"/>
      <c r="I63" s="152"/>
      <c r="J63" s="152"/>
      <c r="K63" s="152"/>
      <c r="L63" s="153"/>
      <c r="M63" s="79"/>
    </row>
    <row r="64" spans="1:13" ht="15.75" customHeight="1" x14ac:dyDescent="0.2"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</row>
    <row r="65" spans="1:13" ht="15" customHeight="1" x14ac:dyDescent="0.2">
      <c r="A65" s="110" t="s">
        <v>610</v>
      </c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</row>
    <row r="66" spans="1:13" ht="15" customHeight="1" x14ac:dyDescent="0.2">
      <c r="A66" s="26" t="s">
        <v>677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</row>
    <row r="67" spans="1:13" ht="15.75" customHeight="1" x14ac:dyDescent="0.2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</row>
    <row r="68" spans="1:13" ht="15.75" customHeight="1" x14ac:dyDescent="0.2"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</row>
    <row r="69" spans="1:13" ht="15" customHeight="1" x14ac:dyDescent="0.2">
      <c r="A69" s="78" t="s">
        <v>612</v>
      </c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</row>
    <row r="70" spans="1:13" ht="15" customHeight="1" x14ac:dyDescent="0.2">
      <c r="A70" s="73" t="s">
        <v>102</v>
      </c>
      <c r="B70" s="154">
        <v>2026</v>
      </c>
      <c r="C70" s="154">
        <v>2027</v>
      </c>
      <c r="D70" s="154">
        <v>2028</v>
      </c>
      <c r="E70" s="154">
        <v>2029</v>
      </c>
      <c r="F70" s="154">
        <v>2030</v>
      </c>
      <c r="G70" s="154">
        <v>2031</v>
      </c>
      <c r="H70" s="154">
        <v>2032</v>
      </c>
      <c r="I70" s="154">
        <v>2033</v>
      </c>
      <c r="J70" s="154">
        <v>2034</v>
      </c>
      <c r="K70" s="154">
        <v>2035</v>
      </c>
      <c r="L70" s="154">
        <v>2036</v>
      </c>
      <c r="M70" s="154" t="s">
        <v>555</v>
      </c>
    </row>
    <row r="71" spans="1:13" ht="15" customHeight="1" x14ac:dyDescent="0.2">
      <c r="A71" s="73" t="s">
        <v>613</v>
      </c>
      <c r="B71" s="84">
        <f t="shared" ref="B71:K71" si="21">MIN(B72, B44)</f>
        <v>0</v>
      </c>
      <c r="C71" s="84">
        <f t="shared" si="21"/>
        <v>0</v>
      </c>
      <c r="D71" s="84">
        <f t="shared" si="21"/>
        <v>0</v>
      </c>
      <c r="E71" s="84">
        <f t="shared" si="21"/>
        <v>0</v>
      </c>
      <c r="F71" s="84">
        <f t="shared" si="21"/>
        <v>0</v>
      </c>
      <c r="G71" s="84">
        <f t="shared" si="21"/>
        <v>0</v>
      </c>
      <c r="H71" s="84">
        <f t="shared" si="21"/>
        <v>0</v>
      </c>
      <c r="I71" s="84">
        <f t="shared" si="21"/>
        <v>0</v>
      </c>
      <c r="J71" s="84">
        <f t="shared" si="21"/>
        <v>0</v>
      </c>
      <c r="K71" s="84">
        <f t="shared" si="21"/>
        <v>0</v>
      </c>
      <c r="L71" s="84"/>
      <c r="M71" s="84">
        <f>SUM(B71:L71)</f>
        <v>0</v>
      </c>
    </row>
    <row r="72" spans="1:13" ht="15" customHeight="1" x14ac:dyDescent="0.2">
      <c r="A72" s="111" t="s">
        <v>614</v>
      </c>
      <c r="B72" s="112">
        <v>0</v>
      </c>
      <c r="C72" s="112">
        <v>0</v>
      </c>
      <c r="D72" s="112">
        <v>0</v>
      </c>
      <c r="E72" s="112">
        <v>0</v>
      </c>
      <c r="F72" s="112">
        <v>0</v>
      </c>
      <c r="G72" s="112">
        <v>0</v>
      </c>
      <c r="H72" s="112">
        <v>0</v>
      </c>
      <c r="I72" s="112">
        <v>0</v>
      </c>
      <c r="J72" s="112">
        <v>0</v>
      </c>
      <c r="K72" s="112">
        <v>0</v>
      </c>
      <c r="L72" s="112"/>
      <c r="M72" s="79"/>
    </row>
    <row r="73" spans="1:13" ht="15" customHeight="1" x14ac:dyDescent="0.2">
      <c r="A73" s="111" t="s">
        <v>615</v>
      </c>
      <c r="B73" s="113">
        <v>0</v>
      </c>
      <c r="C73" s="113">
        <v>0.08</v>
      </c>
      <c r="D73" s="113">
        <v>0.08</v>
      </c>
      <c r="E73" s="113">
        <v>0.08</v>
      </c>
      <c r="F73" s="113">
        <v>0.08</v>
      </c>
      <c r="G73" s="113">
        <v>0.08</v>
      </c>
      <c r="H73" s="113">
        <v>0.08</v>
      </c>
      <c r="I73" s="113">
        <v>0.08</v>
      </c>
      <c r="J73" s="113">
        <v>0.08</v>
      </c>
      <c r="K73" s="113">
        <v>0.08</v>
      </c>
      <c r="L73" s="113"/>
      <c r="M73" s="79"/>
    </row>
    <row r="74" spans="1:13" ht="15" customHeight="1" x14ac:dyDescent="0.2">
      <c r="A74" s="48" t="s">
        <v>616</v>
      </c>
      <c r="B74" s="84">
        <f>IF(1&gt;=SUPUESTOS!$B$58, B44*B73, 0)</f>
        <v>0</v>
      </c>
      <c r="C74" s="84">
        <f>IF(2&gt;=SUPUESTOS!$B$58, C44*C73, 0)</f>
        <v>662148.70985221677</v>
      </c>
      <c r="D74" s="84">
        <f>IF(3&gt;=SUPUESTOS!$B$58, D44*D73, 0)</f>
        <v>1086574.302448333</v>
      </c>
      <c r="E74" s="84">
        <f>IF(4&gt;=SUPUESTOS!$B$58, E44*E73, 0)</f>
        <v>1527764.3228980622</v>
      </c>
      <c r="F74" s="84">
        <f>IF(5&gt;=SUPUESTOS!$B$58, F44*F73, 0)</f>
        <v>2226432.6239168872</v>
      </c>
      <c r="G74" s="84">
        <f>IF(6&gt;=SUPUESTOS!$B$58, G44*G73, 0)</f>
        <v>2954380.266716491</v>
      </c>
      <c r="H74" s="84">
        <f>IF(7&gt;=SUPUESTOS!$B$58, H44*H73, 0)</f>
        <v>3711207.1016024793</v>
      </c>
      <c r="I74" s="84">
        <f>IF(8&gt;=SUPUESTOS!$B$58, I44*I73, 0)</f>
        <v>4498019.5970276007</v>
      </c>
      <c r="J74" s="84">
        <f>IF(9&gt;=SUPUESTOS!$B$58, J44*J73, 0)</f>
        <v>4676004.8442538409</v>
      </c>
      <c r="K74" s="84">
        <f>IF(10&gt;=SUPUESTOS!$B$58, K44*K73, 0)</f>
        <v>4856778.1502922652</v>
      </c>
      <c r="L74" s="84"/>
      <c r="M74" s="84">
        <f>SUM(B74:L74)</f>
        <v>26199309.91900818</v>
      </c>
    </row>
    <row r="75" spans="1:13" ht="15.75" customHeight="1" x14ac:dyDescent="0.2"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</row>
    <row r="76" spans="1:13" ht="15" customHeight="1" x14ac:dyDescent="0.2">
      <c r="A76" s="73" t="s">
        <v>617</v>
      </c>
      <c r="B76" s="114">
        <f t="shared" ref="B76:K76" si="22">B71+B74</f>
        <v>0</v>
      </c>
      <c r="C76" s="114">
        <f t="shared" si="22"/>
        <v>662148.70985221677</v>
      </c>
      <c r="D76" s="114">
        <f t="shared" si="22"/>
        <v>1086574.302448333</v>
      </c>
      <c r="E76" s="114">
        <f t="shared" si="22"/>
        <v>1527764.3228980622</v>
      </c>
      <c r="F76" s="114">
        <f t="shared" si="22"/>
        <v>2226432.6239168872</v>
      </c>
      <c r="G76" s="114">
        <f t="shared" si="22"/>
        <v>2954380.266716491</v>
      </c>
      <c r="H76" s="114">
        <f t="shared" si="22"/>
        <v>3711207.1016024793</v>
      </c>
      <c r="I76" s="114">
        <f t="shared" si="22"/>
        <v>4498019.5970276007</v>
      </c>
      <c r="J76" s="114">
        <f t="shared" si="22"/>
        <v>4676004.8442538409</v>
      </c>
      <c r="K76" s="114">
        <f t="shared" si="22"/>
        <v>4856778.1502922652</v>
      </c>
      <c r="L76" s="114"/>
      <c r="M76" s="114">
        <f>SUM(B76:L76)</f>
        <v>26199309.91900818</v>
      </c>
    </row>
    <row r="77" spans="1:13" ht="15" customHeight="1" x14ac:dyDescent="0.2">
      <c r="A77" s="48" t="s">
        <v>618</v>
      </c>
      <c r="B77" s="115">
        <f>SUPUESTOS!$B$59</f>
        <v>0</v>
      </c>
      <c r="C77" s="115">
        <f>SUPUESTOS!$B$59</f>
        <v>0</v>
      </c>
      <c r="D77" s="115">
        <f>SUPUESTOS!$B$59</f>
        <v>0</v>
      </c>
      <c r="E77" s="115">
        <f>SUPUESTOS!$B$59</f>
        <v>0</v>
      </c>
      <c r="F77" s="115">
        <f>SUPUESTOS!$B$59</f>
        <v>0</v>
      </c>
      <c r="G77" s="115">
        <f>SUPUESTOS!$B$59</f>
        <v>0</v>
      </c>
      <c r="H77" s="115">
        <f>SUPUESTOS!$B$59</f>
        <v>0</v>
      </c>
      <c r="I77" s="115">
        <f>SUPUESTOS!$B$59</f>
        <v>0</v>
      </c>
      <c r="J77" s="115">
        <f>SUPUESTOS!$B$59</f>
        <v>0</v>
      </c>
      <c r="K77" s="115">
        <f>SUPUESTOS!$B$59</f>
        <v>0</v>
      </c>
      <c r="L77" s="115"/>
      <c r="M77" s="79"/>
    </row>
    <row r="78" spans="1:13" ht="15" customHeight="1" x14ac:dyDescent="0.2">
      <c r="A78" s="48" t="s">
        <v>619</v>
      </c>
      <c r="B78" s="84">
        <f t="shared" ref="B78:K78" si="23">B76*B77</f>
        <v>0</v>
      </c>
      <c r="C78" s="84">
        <f t="shared" si="23"/>
        <v>0</v>
      </c>
      <c r="D78" s="84">
        <f t="shared" si="23"/>
        <v>0</v>
      </c>
      <c r="E78" s="84">
        <f t="shared" si="23"/>
        <v>0</v>
      </c>
      <c r="F78" s="84">
        <f t="shared" si="23"/>
        <v>0</v>
      </c>
      <c r="G78" s="84">
        <f t="shared" si="23"/>
        <v>0</v>
      </c>
      <c r="H78" s="84">
        <f t="shared" si="23"/>
        <v>0</v>
      </c>
      <c r="I78" s="84">
        <f t="shared" si="23"/>
        <v>0</v>
      </c>
      <c r="J78" s="84">
        <f t="shared" si="23"/>
        <v>0</v>
      </c>
      <c r="K78" s="84">
        <f t="shared" si="23"/>
        <v>0</v>
      </c>
      <c r="L78" s="84"/>
      <c r="M78" s="84">
        <f t="shared" ref="M78:M79" si="24">SUM(B78:L78)</f>
        <v>0</v>
      </c>
    </row>
    <row r="79" spans="1:13" ht="15" customHeight="1" x14ac:dyDescent="0.2">
      <c r="A79" s="73" t="s">
        <v>620</v>
      </c>
      <c r="B79" s="114">
        <f t="shared" ref="B79:K79" si="25">B76-B78</f>
        <v>0</v>
      </c>
      <c r="C79" s="114">
        <f t="shared" si="25"/>
        <v>662148.70985221677</v>
      </c>
      <c r="D79" s="114">
        <f t="shared" si="25"/>
        <v>1086574.302448333</v>
      </c>
      <c r="E79" s="114">
        <f t="shared" si="25"/>
        <v>1527764.3228980622</v>
      </c>
      <c r="F79" s="114">
        <f t="shared" si="25"/>
        <v>2226432.6239168872</v>
      </c>
      <c r="G79" s="114">
        <f t="shared" si="25"/>
        <v>2954380.266716491</v>
      </c>
      <c r="H79" s="114">
        <f t="shared" si="25"/>
        <v>3711207.1016024793</v>
      </c>
      <c r="I79" s="114">
        <f t="shared" si="25"/>
        <v>4498019.5970276007</v>
      </c>
      <c r="J79" s="114">
        <f t="shared" si="25"/>
        <v>4676004.8442538409</v>
      </c>
      <c r="K79" s="114">
        <f t="shared" si="25"/>
        <v>4856778.1502922652</v>
      </c>
      <c r="L79" s="114"/>
      <c r="M79" s="114">
        <f t="shared" si="24"/>
        <v>26199309.91900818</v>
      </c>
    </row>
    <row r="80" spans="1:13" ht="15" customHeight="1" x14ac:dyDescent="0.2">
      <c r="A80" s="48" t="s">
        <v>621</v>
      </c>
      <c r="B80" s="84">
        <f t="shared" ref="B80:K80" si="26">B76</f>
        <v>0</v>
      </c>
      <c r="C80" s="84">
        <f t="shared" si="26"/>
        <v>662148.70985221677</v>
      </c>
      <c r="D80" s="84">
        <f t="shared" si="26"/>
        <v>1086574.302448333</v>
      </c>
      <c r="E80" s="84">
        <f t="shared" si="26"/>
        <v>1527764.3228980622</v>
      </c>
      <c r="F80" s="84">
        <f t="shared" si="26"/>
        <v>2226432.6239168872</v>
      </c>
      <c r="G80" s="84">
        <f t="shared" si="26"/>
        <v>2954380.266716491</v>
      </c>
      <c r="H80" s="84">
        <f t="shared" si="26"/>
        <v>3711207.1016024793</v>
      </c>
      <c r="I80" s="84">
        <f t="shared" si="26"/>
        <v>4498019.5970276007</v>
      </c>
      <c r="J80" s="84">
        <f t="shared" si="26"/>
        <v>4676004.8442538409</v>
      </c>
      <c r="K80" s="84">
        <f t="shared" si="26"/>
        <v>4856778.1502922652</v>
      </c>
      <c r="L80" s="84"/>
      <c r="M80" s="79"/>
    </row>
    <row r="81" spans="1:13" ht="15" customHeight="1" x14ac:dyDescent="0.2">
      <c r="A81" s="48" t="s">
        <v>622</v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</row>
    <row r="82" spans="1:13" ht="15.75" customHeight="1" x14ac:dyDescent="0.2"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</row>
    <row r="83" spans="1:13" ht="15.75" customHeight="1" x14ac:dyDescent="0.2"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</row>
    <row r="84" spans="1:13" ht="15.75" customHeight="1" x14ac:dyDescent="0.2"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</row>
    <row r="85" spans="1:13" ht="15.75" customHeight="1" x14ac:dyDescent="0.2"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</row>
    <row r="86" spans="1:13" ht="15.75" customHeight="1" x14ac:dyDescent="0.2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</row>
    <row r="87" spans="1:13" ht="15.75" customHeight="1" x14ac:dyDescent="0.2"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</row>
    <row r="88" spans="1:13" ht="15.75" customHeight="1" x14ac:dyDescent="0.2"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</row>
    <row r="89" spans="1:13" ht="15.75" customHeight="1" x14ac:dyDescent="0.2"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</row>
    <row r="90" spans="1:13" ht="15.75" customHeight="1" x14ac:dyDescent="0.2"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</row>
    <row r="91" spans="1:13" ht="15.75" customHeight="1" x14ac:dyDescent="0.2"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</row>
    <row r="92" spans="1:13" ht="15.75" customHeight="1" x14ac:dyDescent="0.2"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</row>
    <row r="93" spans="1:13" ht="15.75" customHeight="1" x14ac:dyDescent="0.2"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</row>
    <row r="94" spans="1:13" ht="15.75" customHeight="1" x14ac:dyDescent="0.2"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</row>
    <row r="95" spans="1:13" ht="15.75" customHeight="1" x14ac:dyDescent="0.2"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</row>
    <row r="96" spans="1:13" ht="15.75" customHeight="1" x14ac:dyDescent="0.2"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</row>
    <row r="97" spans="2:13" ht="15.75" customHeight="1" x14ac:dyDescent="0.2"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</row>
    <row r="98" spans="2:13" ht="15.75" customHeight="1" x14ac:dyDescent="0.2"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</row>
    <row r="99" spans="2:13" ht="15.75" customHeight="1" x14ac:dyDescent="0.2"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</row>
    <row r="100" spans="2:13" ht="15.75" customHeight="1" x14ac:dyDescent="0.2"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</row>
    <row r="101" spans="2:13" ht="15.75" customHeight="1" x14ac:dyDescent="0.2"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</row>
    <row r="102" spans="2:13" ht="15.75" customHeight="1" x14ac:dyDescent="0.2"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</row>
    <row r="103" spans="2:13" ht="15.75" customHeight="1" x14ac:dyDescent="0.2"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</row>
    <row r="104" spans="2:13" ht="15.75" customHeight="1" x14ac:dyDescent="0.2"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</row>
    <row r="105" spans="2:13" ht="15.75" customHeight="1" x14ac:dyDescent="0.2"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</row>
    <row r="106" spans="2:13" ht="15.75" customHeight="1" x14ac:dyDescent="0.2"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</row>
    <row r="107" spans="2:13" ht="15.75" customHeight="1" x14ac:dyDescent="0.2"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</row>
    <row r="108" spans="2:13" ht="15.75" customHeight="1" x14ac:dyDescent="0.2"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</row>
    <row r="109" spans="2:13" ht="15.75" customHeight="1" x14ac:dyDescent="0.2"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</row>
    <row r="110" spans="2:13" ht="15.75" customHeight="1" x14ac:dyDescent="0.2"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</row>
    <row r="111" spans="2:13" ht="15.75" customHeight="1" x14ac:dyDescent="0.2"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</row>
    <row r="112" spans="2:13" ht="15.75" customHeight="1" x14ac:dyDescent="0.2"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</row>
    <row r="113" spans="2:13" ht="15.75" customHeight="1" x14ac:dyDescent="0.2"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</row>
    <row r="114" spans="2:13" ht="15.75" customHeight="1" x14ac:dyDescent="0.2"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</row>
    <row r="115" spans="2:13" ht="15.75" customHeight="1" x14ac:dyDescent="0.2"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</row>
    <row r="116" spans="2:13" ht="15.75" customHeight="1" x14ac:dyDescent="0.2"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</row>
    <row r="117" spans="2:13" ht="15.75" customHeight="1" x14ac:dyDescent="0.2"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</row>
    <row r="118" spans="2:13" ht="15.75" customHeight="1" x14ac:dyDescent="0.2"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</row>
    <row r="119" spans="2:13" ht="15.75" customHeight="1" x14ac:dyDescent="0.2"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</row>
    <row r="120" spans="2:13" ht="15.75" customHeight="1" x14ac:dyDescent="0.2"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</row>
    <row r="121" spans="2:13" ht="15.75" customHeight="1" x14ac:dyDescent="0.2"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</row>
    <row r="122" spans="2:13" ht="15.75" customHeight="1" x14ac:dyDescent="0.2"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</row>
    <row r="123" spans="2:13" ht="15.75" customHeight="1" x14ac:dyDescent="0.2"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</row>
    <row r="124" spans="2:13" ht="15.75" customHeight="1" x14ac:dyDescent="0.2"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</row>
    <row r="125" spans="2:13" ht="15.75" customHeight="1" x14ac:dyDescent="0.2"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</row>
    <row r="126" spans="2:13" ht="15.75" customHeight="1" x14ac:dyDescent="0.2"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</row>
    <row r="127" spans="2:13" ht="15.75" customHeight="1" x14ac:dyDescent="0.2"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</row>
    <row r="128" spans="2:13" ht="15.75" customHeight="1" x14ac:dyDescent="0.2"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</row>
    <row r="129" spans="2:13" ht="15.75" customHeight="1" x14ac:dyDescent="0.2"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</row>
    <row r="130" spans="2:13" ht="15.75" customHeight="1" x14ac:dyDescent="0.2"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</row>
    <row r="131" spans="2:13" ht="15.75" customHeight="1" x14ac:dyDescent="0.2"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</row>
    <row r="132" spans="2:13" ht="15.75" customHeight="1" x14ac:dyDescent="0.2"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</row>
    <row r="133" spans="2:13" ht="15.75" customHeight="1" x14ac:dyDescent="0.2"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</row>
    <row r="134" spans="2:13" ht="15.75" customHeight="1" x14ac:dyDescent="0.2"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</row>
    <row r="135" spans="2:13" ht="15.75" customHeight="1" x14ac:dyDescent="0.2"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</row>
    <row r="136" spans="2:13" ht="15.75" customHeight="1" x14ac:dyDescent="0.2"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</row>
    <row r="137" spans="2:13" ht="15.75" customHeight="1" x14ac:dyDescent="0.2"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</row>
    <row r="138" spans="2:13" ht="15.75" customHeight="1" x14ac:dyDescent="0.2"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</row>
    <row r="139" spans="2:13" ht="15.75" customHeight="1" x14ac:dyDescent="0.2"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</row>
    <row r="140" spans="2:13" ht="15.75" customHeight="1" x14ac:dyDescent="0.2"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</row>
    <row r="141" spans="2:13" ht="15.75" customHeight="1" x14ac:dyDescent="0.2"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</row>
    <row r="142" spans="2:13" ht="15.75" customHeight="1" x14ac:dyDescent="0.2"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</row>
    <row r="143" spans="2:13" ht="15.75" customHeight="1" x14ac:dyDescent="0.2"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</row>
    <row r="144" spans="2:13" ht="15.75" customHeight="1" x14ac:dyDescent="0.2"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</row>
    <row r="145" spans="2:13" ht="15.75" customHeight="1" x14ac:dyDescent="0.2"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</row>
    <row r="146" spans="2:13" ht="15.75" customHeight="1" x14ac:dyDescent="0.2"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</row>
    <row r="147" spans="2:13" ht="15.75" customHeight="1" x14ac:dyDescent="0.2"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</row>
    <row r="148" spans="2:13" ht="15.75" customHeight="1" x14ac:dyDescent="0.2"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</row>
    <row r="149" spans="2:13" ht="15.75" customHeight="1" x14ac:dyDescent="0.2"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</row>
    <row r="150" spans="2:13" ht="15.75" customHeight="1" x14ac:dyDescent="0.2"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</row>
    <row r="151" spans="2:13" ht="15.75" customHeight="1" x14ac:dyDescent="0.2"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</row>
    <row r="152" spans="2:13" ht="15.75" customHeight="1" x14ac:dyDescent="0.2"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</row>
    <row r="153" spans="2:13" ht="15.75" customHeight="1" x14ac:dyDescent="0.2"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</row>
    <row r="154" spans="2:13" ht="15.75" customHeight="1" x14ac:dyDescent="0.2"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</row>
    <row r="155" spans="2:13" ht="15.75" customHeight="1" x14ac:dyDescent="0.2"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</row>
    <row r="156" spans="2:13" ht="15.75" customHeight="1" x14ac:dyDescent="0.2"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</row>
    <row r="157" spans="2:13" ht="15.75" customHeight="1" x14ac:dyDescent="0.2"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</row>
    <row r="158" spans="2:13" ht="15.75" customHeight="1" x14ac:dyDescent="0.2"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</row>
    <row r="159" spans="2:13" ht="15.75" customHeight="1" x14ac:dyDescent="0.2"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</row>
    <row r="160" spans="2:13" ht="15.75" customHeight="1" x14ac:dyDescent="0.2"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</row>
    <row r="161" spans="2:13" ht="15.75" customHeight="1" x14ac:dyDescent="0.2"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</row>
    <row r="162" spans="2:13" ht="15.75" customHeight="1" x14ac:dyDescent="0.2"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</row>
    <row r="163" spans="2:13" ht="15.75" customHeight="1" x14ac:dyDescent="0.2"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</row>
    <row r="164" spans="2:13" ht="15.75" customHeight="1" x14ac:dyDescent="0.2"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</row>
    <row r="165" spans="2:13" ht="15.75" customHeight="1" x14ac:dyDescent="0.2"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</row>
    <row r="166" spans="2:13" ht="15.75" customHeight="1" x14ac:dyDescent="0.2"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</row>
    <row r="167" spans="2:13" ht="15.75" customHeight="1" x14ac:dyDescent="0.2"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</row>
    <row r="168" spans="2:13" ht="15.75" customHeight="1" x14ac:dyDescent="0.2"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</row>
    <row r="169" spans="2:13" ht="15.75" customHeight="1" x14ac:dyDescent="0.2"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</row>
    <row r="170" spans="2:13" ht="15.75" customHeight="1" x14ac:dyDescent="0.2"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</row>
    <row r="171" spans="2:13" ht="15.75" customHeight="1" x14ac:dyDescent="0.2"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</row>
    <row r="172" spans="2:13" ht="15.75" customHeight="1" x14ac:dyDescent="0.2"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</row>
    <row r="173" spans="2:13" ht="15.75" customHeight="1" x14ac:dyDescent="0.2"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</row>
    <row r="174" spans="2:13" ht="15.75" customHeight="1" x14ac:dyDescent="0.2"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</row>
    <row r="175" spans="2:13" ht="15.75" customHeight="1" x14ac:dyDescent="0.2"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</row>
    <row r="176" spans="2:13" ht="15.75" customHeight="1" x14ac:dyDescent="0.2"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</row>
    <row r="177" spans="2:13" ht="15.75" customHeight="1" x14ac:dyDescent="0.2"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</row>
    <row r="178" spans="2:13" ht="15.75" customHeight="1" x14ac:dyDescent="0.2"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</row>
    <row r="179" spans="2:13" ht="15.75" customHeight="1" x14ac:dyDescent="0.2"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</row>
    <row r="180" spans="2:13" ht="15.75" customHeight="1" x14ac:dyDescent="0.2"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</row>
    <row r="181" spans="2:13" ht="15.75" customHeight="1" x14ac:dyDescent="0.2"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</row>
    <row r="182" spans="2:13" ht="15.75" customHeight="1" x14ac:dyDescent="0.2"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</row>
    <row r="183" spans="2:13" ht="15.75" customHeight="1" x14ac:dyDescent="0.2"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</row>
    <row r="184" spans="2:13" ht="15.75" customHeight="1" x14ac:dyDescent="0.2"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</row>
    <row r="185" spans="2:13" ht="15.75" customHeight="1" x14ac:dyDescent="0.2"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</row>
    <row r="186" spans="2:13" ht="15.75" customHeight="1" x14ac:dyDescent="0.2"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</row>
    <row r="187" spans="2:13" ht="15.75" customHeight="1" x14ac:dyDescent="0.2"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</row>
    <row r="188" spans="2:13" ht="15.75" customHeight="1" x14ac:dyDescent="0.2"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</row>
    <row r="189" spans="2:13" ht="15.75" customHeight="1" x14ac:dyDescent="0.2"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</row>
    <row r="190" spans="2:13" ht="15.75" customHeight="1" x14ac:dyDescent="0.2"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</row>
    <row r="191" spans="2:13" ht="15.75" customHeight="1" x14ac:dyDescent="0.2"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</row>
    <row r="192" spans="2:13" ht="15.75" customHeight="1" x14ac:dyDescent="0.2"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</row>
    <row r="193" spans="2:13" ht="15.75" customHeight="1" x14ac:dyDescent="0.2"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</row>
    <row r="194" spans="2:13" ht="15.75" customHeight="1" x14ac:dyDescent="0.2"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</row>
    <row r="195" spans="2:13" ht="15.75" customHeight="1" x14ac:dyDescent="0.2"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</row>
    <row r="196" spans="2:13" ht="15.75" customHeight="1" x14ac:dyDescent="0.2"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</row>
    <row r="197" spans="2:13" ht="15.75" customHeight="1" x14ac:dyDescent="0.2"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</row>
    <row r="198" spans="2:13" ht="15.75" customHeight="1" x14ac:dyDescent="0.2"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</row>
    <row r="199" spans="2:13" ht="15.75" customHeight="1" x14ac:dyDescent="0.2"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</row>
    <row r="200" spans="2:13" ht="15.75" customHeight="1" x14ac:dyDescent="0.2"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</row>
    <row r="201" spans="2:13" ht="15.75" customHeight="1" x14ac:dyDescent="0.2"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</row>
    <row r="202" spans="2:13" ht="15.75" customHeight="1" x14ac:dyDescent="0.2"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</row>
    <row r="203" spans="2:13" ht="15.75" customHeight="1" x14ac:dyDescent="0.2"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</row>
    <row r="204" spans="2:13" ht="15.75" customHeight="1" x14ac:dyDescent="0.2"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</row>
    <row r="205" spans="2:13" ht="15.75" customHeight="1" x14ac:dyDescent="0.2"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</row>
    <row r="206" spans="2:13" ht="15.75" customHeight="1" x14ac:dyDescent="0.2"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</row>
    <row r="207" spans="2:13" ht="15.75" customHeight="1" x14ac:dyDescent="0.2"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</row>
    <row r="208" spans="2:13" ht="15.75" customHeight="1" x14ac:dyDescent="0.2"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</row>
    <row r="209" spans="2:13" ht="15.75" customHeight="1" x14ac:dyDescent="0.2"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</row>
    <row r="210" spans="2:13" ht="15.75" customHeight="1" x14ac:dyDescent="0.2"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</row>
    <row r="211" spans="2:13" ht="15.75" customHeight="1" x14ac:dyDescent="0.2"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</row>
    <row r="212" spans="2:13" ht="15.75" customHeight="1" x14ac:dyDescent="0.2"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</row>
    <row r="213" spans="2:13" ht="15.75" customHeight="1" x14ac:dyDescent="0.2"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</row>
    <row r="214" spans="2:13" ht="15.75" customHeight="1" x14ac:dyDescent="0.2"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</row>
    <row r="215" spans="2:13" ht="15.75" customHeight="1" x14ac:dyDescent="0.2"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</row>
    <row r="216" spans="2:13" ht="15.75" customHeight="1" x14ac:dyDescent="0.2"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</row>
    <row r="217" spans="2:13" ht="15.75" customHeight="1" x14ac:dyDescent="0.2"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</row>
    <row r="218" spans="2:13" ht="15.75" customHeight="1" x14ac:dyDescent="0.2"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</row>
    <row r="219" spans="2:13" ht="15.75" customHeight="1" x14ac:dyDescent="0.2"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</row>
    <row r="220" spans="2:13" ht="15.75" customHeight="1" x14ac:dyDescent="0.2"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</row>
    <row r="221" spans="2:13" ht="15.75" customHeight="1" x14ac:dyDescent="0.2"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</row>
    <row r="222" spans="2:13" ht="15.75" customHeight="1" x14ac:dyDescent="0.2"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</row>
    <row r="223" spans="2:13" ht="15.75" customHeight="1" x14ac:dyDescent="0.2"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</row>
    <row r="224" spans="2:13" ht="15.75" customHeight="1" x14ac:dyDescent="0.2"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</row>
    <row r="225" spans="2:13" ht="15.75" customHeight="1" x14ac:dyDescent="0.2"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</row>
    <row r="226" spans="2:13" ht="15.75" customHeight="1" x14ac:dyDescent="0.2"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</row>
    <row r="227" spans="2:13" ht="15.75" customHeight="1" x14ac:dyDescent="0.2"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</row>
    <row r="228" spans="2:13" ht="15.75" customHeight="1" x14ac:dyDescent="0.2"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</row>
    <row r="229" spans="2:13" ht="15.75" customHeight="1" x14ac:dyDescent="0.2"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</row>
    <row r="230" spans="2:13" ht="15.75" customHeight="1" x14ac:dyDescent="0.2"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</row>
    <row r="231" spans="2:13" ht="15.75" customHeight="1" x14ac:dyDescent="0.2"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</row>
    <row r="232" spans="2:13" ht="15.75" customHeight="1" x14ac:dyDescent="0.2"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</row>
    <row r="233" spans="2:13" ht="15.75" customHeight="1" x14ac:dyDescent="0.2"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</row>
    <row r="234" spans="2:13" ht="15.75" customHeight="1" x14ac:dyDescent="0.2"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</row>
    <row r="235" spans="2:13" ht="15.75" customHeight="1" x14ac:dyDescent="0.2"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</row>
    <row r="236" spans="2:13" ht="15.75" customHeight="1" x14ac:dyDescent="0.2"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</row>
    <row r="237" spans="2:13" ht="15.75" customHeight="1" x14ac:dyDescent="0.2"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</row>
    <row r="238" spans="2:13" ht="15.75" customHeight="1" x14ac:dyDescent="0.2"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</row>
    <row r="239" spans="2:13" ht="15.75" customHeight="1" x14ac:dyDescent="0.2"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</row>
    <row r="240" spans="2:13" ht="15.75" customHeight="1" x14ac:dyDescent="0.2"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</row>
    <row r="241" spans="2:13" ht="15.75" customHeight="1" x14ac:dyDescent="0.2"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</row>
    <row r="242" spans="2:13" ht="15.75" customHeight="1" x14ac:dyDescent="0.2"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</row>
    <row r="243" spans="2:13" ht="15.75" customHeight="1" x14ac:dyDescent="0.2"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</row>
    <row r="244" spans="2:13" ht="15.75" customHeight="1" x14ac:dyDescent="0.2"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</row>
    <row r="245" spans="2:13" ht="15.75" customHeight="1" x14ac:dyDescent="0.2"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</row>
    <row r="246" spans="2:13" ht="15.75" customHeight="1" x14ac:dyDescent="0.2"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</row>
    <row r="247" spans="2:13" ht="15.75" customHeight="1" x14ac:dyDescent="0.2"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</row>
    <row r="248" spans="2:13" ht="15.75" customHeight="1" x14ac:dyDescent="0.2"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</row>
    <row r="249" spans="2:13" ht="15.75" customHeight="1" x14ac:dyDescent="0.2"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</row>
    <row r="250" spans="2:13" ht="15.75" customHeight="1" x14ac:dyDescent="0.2"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</row>
    <row r="251" spans="2:13" ht="15.75" customHeight="1" x14ac:dyDescent="0.2"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</row>
    <row r="252" spans="2:13" ht="15.75" customHeight="1" x14ac:dyDescent="0.2"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</row>
    <row r="253" spans="2:13" ht="15.75" customHeight="1" x14ac:dyDescent="0.2"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</row>
    <row r="254" spans="2:13" ht="15.75" customHeight="1" x14ac:dyDescent="0.2"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</row>
    <row r="255" spans="2:13" ht="15.75" customHeight="1" x14ac:dyDescent="0.2"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</row>
    <row r="256" spans="2:13" ht="15.75" customHeight="1" x14ac:dyDescent="0.2"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</row>
    <row r="257" spans="2:13" ht="15.75" customHeight="1" x14ac:dyDescent="0.2"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</row>
    <row r="258" spans="2:13" ht="15.75" customHeight="1" x14ac:dyDescent="0.2"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</row>
    <row r="259" spans="2:13" ht="15.75" customHeight="1" x14ac:dyDescent="0.2"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</row>
    <row r="260" spans="2:13" ht="15.75" customHeight="1" x14ac:dyDescent="0.2"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</row>
    <row r="261" spans="2:13" ht="15.75" customHeight="1" x14ac:dyDescent="0.2"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</row>
    <row r="262" spans="2:13" ht="15.75" customHeight="1" x14ac:dyDescent="0.2"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</row>
    <row r="263" spans="2:13" ht="15.75" customHeight="1" x14ac:dyDescent="0.2"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</row>
    <row r="264" spans="2:13" ht="15.75" customHeight="1" x14ac:dyDescent="0.2"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</row>
    <row r="265" spans="2:13" ht="15.75" customHeight="1" x14ac:dyDescent="0.2"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</row>
    <row r="266" spans="2:13" ht="15.75" customHeight="1" x14ac:dyDescent="0.2"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</row>
    <row r="267" spans="2:13" ht="15.75" customHeight="1" x14ac:dyDescent="0.2"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</row>
    <row r="268" spans="2:13" ht="15.75" customHeight="1" x14ac:dyDescent="0.2"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</row>
    <row r="269" spans="2:13" ht="15.75" customHeight="1" x14ac:dyDescent="0.2"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</row>
    <row r="270" spans="2:13" ht="15.75" customHeight="1" x14ac:dyDescent="0.2"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</row>
    <row r="271" spans="2:13" ht="15.75" customHeight="1" x14ac:dyDescent="0.2"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</row>
    <row r="272" spans="2:13" ht="15.75" customHeight="1" x14ac:dyDescent="0.2"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</row>
    <row r="273" spans="2:13" ht="15.75" customHeight="1" x14ac:dyDescent="0.2"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</row>
    <row r="274" spans="2:13" ht="15.75" customHeight="1" x14ac:dyDescent="0.2"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</row>
    <row r="275" spans="2:13" ht="15.75" customHeight="1" x14ac:dyDescent="0.2"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</row>
    <row r="276" spans="2:13" ht="15.75" customHeight="1" x14ac:dyDescent="0.2"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</row>
    <row r="277" spans="2:13" ht="15.75" customHeight="1" x14ac:dyDescent="0.2"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</row>
    <row r="278" spans="2:13" ht="15.75" customHeight="1" x14ac:dyDescent="0.2"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</row>
    <row r="279" spans="2:13" ht="15.75" customHeight="1" x14ac:dyDescent="0.2"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</row>
    <row r="280" spans="2:13" ht="15.75" customHeight="1" x14ac:dyDescent="0.2"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</row>
    <row r="281" spans="2:13" ht="15.75" customHeight="1" x14ac:dyDescent="0.2"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</row>
    <row r="282" spans="2:13" ht="15.75" customHeight="1" x14ac:dyDescent="0.2"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</row>
    <row r="283" spans="2:13" ht="15.75" customHeight="1" x14ac:dyDescent="0.2"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</row>
    <row r="284" spans="2:13" ht="15.75" customHeight="1" x14ac:dyDescent="0.2"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</row>
    <row r="285" spans="2:13" ht="15.75" customHeight="1" x14ac:dyDescent="0.2"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</row>
    <row r="286" spans="2:13" ht="15.75" customHeight="1" x14ac:dyDescent="0.2"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</row>
    <row r="287" spans="2:13" ht="15.75" customHeight="1" x14ac:dyDescent="0.2"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</row>
    <row r="288" spans="2:13" ht="15.75" customHeight="1" x14ac:dyDescent="0.2"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</row>
    <row r="289" spans="2:13" ht="15.75" customHeight="1" x14ac:dyDescent="0.2"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</row>
    <row r="290" spans="2:13" ht="15.75" customHeight="1" x14ac:dyDescent="0.2"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</row>
    <row r="291" spans="2:13" ht="15.75" customHeight="1" x14ac:dyDescent="0.2"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</row>
    <row r="292" spans="2:13" ht="15.75" customHeight="1" x14ac:dyDescent="0.2"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</row>
    <row r="293" spans="2:13" ht="15.75" customHeight="1" x14ac:dyDescent="0.2"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</row>
    <row r="294" spans="2:13" ht="15.75" customHeight="1" x14ac:dyDescent="0.2"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</row>
    <row r="295" spans="2:13" ht="15.75" customHeight="1" x14ac:dyDescent="0.2"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</row>
    <row r="296" spans="2:13" ht="15.75" customHeight="1" x14ac:dyDescent="0.2"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</row>
    <row r="297" spans="2:13" ht="15.75" customHeight="1" x14ac:dyDescent="0.2"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</row>
    <row r="298" spans="2:13" ht="15.75" customHeight="1" x14ac:dyDescent="0.2"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</row>
    <row r="299" spans="2:13" ht="15.75" customHeight="1" x14ac:dyDescent="0.2"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</row>
    <row r="300" spans="2:13" ht="15.75" customHeight="1" x14ac:dyDescent="0.2"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</row>
    <row r="301" spans="2:13" ht="15.75" customHeight="1" x14ac:dyDescent="0.2"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</row>
    <row r="302" spans="2:13" ht="15.75" customHeight="1" x14ac:dyDescent="0.2"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</row>
    <row r="303" spans="2:13" ht="15.75" customHeight="1" x14ac:dyDescent="0.2"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</row>
    <row r="304" spans="2:13" ht="15.75" customHeight="1" x14ac:dyDescent="0.2"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</row>
    <row r="305" spans="2:13" ht="15.75" customHeight="1" x14ac:dyDescent="0.2"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</row>
    <row r="306" spans="2:13" ht="15.75" customHeight="1" x14ac:dyDescent="0.2"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</row>
    <row r="307" spans="2:13" ht="15.75" customHeight="1" x14ac:dyDescent="0.2"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</row>
    <row r="308" spans="2:13" ht="15.75" customHeight="1" x14ac:dyDescent="0.2"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</row>
    <row r="309" spans="2:13" ht="15.75" customHeight="1" x14ac:dyDescent="0.2"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</row>
    <row r="310" spans="2:13" ht="15.75" customHeight="1" x14ac:dyDescent="0.2"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</row>
    <row r="311" spans="2:13" ht="15.75" customHeight="1" x14ac:dyDescent="0.2"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</row>
    <row r="312" spans="2:13" ht="15.75" customHeight="1" x14ac:dyDescent="0.2"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</row>
    <row r="313" spans="2:13" ht="15.75" customHeight="1" x14ac:dyDescent="0.2"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</row>
    <row r="314" spans="2:13" ht="15.75" customHeight="1" x14ac:dyDescent="0.2"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</row>
    <row r="315" spans="2:13" ht="15.75" customHeight="1" x14ac:dyDescent="0.2"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</row>
    <row r="316" spans="2:13" ht="15.75" customHeight="1" x14ac:dyDescent="0.2"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</row>
    <row r="317" spans="2:13" ht="15.75" customHeight="1" x14ac:dyDescent="0.2"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</row>
    <row r="318" spans="2:13" ht="15.75" customHeight="1" x14ac:dyDescent="0.2"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</row>
    <row r="319" spans="2:13" ht="15.75" customHeight="1" x14ac:dyDescent="0.2"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</row>
    <row r="320" spans="2:13" ht="15.75" customHeight="1" x14ac:dyDescent="0.2"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</row>
    <row r="321" spans="2:13" ht="15.75" customHeight="1" x14ac:dyDescent="0.2"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</row>
    <row r="322" spans="2:13" ht="15.75" customHeight="1" x14ac:dyDescent="0.2"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</row>
    <row r="323" spans="2:13" ht="15.75" customHeight="1" x14ac:dyDescent="0.2"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</row>
    <row r="324" spans="2:13" ht="15.75" customHeight="1" x14ac:dyDescent="0.2"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</row>
    <row r="325" spans="2:13" ht="15.75" customHeight="1" x14ac:dyDescent="0.2"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</row>
    <row r="326" spans="2:13" ht="15.75" customHeight="1" x14ac:dyDescent="0.2"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</row>
    <row r="327" spans="2:13" ht="15.75" customHeight="1" x14ac:dyDescent="0.2"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</row>
    <row r="328" spans="2:13" ht="15.75" customHeight="1" x14ac:dyDescent="0.2"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</row>
    <row r="329" spans="2:13" ht="15.75" customHeight="1" x14ac:dyDescent="0.2"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</row>
    <row r="330" spans="2:13" ht="15.75" customHeight="1" x14ac:dyDescent="0.2"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</row>
    <row r="331" spans="2:13" ht="15.75" customHeight="1" x14ac:dyDescent="0.2"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</row>
    <row r="332" spans="2:13" ht="15.75" customHeight="1" x14ac:dyDescent="0.2"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</row>
    <row r="333" spans="2:13" ht="15.75" customHeight="1" x14ac:dyDescent="0.2"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</row>
    <row r="334" spans="2:13" ht="15.75" customHeight="1" x14ac:dyDescent="0.2"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</row>
    <row r="335" spans="2:13" ht="15.75" customHeight="1" x14ac:dyDescent="0.2"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</row>
    <row r="336" spans="2:13" ht="15.75" customHeight="1" x14ac:dyDescent="0.2"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</row>
    <row r="337" spans="2:13" ht="15.75" customHeight="1" x14ac:dyDescent="0.2"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</row>
    <row r="338" spans="2:13" ht="15.75" customHeight="1" x14ac:dyDescent="0.2"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</row>
    <row r="339" spans="2:13" ht="15.75" customHeight="1" x14ac:dyDescent="0.2"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</row>
    <row r="340" spans="2:13" ht="15.75" customHeight="1" x14ac:dyDescent="0.2"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</row>
    <row r="341" spans="2:13" ht="15.75" customHeight="1" x14ac:dyDescent="0.2"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</row>
    <row r="342" spans="2:13" ht="15.75" customHeight="1" x14ac:dyDescent="0.2"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</row>
    <row r="343" spans="2:13" ht="15.75" customHeight="1" x14ac:dyDescent="0.2"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</row>
    <row r="344" spans="2:13" ht="15.75" customHeight="1" x14ac:dyDescent="0.2"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</row>
    <row r="345" spans="2:13" ht="15.75" customHeight="1" x14ac:dyDescent="0.2"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</row>
    <row r="346" spans="2:13" ht="15.75" customHeight="1" x14ac:dyDescent="0.2"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</row>
    <row r="347" spans="2:13" ht="15.75" customHeight="1" x14ac:dyDescent="0.2"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</row>
    <row r="348" spans="2:13" ht="15.75" customHeight="1" x14ac:dyDescent="0.2"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</row>
    <row r="349" spans="2:13" ht="15.75" customHeight="1" x14ac:dyDescent="0.2"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</row>
    <row r="350" spans="2:13" ht="15.75" customHeight="1" x14ac:dyDescent="0.2"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</row>
    <row r="351" spans="2:13" ht="15.75" customHeight="1" x14ac:dyDescent="0.2"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</row>
    <row r="352" spans="2:13" ht="15.75" customHeight="1" x14ac:dyDescent="0.2"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</row>
    <row r="353" spans="2:13" ht="15.75" customHeight="1" x14ac:dyDescent="0.2"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</row>
    <row r="354" spans="2:13" ht="15.75" customHeight="1" x14ac:dyDescent="0.2"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</row>
    <row r="355" spans="2:13" ht="15.75" customHeight="1" x14ac:dyDescent="0.2"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</row>
    <row r="356" spans="2:13" ht="15.75" customHeight="1" x14ac:dyDescent="0.2"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</row>
    <row r="357" spans="2:13" ht="15.75" customHeight="1" x14ac:dyDescent="0.2"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</row>
    <row r="358" spans="2:13" ht="15.75" customHeight="1" x14ac:dyDescent="0.2"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</row>
    <row r="359" spans="2:13" ht="15.75" customHeight="1" x14ac:dyDescent="0.2"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</row>
    <row r="360" spans="2:13" ht="15.75" customHeight="1" x14ac:dyDescent="0.2"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</row>
    <row r="361" spans="2:13" ht="15.75" customHeight="1" x14ac:dyDescent="0.2"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</row>
    <row r="362" spans="2:13" ht="15.75" customHeight="1" x14ac:dyDescent="0.2"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</row>
    <row r="363" spans="2:13" ht="15.75" customHeight="1" x14ac:dyDescent="0.2"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</row>
    <row r="364" spans="2:13" ht="15.75" customHeight="1" x14ac:dyDescent="0.2"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</row>
    <row r="365" spans="2:13" ht="15.75" customHeight="1" x14ac:dyDescent="0.2"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</row>
    <row r="366" spans="2:13" ht="15.75" customHeight="1" x14ac:dyDescent="0.2"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</row>
    <row r="367" spans="2:13" ht="15.75" customHeight="1" x14ac:dyDescent="0.2"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</row>
    <row r="368" spans="2:13" ht="15.75" customHeight="1" x14ac:dyDescent="0.2"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</row>
    <row r="369" spans="2:13" ht="15.75" customHeight="1" x14ac:dyDescent="0.2"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</row>
    <row r="370" spans="2:13" ht="15.75" customHeight="1" x14ac:dyDescent="0.2"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</row>
    <row r="371" spans="2:13" ht="15.75" customHeight="1" x14ac:dyDescent="0.2"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</row>
    <row r="372" spans="2:13" ht="15.75" customHeight="1" x14ac:dyDescent="0.2"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</row>
    <row r="373" spans="2:13" ht="15.75" customHeight="1" x14ac:dyDescent="0.2"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</row>
    <row r="374" spans="2:13" ht="15.75" customHeight="1" x14ac:dyDescent="0.2"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</row>
    <row r="375" spans="2:13" ht="15.75" customHeight="1" x14ac:dyDescent="0.2"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</row>
    <row r="376" spans="2:13" ht="15.75" customHeight="1" x14ac:dyDescent="0.2"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</row>
    <row r="377" spans="2:13" ht="15.75" customHeight="1" x14ac:dyDescent="0.2"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</row>
    <row r="378" spans="2:13" ht="15.75" customHeight="1" x14ac:dyDescent="0.2"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</row>
    <row r="379" spans="2:13" ht="15.75" customHeight="1" x14ac:dyDescent="0.2"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</row>
    <row r="380" spans="2:13" ht="15.75" customHeight="1" x14ac:dyDescent="0.2"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</row>
    <row r="381" spans="2:13" ht="15.75" customHeight="1" x14ac:dyDescent="0.2"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</row>
    <row r="382" spans="2:13" ht="15.75" customHeight="1" x14ac:dyDescent="0.2"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</row>
    <row r="383" spans="2:13" ht="15.75" customHeight="1" x14ac:dyDescent="0.2"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</row>
    <row r="384" spans="2:13" ht="15.75" customHeight="1" x14ac:dyDescent="0.2"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</row>
    <row r="385" spans="2:13" ht="15.75" customHeight="1" x14ac:dyDescent="0.2"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</row>
    <row r="386" spans="2:13" ht="15.75" customHeight="1" x14ac:dyDescent="0.2"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</row>
    <row r="387" spans="2:13" ht="15.75" customHeight="1" x14ac:dyDescent="0.2"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</row>
    <row r="388" spans="2:13" ht="15.75" customHeight="1" x14ac:dyDescent="0.2"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</row>
    <row r="389" spans="2:13" ht="15.75" customHeight="1" x14ac:dyDescent="0.2"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</row>
    <row r="390" spans="2:13" ht="15.75" customHeight="1" x14ac:dyDescent="0.2"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</row>
    <row r="391" spans="2:13" ht="15.75" customHeight="1" x14ac:dyDescent="0.2"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</row>
    <row r="392" spans="2:13" ht="15.75" customHeight="1" x14ac:dyDescent="0.2"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</row>
    <row r="393" spans="2:13" ht="15.75" customHeight="1" x14ac:dyDescent="0.2"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</row>
    <row r="394" spans="2:13" ht="15.75" customHeight="1" x14ac:dyDescent="0.2"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</row>
    <row r="395" spans="2:13" ht="15.75" customHeight="1" x14ac:dyDescent="0.2"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</row>
    <row r="396" spans="2:13" ht="15.75" customHeight="1" x14ac:dyDescent="0.2"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</row>
    <row r="397" spans="2:13" ht="15.75" customHeight="1" x14ac:dyDescent="0.2"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</row>
    <row r="398" spans="2:13" ht="15.75" customHeight="1" x14ac:dyDescent="0.2"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</row>
    <row r="399" spans="2:13" ht="15.75" customHeight="1" x14ac:dyDescent="0.2"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</row>
    <row r="400" spans="2:13" ht="15.75" customHeight="1" x14ac:dyDescent="0.2"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</row>
    <row r="401" spans="2:13" ht="15.75" customHeight="1" x14ac:dyDescent="0.2"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</row>
    <row r="402" spans="2:13" ht="15.75" customHeight="1" x14ac:dyDescent="0.2"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</row>
    <row r="403" spans="2:13" ht="15.75" customHeight="1" x14ac:dyDescent="0.2"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</row>
    <row r="404" spans="2:13" ht="15.75" customHeight="1" x14ac:dyDescent="0.2"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</row>
    <row r="405" spans="2:13" ht="15.75" customHeight="1" x14ac:dyDescent="0.2"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</row>
    <row r="406" spans="2:13" ht="15.75" customHeight="1" x14ac:dyDescent="0.2"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</row>
    <row r="407" spans="2:13" ht="15.75" customHeight="1" x14ac:dyDescent="0.2"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</row>
    <row r="408" spans="2:13" ht="15.75" customHeight="1" x14ac:dyDescent="0.2"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</row>
    <row r="409" spans="2:13" ht="15.75" customHeight="1" x14ac:dyDescent="0.2"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</row>
    <row r="410" spans="2:13" ht="15.75" customHeight="1" x14ac:dyDescent="0.2"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</row>
    <row r="411" spans="2:13" ht="15.75" customHeight="1" x14ac:dyDescent="0.2"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</row>
    <row r="412" spans="2:13" ht="15.75" customHeight="1" x14ac:dyDescent="0.2"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</row>
    <row r="413" spans="2:13" ht="15.75" customHeight="1" x14ac:dyDescent="0.2"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</row>
    <row r="414" spans="2:13" ht="15.75" customHeight="1" x14ac:dyDescent="0.2"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</row>
    <row r="415" spans="2:13" ht="15.75" customHeight="1" x14ac:dyDescent="0.2"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</row>
    <row r="416" spans="2:13" ht="15.75" customHeight="1" x14ac:dyDescent="0.2"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</row>
    <row r="417" spans="2:13" ht="15.75" customHeight="1" x14ac:dyDescent="0.2"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</row>
    <row r="418" spans="2:13" ht="15.75" customHeight="1" x14ac:dyDescent="0.2"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</row>
    <row r="419" spans="2:13" ht="15.75" customHeight="1" x14ac:dyDescent="0.2"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</row>
    <row r="420" spans="2:13" ht="15.75" customHeight="1" x14ac:dyDescent="0.2"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</row>
    <row r="421" spans="2:13" ht="15.75" customHeight="1" x14ac:dyDescent="0.2"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</row>
    <row r="422" spans="2:13" ht="15.75" customHeight="1" x14ac:dyDescent="0.2"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</row>
    <row r="423" spans="2:13" ht="15.75" customHeight="1" x14ac:dyDescent="0.2"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</row>
    <row r="424" spans="2:13" ht="15.75" customHeight="1" x14ac:dyDescent="0.2"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</row>
    <row r="425" spans="2:13" ht="15.75" customHeight="1" x14ac:dyDescent="0.2"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</row>
    <row r="426" spans="2:13" ht="15.75" customHeight="1" x14ac:dyDescent="0.2"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</row>
    <row r="427" spans="2:13" ht="15.75" customHeight="1" x14ac:dyDescent="0.2"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</row>
    <row r="428" spans="2:13" ht="15.75" customHeight="1" x14ac:dyDescent="0.2"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</row>
    <row r="429" spans="2:13" ht="15.75" customHeight="1" x14ac:dyDescent="0.2"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</row>
    <row r="430" spans="2:13" ht="15.75" customHeight="1" x14ac:dyDescent="0.2"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</row>
    <row r="431" spans="2:13" ht="15.75" customHeight="1" x14ac:dyDescent="0.2"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</row>
    <row r="432" spans="2:13" ht="15.75" customHeight="1" x14ac:dyDescent="0.2"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</row>
    <row r="433" spans="2:13" ht="15.75" customHeight="1" x14ac:dyDescent="0.2"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</row>
    <row r="434" spans="2:13" ht="15.75" customHeight="1" x14ac:dyDescent="0.2"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</row>
    <row r="435" spans="2:13" ht="15.75" customHeight="1" x14ac:dyDescent="0.2"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</row>
    <row r="436" spans="2:13" ht="15.75" customHeight="1" x14ac:dyDescent="0.2"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</row>
    <row r="437" spans="2:13" ht="15.75" customHeight="1" x14ac:dyDescent="0.2"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</row>
    <row r="438" spans="2:13" ht="15.75" customHeight="1" x14ac:dyDescent="0.2"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</row>
    <row r="439" spans="2:13" ht="15.75" customHeight="1" x14ac:dyDescent="0.2"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</row>
    <row r="440" spans="2:13" ht="15.75" customHeight="1" x14ac:dyDescent="0.2"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</row>
    <row r="441" spans="2:13" ht="15.75" customHeight="1" x14ac:dyDescent="0.2"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</row>
    <row r="442" spans="2:13" ht="15.75" customHeight="1" x14ac:dyDescent="0.2"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</row>
    <row r="443" spans="2:13" ht="15.75" customHeight="1" x14ac:dyDescent="0.2"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</row>
    <row r="444" spans="2:13" ht="15.75" customHeight="1" x14ac:dyDescent="0.2"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</row>
    <row r="445" spans="2:13" ht="15.75" customHeight="1" x14ac:dyDescent="0.2"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</row>
    <row r="446" spans="2:13" ht="15.75" customHeight="1" x14ac:dyDescent="0.2"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</row>
    <row r="447" spans="2:13" ht="15.75" customHeight="1" x14ac:dyDescent="0.2"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</row>
    <row r="448" spans="2:13" ht="15.75" customHeight="1" x14ac:dyDescent="0.2"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</row>
    <row r="449" spans="2:13" ht="15.75" customHeight="1" x14ac:dyDescent="0.2"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</row>
    <row r="450" spans="2:13" ht="15.75" customHeight="1" x14ac:dyDescent="0.2"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</row>
    <row r="451" spans="2:13" ht="15.75" customHeight="1" x14ac:dyDescent="0.2"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</row>
    <row r="452" spans="2:13" ht="15.75" customHeight="1" x14ac:dyDescent="0.2"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</row>
    <row r="453" spans="2:13" ht="15.75" customHeight="1" x14ac:dyDescent="0.2"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</row>
    <row r="454" spans="2:13" ht="15.75" customHeight="1" x14ac:dyDescent="0.2"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</row>
    <row r="455" spans="2:13" ht="15.75" customHeight="1" x14ac:dyDescent="0.2"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</row>
    <row r="456" spans="2:13" ht="15.75" customHeight="1" x14ac:dyDescent="0.2"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</row>
    <row r="457" spans="2:13" ht="15.75" customHeight="1" x14ac:dyDescent="0.2"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</row>
    <row r="458" spans="2:13" ht="15.75" customHeight="1" x14ac:dyDescent="0.2"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</row>
    <row r="459" spans="2:13" ht="15.75" customHeight="1" x14ac:dyDescent="0.2"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</row>
    <row r="460" spans="2:13" ht="15.75" customHeight="1" x14ac:dyDescent="0.2"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</row>
    <row r="461" spans="2:13" ht="15.75" customHeight="1" x14ac:dyDescent="0.2"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</row>
    <row r="462" spans="2:13" ht="15.75" customHeight="1" x14ac:dyDescent="0.2"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</row>
    <row r="463" spans="2:13" ht="15.75" customHeight="1" x14ac:dyDescent="0.2"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</row>
    <row r="464" spans="2:13" ht="15.75" customHeight="1" x14ac:dyDescent="0.2"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</row>
    <row r="465" spans="2:13" ht="15.75" customHeight="1" x14ac:dyDescent="0.2"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</row>
    <row r="466" spans="2:13" ht="15.75" customHeight="1" x14ac:dyDescent="0.2"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</row>
    <row r="467" spans="2:13" ht="15.75" customHeight="1" x14ac:dyDescent="0.2"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</row>
    <row r="468" spans="2:13" ht="15.75" customHeight="1" x14ac:dyDescent="0.2"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</row>
    <row r="469" spans="2:13" ht="15.75" customHeight="1" x14ac:dyDescent="0.2"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</row>
    <row r="470" spans="2:13" ht="15.75" customHeight="1" x14ac:dyDescent="0.2"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</row>
    <row r="471" spans="2:13" ht="15.75" customHeight="1" x14ac:dyDescent="0.2"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</row>
    <row r="472" spans="2:13" ht="15.75" customHeight="1" x14ac:dyDescent="0.2"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</row>
    <row r="473" spans="2:13" ht="15.75" customHeight="1" x14ac:dyDescent="0.2"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</row>
    <row r="474" spans="2:13" ht="15.75" customHeight="1" x14ac:dyDescent="0.2"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</row>
    <row r="475" spans="2:13" ht="15.75" customHeight="1" x14ac:dyDescent="0.2"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</row>
    <row r="476" spans="2:13" ht="15.75" customHeight="1" x14ac:dyDescent="0.2"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</row>
    <row r="477" spans="2:13" ht="15.75" customHeight="1" x14ac:dyDescent="0.2"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</row>
    <row r="478" spans="2:13" ht="15.75" customHeight="1" x14ac:dyDescent="0.2"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</row>
    <row r="479" spans="2:13" ht="15.75" customHeight="1" x14ac:dyDescent="0.2"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</row>
    <row r="480" spans="2:13" ht="15.75" customHeight="1" x14ac:dyDescent="0.2"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</row>
    <row r="481" spans="2:13" ht="15.75" customHeight="1" x14ac:dyDescent="0.2"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</row>
    <row r="482" spans="2:13" ht="15.75" customHeight="1" x14ac:dyDescent="0.2"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</row>
    <row r="483" spans="2:13" ht="15.75" customHeight="1" x14ac:dyDescent="0.2"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</row>
    <row r="484" spans="2:13" ht="15.75" customHeight="1" x14ac:dyDescent="0.2"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</row>
    <row r="485" spans="2:13" ht="15.75" customHeight="1" x14ac:dyDescent="0.2"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</row>
    <row r="486" spans="2:13" ht="15.75" customHeight="1" x14ac:dyDescent="0.2"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</row>
    <row r="487" spans="2:13" ht="15.75" customHeight="1" x14ac:dyDescent="0.2"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</row>
    <row r="488" spans="2:13" ht="15.75" customHeight="1" x14ac:dyDescent="0.2"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</row>
    <row r="489" spans="2:13" ht="15.75" customHeight="1" x14ac:dyDescent="0.2"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</row>
    <row r="490" spans="2:13" ht="15.75" customHeight="1" x14ac:dyDescent="0.2"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</row>
    <row r="491" spans="2:13" ht="15.75" customHeight="1" x14ac:dyDescent="0.2"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</row>
    <row r="492" spans="2:13" ht="15.75" customHeight="1" x14ac:dyDescent="0.2"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</row>
    <row r="493" spans="2:13" ht="15.75" customHeight="1" x14ac:dyDescent="0.2"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</row>
    <row r="494" spans="2:13" ht="15.75" customHeight="1" x14ac:dyDescent="0.2"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</row>
    <row r="495" spans="2:13" ht="15.75" customHeight="1" x14ac:dyDescent="0.2"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</row>
    <row r="496" spans="2:13" ht="15.75" customHeight="1" x14ac:dyDescent="0.2"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</row>
    <row r="497" spans="2:13" ht="15.75" customHeight="1" x14ac:dyDescent="0.2"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</row>
    <row r="498" spans="2:13" ht="15.75" customHeight="1" x14ac:dyDescent="0.2"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</row>
    <row r="499" spans="2:13" ht="15.75" customHeight="1" x14ac:dyDescent="0.2"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</row>
    <row r="500" spans="2:13" ht="15.75" customHeight="1" x14ac:dyDescent="0.2"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</row>
    <row r="501" spans="2:13" ht="15.75" customHeight="1" x14ac:dyDescent="0.2"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</row>
    <row r="502" spans="2:13" ht="15.75" customHeight="1" x14ac:dyDescent="0.2"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</row>
    <row r="503" spans="2:13" ht="15.75" customHeight="1" x14ac:dyDescent="0.2"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</row>
    <row r="504" spans="2:13" ht="15.75" customHeight="1" x14ac:dyDescent="0.2"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</row>
    <row r="505" spans="2:13" ht="15.75" customHeight="1" x14ac:dyDescent="0.2"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</row>
    <row r="506" spans="2:13" ht="15.75" customHeight="1" x14ac:dyDescent="0.2"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</row>
    <row r="507" spans="2:13" ht="15.75" customHeight="1" x14ac:dyDescent="0.2"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</row>
    <row r="508" spans="2:13" ht="15.75" customHeight="1" x14ac:dyDescent="0.2"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</row>
    <row r="509" spans="2:13" ht="15.75" customHeight="1" x14ac:dyDescent="0.2"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</row>
    <row r="510" spans="2:13" ht="15.75" customHeight="1" x14ac:dyDescent="0.2"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</row>
    <row r="511" spans="2:13" ht="15.75" customHeight="1" x14ac:dyDescent="0.2"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</row>
    <row r="512" spans="2:13" ht="15.75" customHeight="1" x14ac:dyDescent="0.2"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</row>
    <row r="513" spans="2:13" ht="15.75" customHeight="1" x14ac:dyDescent="0.2"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</row>
    <row r="514" spans="2:13" ht="15.75" customHeight="1" x14ac:dyDescent="0.2"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</row>
    <row r="515" spans="2:13" ht="15.75" customHeight="1" x14ac:dyDescent="0.2"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</row>
    <row r="516" spans="2:13" ht="15.75" customHeight="1" x14ac:dyDescent="0.2"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</row>
    <row r="517" spans="2:13" ht="15.75" customHeight="1" x14ac:dyDescent="0.2"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</row>
    <row r="518" spans="2:13" ht="15.75" customHeight="1" x14ac:dyDescent="0.2"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</row>
    <row r="519" spans="2:13" ht="15.75" customHeight="1" x14ac:dyDescent="0.2"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</row>
    <row r="520" spans="2:13" ht="15.75" customHeight="1" x14ac:dyDescent="0.2"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</row>
    <row r="521" spans="2:13" ht="15.75" customHeight="1" x14ac:dyDescent="0.2"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</row>
    <row r="522" spans="2:13" ht="15.75" customHeight="1" x14ac:dyDescent="0.2"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</row>
    <row r="523" spans="2:13" ht="15.75" customHeight="1" x14ac:dyDescent="0.2"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</row>
    <row r="524" spans="2:13" ht="15.75" customHeight="1" x14ac:dyDescent="0.2"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</row>
    <row r="525" spans="2:13" ht="15.75" customHeight="1" x14ac:dyDescent="0.2"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</row>
    <row r="526" spans="2:13" ht="15.75" customHeight="1" x14ac:dyDescent="0.2"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</row>
    <row r="527" spans="2:13" ht="15.75" customHeight="1" x14ac:dyDescent="0.2"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</row>
    <row r="528" spans="2:13" ht="15.75" customHeight="1" x14ac:dyDescent="0.2"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</row>
    <row r="529" spans="2:13" ht="15.75" customHeight="1" x14ac:dyDescent="0.2"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</row>
    <row r="530" spans="2:13" ht="15.75" customHeight="1" x14ac:dyDescent="0.2"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</row>
    <row r="531" spans="2:13" ht="15.75" customHeight="1" x14ac:dyDescent="0.2"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</row>
    <row r="532" spans="2:13" ht="15.75" customHeight="1" x14ac:dyDescent="0.2"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</row>
    <row r="533" spans="2:13" ht="15.75" customHeight="1" x14ac:dyDescent="0.2"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</row>
    <row r="534" spans="2:13" ht="15.75" customHeight="1" x14ac:dyDescent="0.2"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</row>
    <row r="535" spans="2:13" ht="15.75" customHeight="1" x14ac:dyDescent="0.2"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</row>
    <row r="536" spans="2:13" ht="15.75" customHeight="1" x14ac:dyDescent="0.2"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</row>
    <row r="537" spans="2:13" ht="15.75" customHeight="1" x14ac:dyDescent="0.2"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</row>
    <row r="538" spans="2:13" ht="15.75" customHeight="1" x14ac:dyDescent="0.2"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</row>
    <row r="539" spans="2:13" ht="15.75" customHeight="1" x14ac:dyDescent="0.2"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</row>
    <row r="540" spans="2:13" ht="15.75" customHeight="1" x14ac:dyDescent="0.2"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</row>
    <row r="541" spans="2:13" ht="15.75" customHeight="1" x14ac:dyDescent="0.2"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</row>
    <row r="542" spans="2:13" ht="15.75" customHeight="1" x14ac:dyDescent="0.2"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</row>
    <row r="543" spans="2:13" ht="15.75" customHeight="1" x14ac:dyDescent="0.2"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</row>
    <row r="544" spans="2:13" ht="15.75" customHeight="1" x14ac:dyDescent="0.2"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</row>
    <row r="545" spans="2:13" ht="15.75" customHeight="1" x14ac:dyDescent="0.2"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</row>
    <row r="546" spans="2:13" ht="15.75" customHeight="1" x14ac:dyDescent="0.2"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</row>
    <row r="547" spans="2:13" ht="15.75" customHeight="1" x14ac:dyDescent="0.2"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</row>
    <row r="548" spans="2:13" ht="15.75" customHeight="1" x14ac:dyDescent="0.2"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</row>
    <row r="549" spans="2:13" ht="15.75" customHeight="1" x14ac:dyDescent="0.2"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</row>
    <row r="550" spans="2:13" ht="15.75" customHeight="1" x14ac:dyDescent="0.2"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</row>
    <row r="551" spans="2:13" ht="15.75" customHeight="1" x14ac:dyDescent="0.2"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</row>
    <row r="552" spans="2:13" ht="15.75" customHeight="1" x14ac:dyDescent="0.2"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</row>
    <row r="553" spans="2:13" ht="15.75" customHeight="1" x14ac:dyDescent="0.2"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</row>
    <row r="554" spans="2:13" ht="15.75" customHeight="1" x14ac:dyDescent="0.2"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</row>
    <row r="555" spans="2:13" ht="15.75" customHeight="1" x14ac:dyDescent="0.2"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</row>
    <row r="556" spans="2:13" ht="15.75" customHeight="1" x14ac:dyDescent="0.2"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</row>
    <row r="557" spans="2:13" ht="15.75" customHeight="1" x14ac:dyDescent="0.2"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</row>
    <row r="558" spans="2:13" ht="15.75" customHeight="1" x14ac:dyDescent="0.2"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</row>
    <row r="559" spans="2:13" ht="15.75" customHeight="1" x14ac:dyDescent="0.2"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</row>
    <row r="560" spans="2:13" ht="15.75" customHeight="1" x14ac:dyDescent="0.2"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</row>
    <row r="561" spans="2:13" ht="15.75" customHeight="1" x14ac:dyDescent="0.2"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</row>
    <row r="562" spans="2:13" ht="15.75" customHeight="1" x14ac:dyDescent="0.2"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</row>
    <row r="563" spans="2:13" ht="15.75" customHeight="1" x14ac:dyDescent="0.2"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</row>
    <row r="564" spans="2:13" ht="15.75" customHeight="1" x14ac:dyDescent="0.2"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</row>
    <row r="565" spans="2:13" ht="15.75" customHeight="1" x14ac:dyDescent="0.2"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</row>
    <row r="566" spans="2:13" ht="15.75" customHeight="1" x14ac:dyDescent="0.2"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</row>
    <row r="567" spans="2:13" ht="15.75" customHeight="1" x14ac:dyDescent="0.2"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</row>
    <row r="568" spans="2:13" ht="15.75" customHeight="1" x14ac:dyDescent="0.2"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</row>
    <row r="569" spans="2:13" ht="15.75" customHeight="1" x14ac:dyDescent="0.2"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</row>
    <row r="570" spans="2:13" ht="15.75" customHeight="1" x14ac:dyDescent="0.2"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</row>
    <row r="571" spans="2:13" ht="15.75" customHeight="1" x14ac:dyDescent="0.2"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</row>
    <row r="572" spans="2:13" ht="15.75" customHeight="1" x14ac:dyDescent="0.2"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</row>
    <row r="573" spans="2:13" ht="15.75" customHeight="1" x14ac:dyDescent="0.2"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</row>
    <row r="574" spans="2:13" ht="15.75" customHeight="1" x14ac:dyDescent="0.2"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</row>
    <row r="575" spans="2:13" ht="15.75" customHeight="1" x14ac:dyDescent="0.2"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</row>
    <row r="576" spans="2:13" ht="15.75" customHeight="1" x14ac:dyDescent="0.2"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</row>
    <row r="577" spans="2:13" ht="15.75" customHeight="1" x14ac:dyDescent="0.2"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</row>
    <row r="578" spans="2:13" ht="15.75" customHeight="1" x14ac:dyDescent="0.2"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</row>
    <row r="579" spans="2:13" ht="15.75" customHeight="1" x14ac:dyDescent="0.2"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</row>
    <row r="580" spans="2:13" ht="15.75" customHeight="1" x14ac:dyDescent="0.2"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</row>
    <row r="581" spans="2:13" ht="15.75" customHeight="1" x14ac:dyDescent="0.2"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</row>
    <row r="582" spans="2:13" ht="15.75" customHeight="1" x14ac:dyDescent="0.2"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</row>
    <row r="583" spans="2:13" ht="15.75" customHeight="1" x14ac:dyDescent="0.2"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</row>
    <row r="584" spans="2:13" ht="15.75" customHeight="1" x14ac:dyDescent="0.2"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</row>
    <row r="585" spans="2:13" ht="15.75" customHeight="1" x14ac:dyDescent="0.2"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</row>
    <row r="586" spans="2:13" ht="15.75" customHeight="1" x14ac:dyDescent="0.2"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</row>
    <row r="587" spans="2:13" ht="15.75" customHeight="1" x14ac:dyDescent="0.2"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</row>
    <row r="588" spans="2:13" ht="15.75" customHeight="1" x14ac:dyDescent="0.2"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</row>
    <row r="589" spans="2:13" ht="15.75" customHeight="1" x14ac:dyDescent="0.2"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</row>
    <row r="590" spans="2:13" ht="15.75" customHeight="1" x14ac:dyDescent="0.2"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</row>
    <row r="591" spans="2:13" ht="15.75" customHeight="1" x14ac:dyDescent="0.2"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</row>
    <row r="592" spans="2:13" ht="15.75" customHeight="1" x14ac:dyDescent="0.2"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</row>
    <row r="593" spans="2:13" ht="15.75" customHeight="1" x14ac:dyDescent="0.2"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</row>
    <row r="594" spans="2:13" ht="15.75" customHeight="1" x14ac:dyDescent="0.2"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</row>
    <row r="595" spans="2:13" ht="15.75" customHeight="1" x14ac:dyDescent="0.2"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</row>
    <row r="596" spans="2:13" ht="15.75" customHeight="1" x14ac:dyDescent="0.2"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</row>
    <row r="597" spans="2:13" ht="15.75" customHeight="1" x14ac:dyDescent="0.2"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</row>
    <row r="598" spans="2:13" ht="15.75" customHeight="1" x14ac:dyDescent="0.2"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</row>
    <row r="599" spans="2:13" ht="15.75" customHeight="1" x14ac:dyDescent="0.2"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</row>
    <row r="600" spans="2:13" ht="15.75" customHeight="1" x14ac:dyDescent="0.2"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</row>
    <row r="601" spans="2:13" ht="15.75" customHeight="1" x14ac:dyDescent="0.2"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</row>
    <row r="602" spans="2:13" ht="15.75" customHeight="1" x14ac:dyDescent="0.2"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</row>
    <row r="603" spans="2:13" ht="15.75" customHeight="1" x14ac:dyDescent="0.2"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</row>
    <row r="604" spans="2:13" ht="15.75" customHeight="1" x14ac:dyDescent="0.2"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</row>
    <row r="605" spans="2:13" ht="15.75" customHeight="1" x14ac:dyDescent="0.2"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</row>
    <row r="606" spans="2:13" ht="15.75" customHeight="1" x14ac:dyDescent="0.2"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</row>
    <row r="607" spans="2:13" ht="15.75" customHeight="1" x14ac:dyDescent="0.2"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</row>
    <row r="608" spans="2:13" ht="15.75" customHeight="1" x14ac:dyDescent="0.2"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</row>
    <row r="609" spans="2:13" ht="15.75" customHeight="1" x14ac:dyDescent="0.2"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</row>
    <row r="610" spans="2:13" ht="15.75" customHeight="1" x14ac:dyDescent="0.2"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</row>
    <row r="611" spans="2:13" ht="15.75" customHeight="1" x14ac:dyDescent="0.2"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</row>
    <row r="612" spans="2:13" ht="15.75" customHeight="1" x14ac:dyDescent="0.2"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</row>
    <row r="613" spans="2:13" ht="15.75" customHeight="1" x14ac:dyDescent="0.2"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</row>
    <row r="614" spans="2:13" ht="15.75" customHeight="1" x14ac:dyDescent="0.2"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</row>
    <row r="615" spans="2:13" ht="15.75" customHeight="1" x14ac:dyDescent="0.2"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</row>
    <row r="616" spans="2:13" ht="15.75" customHeight="1" x14ac:dyDescent="0.2"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</row>
    <row r="617" spans="2:13" ht="15.75" customHeight="1" x14ac:dyDescent="0.2"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</row>
    <row r="618" spans="2:13" ht="15.75" customHeight="1" x14ac:dyDescent="0.2"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</row>
    <row r="619" spans="2:13" ht="15.75" customHeight="1" x14ac:dyDescent="0.2"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</row>
    <row r="620" spans="2:13" ht="15.75" customHeight="1" x14ac:dyDescent="0.2"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</row>
    <row r="621" spans="2:13" ht="15.75" customHeight="1" x14ac:dyDescent="0.2"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</row>
    <row r="622" spans="2:13" ht="15.75" customHeight="1" x14ac:dyDescent="0.2"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</row>
    <row r="623" spans="2:13" ht="15.75" customHeight="1" x14ac:dyDescent="0.2"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</row>
    <row r="624" spans="2:13" ht="15.75" customHeight="1" x14ac:dyDescent="0.2"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</row>
    <row r="625" spans="2:13" ht="15.75" customHeight="1" x14ac:dyDescent="0.2"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</row>
    <row r="626" spans="2:13" ht="15.75" customHeight="1" x14ac:dyDescent="0.2"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</row>
    <row r="627" spans="2:13" ht="15.75" customHeight="1" x14ac:dyDescent="0.2"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</row>
    <row r="628" spans="2:13" ht="15.75" customHeight="1" x14ac:dyDescent="0.2"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</row>
    <row r="629" spans="2:13" ht="15.75" customHeight="1" x14ac:dyDescent="0.2"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</row>
    <row r="630" spans="2:13" ht="15.75" customHeight="1" x14ac:dyDescent="0.2"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</row>
    <row r="631" spans="2:13" ht="15.75" customHeight="1" x14ac:dyDescent="0.2"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</row>
    <row r="632" spans="2:13" ht="15.75" customHeight="1" x14ac:dyDescent="0.2"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</row>
    <row r="633" spans="2:13" ht="15.75" customHeight="1" x14ac:dyDescent="0.2"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</row>
    <row r="634" spans="2:13" ht="15.75" customHeight="1" x14ac:dyDescent="0.2"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</row>
    <row r="635" spans="2:13" ht="15.75" customHeight="1" x14ac:dyDescent="0.2"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</row>
    <row r="636" spans="2:13" ht="15.75" customHeight="1" x14ac:dyDescent="0.2"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</row>
    <row r="637" spans="2:13" ht="15.75" customHeight="1" x14ac:dyDescent="0.2"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</row>
    <row r="638" spans="2:13" ht="15.75" customHeight="1" x14ac:dyDescent="0.2"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</row>
    <row r="639" spans="2:13" ht="15.75" customHeight="1" x14ac:dyDescent="0.2"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</row>
    <row r="640" spans="2:13" ht="15.75" customHeight="1" x14ac:dyDescent="0.2"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</row>
    <row r="641" spans="2:13" ht="15.75" customHeight="1" x14ac:dyDescent="0.2"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</row>
    <row r="642" spans="2:13" ht="15.75" customHeight="1" x14ac:dyDescent="0.2"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</row>
    <row r="643" spans="2:13" ht="15.75" customHeight="1" x14ac:dyDescent="0.2"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</row>
    <row r="644" spans="2:13" ht="15.75" customHeight="1" x14ac:dyDescent="0.2"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</row>
    <row r="645" spans="2:13" ht="15.75" customHeight="1" x14ac:dyDescent="0.2"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</row>
    <row r="646" spans="2:13" ht="15.75" customHeight="1" x14ac:dyDescent="0.2"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</row>
    <row r="647" spans="2:13" ht="15.75" customHeight="1" x14ac:dyDescent="0.2"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</row>
    <row r="648" spans="2:13" ht="15.75" customHeight="1" x14ac:dyDescent="0.2"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</row>
    <row r="649" spans="2:13" ht="15.75" customHeight="1" x14ac:dyDescent="0.2"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</row>
    <row r="650" spans="2:13" ht="15.75" customHeight="1" x14ac:dyDescent="0.2"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</row>
    <row r="651" spans="2:13" ht="15.75" customHeight="1" x14ac:dyDescent="0.2"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</row>
    <row r="652" spans="2:13" ht="15.75" customHeight="1" x14ac:dyDescent="0.2"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</row>
    <row r="653" spans="2:13" ht="15.75" customHeight="1" x14ac:dyDescent="0.2"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</row>
    <row r="654" spans="2:13" ht="15.75" customHeight="1" x14ac:dyDescent="0.2"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</row>
    <row r="655" spans="2:13" ht="15.75" customHeight="1" x14ac:dyDescent="0.2"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</row>
    <row r="656" spans="2:13" ht="15.75" customHeight="1" x14ac:dyDescent="0.2"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</row>
    <row r="657" spans="2:13" ht="15.75" customHeight="1" x14ac:dyDescent="0.2"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</row>
    <row r="658" spans="2:13" ht="15.75" customHeight="1" x14ac:dyDescent="0.2"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</row>
    <row r="659" spans="2:13" ht="15.75" customHeight="1" x14ac:dyDescent="0.2"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</row>
    <row r="660" spans="2:13" ht="15.75" customHeight="1" x14ac:dyDescent="0.2"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</row>
    <row r="661" spans="2:13" ht="15.75" customHeight="1" x14ac:dyDescent="0.2"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</row>
    <row r="662" spans="2:13" ht="15.75" customHeight="1" x14ac:dyDescent="0.2"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</row>
    <row r="663" spans="2:13" ht="15.75" customHeight="1" x14ac:dyDescent="0.2"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</row>
    <row r="664" spans="2:13" ht="15.75" customHeight="1" x14ac:dyDescent="0.2"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</row>
    <row r="665" spans="2:13" ht="15.75" customHeight="1" x14ac:dyDescent="0.2"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</row>
    <row r="666" spans="2:13" ht="15.75" customHeight="1" x14ac:dyDescent="0.2"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</row>
    <row r="667" spans="2:13" ht="15.75" customHeight="1" x14ac:dyDescent="0.2"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</row>
    <row r="668" spans="2:13" ht="15.75" customHeight="1" x14ac:dyDescent="0.2"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</row>
    <row r="669" spans="2:13" ht="15.75" customHeight="1" x14ac:dyDescent="0.2"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</row>
    <row r="670" spans="2:13" ht="15.75" customHeight="1" x14ac:dyDescent="0.2"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</row>
    <row r="671" spans="2:13" ht="15.75" customHeight="1" x14ac:dyDescent="0.2"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</row>
    <row r="672" spans="2:13" ht="15.75" customHeight="1" x14ac:dyDescent="0.2"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</row>
    <row r="673" spans="2:13" ht="15.75" customHeight="1" x14ac:dyDescent="0.2"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</row>
    <row r="674" spans="2:13" ht="15.75" customHeight="1" x14ac:dyDescent="0.2"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</row>
    <row r="675" spans="2:13" ht="15.75" customHeight="1" x14ac:dyDescent="0.2"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</row>
    <row r="676" spans="2:13" ht="15.75" customHeight="1" x14ac:dyDescent="0.2"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</row>
    <row r="677" spans="2:13" ht="15.75" customHeight="1" x14ac:dyDescent="0.2"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</row>
    <row r="678" spans="2:13" ht="15.75" customHeight="1" x14ac:dyDescent="0.2"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</row>
    <row r="679" spans="2:13" ht="15.75" customHeight="1" x14ac:dyDescent="0.2"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</row>
    <row r="680" spans="2:13" ht="15.75" customHeight="1" x14ac:dyDescent="0.2"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</row>
    <row r="681" spans="2:13" ht="15.75" customHeight="1" x14ac:dyDescent="0.2"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</row>
    <row r="682" spans="2:13" ht="15.75" customHeight="1" x14ac:dyDescent="0.2"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</row>
    <row r="683" spans="2:13" ht="15.75" customHeight="1" x14ac:dyDescent="0.2"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</row>
    <row r="684" spans="2:13" ht="15.75" customHeight="1" x14ac:dyDescent="0.2"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</row>
    <row r="685" spans="2:13" ht="15.75" customHeight="1" x14ac:dyDescent="0.2"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</row>
    <row r="686" spans="2:13" ht="15.75" customHeight="1" x14ac:dyDescent="0.2"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</row>
    <row r="687" spans="2:13" ht="15.75" customHeight="1" x14ac:dyDescent="0.2"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</row>
    <row r="688" spans="2:13" ht="15.75" customHeight="1" x14ac:dyDescent="0.2"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</row>
    <row r="689" spans="2:13" ht="15.75" customHeight="1" x14ac:dyDescent="0.2"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</row>
    <row r="690" spans="2:13" ht="15.75" customHeight="1" x14ac:dyDescent="0.2"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</row>
    <row r="691" spans="2:13" ht="15.75" customHeight="1" x14ac:dyDescent="0.2"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</row>
    <row r="692" spans="2:13" ht="15.75" customHeight="1" x14ac:dyDescent="0.2"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</row>
    <row r="693" spans="2:13" ht="15.75" customHeight="1" x14ac:dyDescent="0.2"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</row>
    <row r="694" spans="2:13" ht="15.75" customHeight="1" x14ac:dyDescent="0.2"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</row>
    <row r="695" spans="2:13" ht="15.75" customHeight="1" x14ac:dyDescent="0.2"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</row>
    <row r="696" spans="2:13" ht="15.75" customHeight="1" x14ac:dyDescent="0.2"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</row>
    <row r="697" spans="2:13" ht="15.75" customHeight="1" x14ac:dyDescent="0.2"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</row>
    <row r="698" spans="2:13" ht="15.75" customHeight="1" x14ac:dyDescent="0.2"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</row>
    <row r="699" spans="2:13" ht="15.75" customHeight="1" x14ac:dyDescent="0.2"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</row>
    <row r="700" spans="2:13" ht="15.75" customHeight="1" x14ac:dyDescent="0.2"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</row>
    <row r="701" spans="2:13" ht="15.75" customHeight="1" x14ac:dyDescent="0.2"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</row>
    <row r="702" spans="2:13" ht="15.75" customHeight="1" x14ac:dyDescent="0.2"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</row>
    <row r="703" spans="2:13" ht="15.75" customHeight="1" x14ac:dyDescent="0.2"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</row>
    <row r="704" spans="2:13" ht="15.75" customHeight="1" x14ac:dyDescent="0.2"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</row>
    <row r="705" spans="2:13" ht="15.75" customHeight="1" x14ac:dyDescent="0.2"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</row>
    <row r="706" spans="2:13" ht="15.75" customHeight="1" x14ac:dyDescent="0.2"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</row>
    <row r="707" spans="2:13" ht="15.75" customHeight="1" x14ac:dyDescent="0.2"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</row>
    <row r="708" spans="2:13" ht="15.75" customHeight="1" x14ac:dyDescent="0.2"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</row>
    <row r="709" spans="2:13" ht="15.75" customHeight="1" x14ac:dyDescent="0.2"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</row>
    <row r="710" spans="2:13" ht="15.75" customHeight="1" x14ac:dyDescent="0.2"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</row>
    <row r="711" spans="2:13" ht="15.75" customHeight="1" x14ac:dyDescent="0.2"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</row>
    <row r="712" spans="2:13" ht="15.75" customHeight="1" x14ac:dyDescent="0.2"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</row>
    <row r="713" spans="2:13" ht="15.75" customHeight="1" x14ac:dyDescent="0.2"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</row>
    <row r="714" spans="2:13" ht="15.75" customHeight="1" x14ac:dyDescent="0.2"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</row>
    <row r="715" spans="2:13" ht="15.75" customHeight="1" x14ac:dyDescent="0.2"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</row>
    <row r="716" spans="2:13" ht="15.75" customHeight="1" x14ac:dyDescent="0.2"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</row>
    <row r="717" spans="2:13" ht="15.75" customHeight="1" x14ac:dyDescent="0.2"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</row>
    <row r="718" spans="2:13" ht="15.75" customHeight="1" x14ac:dyDescent="0.2"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</row>
    <row r="719" spans="2:13" ht="15.75" customHeight="1" x14ac:dyDescent="0.2"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</row>
    <row r="720" spans="2:13" ht="15.75" customHeight="1" x14ac:dyDescent="0.2"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</row>
    <row r="721" spans="2:13" ht="15.75" customHeight="1" x14ac:dyDescent="0.2"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</row>
    <row r="722" spans="2:13" ht="15.75" customHeight="1" x14ac:dyDescent="0.2"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</row>
    <row r="723" spans="2:13" ht="15.75" customHeight="1" x14ac:dyDescent="0.2"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</row>
    <row r="724" spans="2:13" ht="15.75" customHeight="1" x14ac:dyDescent="0.2"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</row>
    <row r="725" spans="2:13" ht="15.75" customHeight="1" x14ac:dyDescent="0.2"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</row>
    <row r="726" spans="2:13" ht="15.75" customHeight="1" x14ac:dyDescent="0.2"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</row>
    <row r="727" spans="2:13" ht="15.75" customHeight="1" x14ac:dyDescent="0.2"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</row>
    <row r="728" spans="2:13" ht="15.75" customHeight="1" x14ac:dyDescent="0.2"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</row>
    <row r="729" spans="2:13" ht="15.75" customHeight="1" x14ac:dyDescent="0.2"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</row>
    <row r="730" spans="2:13" ht="15.75" customHeight="1" x14ac:dyDescent="0.2"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</row>
    <row r="731" spans="2:13" ht="15.75" customHeight="1" x14ac:dyDescent="0.2"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</row>
    <row r="732" spans="2:13" ht="15.75" customHeight="1" x14ac:dyDescent="0.2"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</row>
    <row r="733" spans="2:13" ht="15.75" customHeight="1" x14ac:dyDescent="0.2"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</row>
    <row r="734" spans="2:13" ht="15.75" customHeight="1" x14ac:dyDescent="0.2"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</row>
    <row r="735" spans="2:13" ht="15.75" customHeight="1" x14ac:dyDescent="0.2"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</row>
    <row r="736" spans="2:13" ht="15.75" customHeight="1" x14ac:dyDescent="0.2"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</row>
    <row r="737" spans="2:13" ht="15.75" customHeight="1" x14ac:dyDescent="0.2"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</row>
    <row r="738" spans="2:13" ht="15.75" customHeight="1" x14ac:dyDescent="0.2"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</row>
    <row r="739" spans="2:13" ht="15.75" customHeight="1" x14ac:dyDescent="0.2"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</row>
    <row r="740" spans="2:13" ht="15.75" customHeight="1" x14ac:dyDescent="0.2"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</row>
    <row r="741" spans="2:13" ht="15.75" customHeight="1" x14ac:dyDescent="0.2"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</row>
    <row r="742" spans="2:13" ht="15.75" customHeight="1" x14ac:dyDescent="0.2"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</row>
    <row r="743" spans="2:13" ht="15.75" customHeight="1" x14ac:dyDescent="0.2"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</row>
    <row r="744" spans="2:13" ht="15.75" customHeight="1" x14ac:dyDescent="0.2"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</row>
    <row r="745" spans="2:13" ht="15.75" customHeight="1" x14ac:dyDescent="0.2"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</row>
    <row r="746" spans="2:13" ht="15.75" customHeight="1" x14ac:dyDescent="0.2"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</row>
    <row r="747" spans="2:13" ht="15.75" customHeight="1" x14ac:dyDescent="0.2"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</row>
    <row r="748" spans="2:13" ht="15.75" customHeight="1" x14ac:dyDescent="0.2"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</row>
    <row r="749" spans="2:13" ht="15.75" customHeight="1" x14ac:dyDescent="0.2"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</row>
    <row r="750" spans="2:13" ht="15.75" customHeight="1" x14ac:dyDescent="0.2"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</row>
    <row r="751" spans="2:13" ht="15.75" customHeight="1" x14ac:dyDescent="0.2"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</row>
    <row r="752" spans="2:13" ht="15.75" customHeight="1" x14ac:dyDescent="0.2"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</row>
    <row r="753" spans="2:13" ht="15.75" customHeight="1" x14ac:dyDescent="0.2"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</row>
    <row r="754" spans="2:13" ht="15.75" customHeight="1" x14ac:dyDescent="0.2"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</row>
    <row r="755" spans="2:13" ht="15.75" customHeight="1" x14ac:dyDescent="0.2"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</row>
    <row r="756" spans="2:13" ht="15.75" customHeight="1" x14ac:dyDescent="0.2"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</row>
    <row r="757" spans="2:13" ht="15.75" customHeight="1" x14ac:dyDescent="0.2"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</row>
    <row r="758" spans="2:13" ht="15.75" customHeight="1" x14ac:dyDescent="0.2"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</row>
    <row r="759" spans="2:13" ht="15.75" customHeight="1" x14ac:dyDescent="0.2"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</row>
    <row r="760" spans="2:13" ht="15.75" customHeight="1" x14ac:dyDescent="0.2"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</row>
    <row r="761" spans="2:13" ht="15.75" customHeight="1" x14ac:dyDescent="0.2"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</row>
    <row r="762" spans="2:13" ht="15.75" customHeight="1" x14ac:dyDescent="0.2"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</row>
    <row r="763" spans="2:13" ht="15.75" customHeight="1" x14ac:dyDescent="0.2"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</row>
    <row r="764" spans="2:13" ht="15.75" customHeight="1" x14ac:dyDescent="0.2"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</row>
    <row r="765" spans="2:13" ht="15.75" customHeight="1" x14ac:dyDescent="0.2"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</row>
    <row r="766" spans="2:13" ht="15.75" customHeight="1" x14ac:dyDescent="0.2"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</row>
    <row r="767" spans="2:13" ht="15.75" customHeight="1" x14ac:dyDescent="0.2"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</row>
    <row r="768" spans="2:13" ht="15.75" customHeight="1" x14ac:dyDescent="0.2"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</row>
    <row r="769" spans="2:13" ht="15.75" customHeight="1" x14ac:dyDescent="0.2"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</row>
    <row r="770" spans="2:13" ht="15.75" customHeight="1" x14ac:dyDescent="0.2"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</row>
    <row r="771" spans="2:13" ht="15.75" customHeight="1" x14ac:dyDescent="0.2"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</row>
    <row r="772" spans="2:13" ht="15.75" customHeight="1" x14ac:dyDescent="0.2"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</row>
    <row r="773" spans="2:13" ht="15.75" customHeight="1" x14ac:dyDescent="0.2"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</row>
    <row r="774" spans="2:13" ht="15.75" customHeight="1" x14ac:dyDescent="0.2"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</row>
    <row r="775" spans="2:13" ht="15.75" customHeight="1" x14ac:dyDescent="0.2"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</row>
    <row r="776" spans="2:13" ht="15.75" customHeight="1" x14ac:dyDescent="0.2"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</row>
    <row r="777" spans="2:13" ht="15.75" customHeight="1" x14ac:dyDescent="0.2"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</row>
    <row r="778" spans="2:13" ht="15.75" customHeight="1" x14ac:dyDescent="0.2"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</row>
    <row r="779" spans="2:13" ht="15.75" customHeight="1" x14ac:dyDescent="0.2"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</row>
    <row r="780" spans="2:13" ht="15.75" customHeight="1" x14ac:dyDescent="0.2"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</row>
    <row r="781" spans="2:13" ht="15.75" customHeight="1" x14ac:dyDescent="0.2"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</row>
    <row r="782" spans="2:13" ht="15.75" customHeight="1" x14ac:dyDescent="0.2"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</row>
    <row r="783" spans="2:13" ht="15.75" customHeight="1" x14ac:dyDescent="0.2"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</row>
    <row r="784" spans="2:13" ht="15.75" customHeight="1" x14ac:dyDescent="0.2"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</row>
    <row r="785" spans="2:13" ht="15.75" customHeight="1" x14ac:dyDescent="0.2"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</row>
    <row r="786" spans="2:13" ht="15.75" customHeight="1" x14ac:dyDescent="0.2"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</row>
    <row r="787" spans="2:13" ht="15.75" customHeight="1" x14ac:dyDescent="0.2"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</row>
    <row r="788" spans="2:13" ht="15.75" customHeight="1" x14ac:dyDescent="0.2"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</row>
    <row r="789" spans="2:13" ht="15.75" customHeight="1" x14ac:dyDescent="0.2"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</row>
    <row r="790" spans="2:13" ht="15.75" customHeight="1" x14ac:dyDescent="0.2"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</row>
    <row r="791" spans="2:13" ht="15.75" customHeight="1" x14ac:dyDescent="0.2"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</row>
    <row r="792" spans="2:13" ht="15.75" customHeight="1" x14ac:dyDescent="0.2"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</row>
    <row r="793" spans="2:13" ht="15.75" customHeight="1" x14ac:dyDescent="0.2"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</row>
    <row r="794" spans="2:13" ht="15.75" customHeight="1" x14ac:dyDescent="0.2"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</row>
    <row r="795" spans="2:13" ht="15.75" customHeight="1" x14ac:dyDescent="0.2"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</row>
    <row r="796" spans="2:13" ht="15.75" customHeight="1" x14ac:dyDescent="0.2"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</row>
    <row r="797" spans="2:13" ht="15.75" customHeight="1" x14ac:dyDescent="0.2"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</row>
    <row r="798" spans="2:13" ht="15.75" customHeight="1" x14ac:dyDescent="0.2"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</row>
    <row r="799" spans="2:13" ht="15.75" customHeight="1" x14ac:dyDescent="0.2"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</row>
    <row r="800" spans="2:13" ht="15.75" customHeight="1" x14ac:dyDescent="0.2"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</row>
    <row r="801" spans="2:13" ht="15.75" customHeight="1" x14ac:dyDescent="0.2"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</row>
    <row r="802" spans="2:13" ht="15.75" customHeight="1" x14ac:dyDescent="0.2"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</row>
    <row r="803" spans="2:13" ht="15.75" customHeight="1" x14ac:dyDescent="0.2"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</row>
    <row r="804" spans="2:13" ht="15.75" customHeight="1" x14ac:dyDescent="0.2"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</row>
    <row r="805" spans="2:13" ht="15.75" customHeight="1" x14ac:dyDescent="0.2"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</row>
    <row r="806" spans="2:13" ht="15.75" customHeight="1" x14ac:dyDescent="0.2"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</row>
    <row r="807" spans="2:13" ht="15.75" customHeight="1" x14ac:dyDescent="0.2"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</row>
    <row r="808" spans="2:13" ht="15.75" customHeight="1" x14ac:dyDescent="0.2"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</row>
    <row r="809" spans="2:13" ht="15.75" customHeight="1" x14ac:dyDescent="0.2"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</row>
    <row r="810" spans="2:13" ht="15.75" customHeight="1" x14ac:dyDescent="0.2"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</row>
    <row r="811" spans="2:13" ht="15.75" customHeight="1" x14ac:dyDescent="0.2"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</row>
    <row r="812" spans="2:13" ht="15.75" customHeight="1" x14ac:dyDescent="0.2"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</row>
    <row r="813" spans="2:13" ht="15.75" customHeight="1" x14ac:dyDescent="0.2"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</row>
    <row r="814" spans="2:13" ht="15.75" customHeight="1" x14ac:dyDescent="0.2"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</row>
    <row r="815" spans="2:13" ht="15.75" customHeight="1" x14ac:dyDescent="0.2"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</row>
    <row r="816" spans="2:13" ht="15.75" customHeight="1" x14ac:dyDescent="0.2"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</row>
    <row r="817" spans="2:13" ht="15.75" customHeight="1" x14ac:dyDescent="0.2"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</row>
    <row r="818" spans="2:13" ht="15.75" customHeight="1" x14ac:dyDescent="0.2"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</row>
    <row r="819" spans="2:13" ht="15.75" customHeight="1" x14ac:dyDescent="0.2"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</row>
    <row r="820" spans="2:13" ht="15.75" customHeight="1" x14ac:dyDescent="0.2"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</row>
    <row r="821" spans="2:13" ht="15.75" customHeight="1" x14ac:dyDescent="0.2"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</row>
    <row r="822" spans="2:13" ht="15.75" customHeight="1" x14ac:dyDescent="0.2"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</row>
    <row r="823" spans="2:13" ht="15.75" customHeight="1" x14ac:dyDescent="0.2"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</row>
    <row r="824" spans="2:13" ht="15.75" customHeight="1" x14ac:dyDescent="0.2"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</row>
    <row r="825" spans="2:13" ht="15.75" customHeight="1" x14ac:dyDescent="0.2"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</row>
    <row r="826" spans="2:13" ht="15.75" customHeight="1" x14ac:dyDescent="0.2"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</row>
    <row r="827" spans="2:13" ht="15.75" customHeight="1" x14ac:dyDescent="0.2"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</row>
    <row r="828" spans="2:13" ht="15.75" customHeight="1" x14ac:dyDescent="0.2"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</row>
    <row r="829" spans="2:13" ht="15.75" customHeight="1" x14ac:dyDescent="0.2"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</row>
    <row r="830" spans="2:13" ht="15.75" customHeight="1" x14ac:dyDescent="0.2"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</row>
    <row r="831" spans="2:13" ht="15.75" customHeight="1" x14ac:dyDescent="0.2"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</row>
    <row r="832" spans="2:13" ht="15.75" customHeight="1" x14ac:dyDescent="0.2"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</row>
    <row r="833" spans="2:13" ht="15.75" customHeight="1" x14ac:dyDescent="0.2"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</row>
    <row r="834" spans="2:13" ht="15.75" customHeight="1" x14ac:dyDescent="0.2"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</row>
    <row r="835" spans="2:13" ht="15.75" customHeight="1" x14ac:dyDescent="0.2"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</row>
    <row r="836" spans="2:13" ht="15.75" customHeight="1" x14ac:dyDescent="0.2"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</row>
    <row r="837" spans="2:13" ht="15.75" customHeight="1" x14ac:dyDescent="0.2"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</row>
    <row r="838" spans="2:13" ht="15.75" customHeight="1" x14ac:dyDescent="0.2"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</row>
    <row r="839" spans="2:13" ht="15.75" customHeight="1" x14ac:dyDescent="0.2"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</row>
    <row r="840" spans="2:13" ht="15.75" customHeight="1" x14ac:dyDescent="0.2"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</row>
    <row r="841" spans="2:13" ht="15.75" customHeight="1" x14ac:dyDescent="0.2"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</row>
    <row r="842" spans="2:13" ht="15.75" customHeight="1" x14ac:dyDescent="0.2"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</row>
    <row r="843" spans="2:13" ht="15.75" customHeight="1" x14ac:dyDescent="0.2"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</row>
    <row r="844" spans="2:13" ht="15.75" customHeight="1" x14ac:dyDescent="0.2"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</row>
    <row r="845" spans="2:13" ht="15.75" customHeight="1" x14ac:dyDescent="0.2"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</row>
    <row r="846" spans="2:13" ht="15.75" customHeight="1" x14ac:dyDescent="0.2"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</row>
    <row r="847" spans="2:13" ht="15.75" customHeight="1" x14ac:dyDescent="0.2"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</row>
    <row r="848" spans="2:13" ht="15.75" customHeight="1" x14ac:dyDescent="0.2"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</row>
    <row r="849" spans="2:13" ht="15.75" customHeight="1" x14ac:dyDescent="0.2"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</row>
    <row r="850" spans="2:13" ht="15.75" customHeight="1" x14ac:dyDescent="0.2"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</row>
    <row r="851" spans="2:13" ht="15.75" customHeight="1" x14ac:dyDescent="0.2"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</row>
    <row r="852" spans="2:13" ht="15.75" customHeight="1" x14ac:dyDescent="0.2"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</row>
    <row r="853" spans="2:13" ht="15.75" customHeight="1" x14ac:dyDescent="0.2"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</row>
    <row r="854" spans="2:13" ht="15.75" customHeight="1" x14ac:dyDescent="0.2"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</row>
    <row r="855" spans="2:13" ht="15.75" customHeight="1" x14ac:dyDescent="0.2"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</row>
    <row r="856" spans="2:13" ht="15.75" customHeight="1" x14ac:dyDescent="0.2"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</row>
    <row r="857" spans="2:13" ht="15.75" customHeight="1" x14ac:dyDescent="0.2"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</row>
    <row r="858" spans="2:13" ht="15.75" customHeight="1" x14ac:dyDescent="0.2"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</row>
    <row r="859" spans="2:13" ht="15.75" customHeight="1" x14ac:dyDescent="0.2"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</row>
    <row r="860" spans="2:13" ht="15.75" customHeight="1" x14ac:dyDescent="0.2"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</row>
    <row r="861" spans="2:13" ht="15.75" customHeight="1" x14ac:dyDescent="0.2"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</row>
    <row r="862" spans="2:13" ht="15.75" customHeight="1" x14ac:dyDescent="0.2"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</row>
    <row r="863" spans="2:13" ht="15.75" customHeight="1" x14ac:dyDescent="0.2"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</row>
    <row r="864" spans="2:13" ht="15.75" customHeight="1" x14ac:dyDescent="0.2"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</row>
    <row r="865" spans="2:13" ht="15.75" customHeight="1" x14ac:dyDescent="0.2"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</row>
    <row r="866" spans="2:13" ht="15.75" customHeight="1" x14ac:dyDescent="0.2"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</row>
    <row r="867" spans="2:13" ht="15.75" customHeight="1" x14ac:dyDescent="0.2"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</row>
    <row r="868" spans="2:13" ht="15.75" customHeight="1" x14ac:dyDescent="0.2"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</row>
    <row r="869" spans="2:13" ht="15.75" customHeight="1" x14ac:dyDescent="0.2"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</row>
    <row r="870" spans="2:13" ht="15.75" customHeight="1" x14ac:dyDescent="0.2"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</row>
    <row r="871" spans="2:13" ht="15.75" customHeight="1" x14ac:dyDescent="0.2"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</row>
    <row r="872" spans="2:13" ht="15.75" customHeight="1" x14ac:dyDescent="0.2"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</row>
    <row r="873" spans="2:13" ht="15.75" customHeight="1" x14ac:dyDescent="0.2"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</row>
    <row r="874" spans="2:13" ht="15.75" customHeight="1" x14ac:dyDescent="0.2"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</row>
    <row r="875" spans="2:13" ht="15.75" customHeight="1" x14ac:dyDescent="0.2"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</row>
    <row r="876" spans="2:13" ht="15.75" customHeight="1" x14ac:dyDescent="0.2"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</row>
    <row r="877" spans="2:13" ht="15.75" customHeight="1" x14ac:dyDescent="0.2"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</row>
    <row r="878" spans="2:13" ht="15.75" customHeight="1" x14ac:dyDescent="0.2"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</row>
    <row r="879" spans="2:13" ht="15.75" customHeight="1" x14ac:dyDescent="0.2"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</row>
    <row r="880" spans="2:13" ht="15.75" customHeight="1" x14ac:dyDescent="0.2"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</row>
    <row r="881" spans="2:13" ht="15.75" customHeight="1" x14ac:dyDescent="0.2"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</row>
    <row r="882" spans="2:13" ht="15.75" customHeight="1" x14ac:dyDescent="0.2"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</row>
    <row r="883" spans="2:13" ht="15.75" customHeight="1" x14ac:dyDescent="0.2"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</row>
    <row r="884" spans="2:13" ht="15.75" customHeight="1" x14ac:dyDescent="0.2"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</row>
    <row r="885" spans="2:13" ht="15.75" customHeight="1" x14ac:dyDescent="0.2"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</row>
    <row r="886" spans="2:13" ht="15.75" customHeight="1" x14ac:dyDescent="0.2"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</row>
    <row r="887" spans="2:13" ht="15.75" customHeight="1" x14ac:dyDescent="0.2"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</row>
    <row r="888" spans="2:13" ht="15.75" customHeight="1" x14ac:dyDescent="0.2"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</row>
    <row r="889" spans="2:13" ht="15.75" customHeight="1" x14ac:dyDescent="0.2"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</row>
    <row r="890" spans="2:13" ht="15.75" customHeight="1" x14ac:dyDescent="0.2"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</row>
    <row r="891" spans="2:13" ht="15.75" customHeight="1" x14ac:dyDescent="0.2"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</row>
    <row r="892" spans="2:13" ht="15.75" customHeight="1" x14ac:dyDescent="0.2"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</row>
    <row r="893" spans="2:13" ht="15.75" customHeight="1" x14ac:dyDescent="0.2"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</row>
    <row r="894" spans="2:13" ht="15.75" customHeight="1" x14ac:dyDescent="0.2"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</row>
    <row r="895" spans="2:13" ht="15.75" customHeight="1" x14ac:dyDescent="0.2"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</row>
    <row r="896" spans="2:13" ht="15.75" customHeight="1" x14ac:dyDescent="0.2"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</row>
    <row r="897" spans="2:13" ht="15.75" customHeight="1" x14ac:dyDescent="0.2"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</row>
    <row r="898" spans="2:13" ht="15.75" customHeight="1" x14ac:dyDescent="0.2"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</row>
    <row r="899" spans="2:13" ht="15.75" customHeight="1" x14ac:dyDescent="0.2"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</row>
    <row r="900" spans="2:13" ht="15.75" customHeight="1" x14ac:dyDescent="0.2"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</row>
    <row r="901" spans="2:13" ht="15.75" customHeight="1" x14ac:dyDescent="0.2"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</row>
    <row r="902" spans="2:13" ht="15.75" customHeight="1" x14ac:dyDescent="0.2"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</row>
    <row r="903" spans="2:13" ht="15.75" customHeight="1" x14ac:dyDescent="0.2"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</row>
    <row r="904" spans="2:13" ht="15.75" customHeight="1" x14ac:dyDescent="0.2"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</row>
    <row r="905" spans="2:13" ht="15.75" customHeight="1" x14ac:dyDescent="0.2"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</row>
    <row r="906" spans="2:13" ht="15.75" customHeight="1" x14ac:dyDescent="0.2"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</row>
    <row r="907" spans="2:13" ht="15.75" customHeight="1" x14ac:dyDescent="0.2"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</row>
    <row r="908" spans="2:13" ht="15.75" customHeight="1" x14ac:dyDescent="0.2"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</row>
    <row r="909" spans="2:13" ht="15.75" customHeight="1" x14ac:dyDescent="0.2"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</row>
    <row r="910" spans="2:13" ht="15.75" customHeight="1" x14ac:dyDescent="0.2"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</row>
    <row r="911" spans="2:13" ht="15.75" customHeight="1" x14ac:dyDescent="0.2"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</row>
    <row r="912" spans="2:13" ht="15.75" customHeight="1" x14ac:dyDescent="0.2"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</row>
    <row r="913" spans="2:13" ht="15.75" customHeight="1" x14ac:dyDescent="0.2"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</row>
    <row r="914" spans="2:13" ht="15.75" customHeight="1" x14ac:dyDescent="0.2"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</row>
    <row r="915" spans="2:13" ht="15.75" customHeight="1" x14ac:dyDescent="0.2"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</row>
    <row r="916" spans="2:13" ht="15.75" customHeight="1" x14ac:dyDescent="0.2"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</row>
    <row r="917" spans="2:13" ht="15.75" customHeight="1" x14ac:dyDescent="0.2"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</row>
    <row r="918" spans="2:13" ht="15.75" customHeight="1" x14ac:dyDescent="0.2"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</row>
    <row r="919" spans="2:13" ht="15.75" customHeight="1" x14ac:dyDescent="0.2"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</row>
    <row r="920" spans="2:13" ht="15.75" customHeight="1" x14ac:dyDescent="0.2"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</row>
    <row r="921" spans="2:13" ht="15.75" customHeight="1" x14ac:dyDescent="0.2"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</row>
    <row r="922" spans="2:13" ht="15.75" customHeight="1" x14ac:dyDescent="0.2"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</row>
    <row r="923" spans="2:13" ht="15.75" customHeight="1" x14ac:dyDescent="0.2"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</row>
    <row r="924" spans="2:13" ht="15.75" customHeight="1" x14ac:dyDescent="0.2"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</row>
    <row r="925" spans="2:13" ht="15.75" customHeight="1" x14ac:dyDescent="0.2"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</row>
    <row r="926" spans="2:13" ht="15.75" customHeight="1" x14ac:dyDescent="0.2"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</row>
    <row r="927" spans="2:13" ht="15.75" customHeight="1" x14ac:dyDescent="0.2"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</row>
    <row r="928" spans="2:13" ht="15.75" customHeight="1" x14ac:dyDescent="0.2"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</row>
    <row r="929" spans="2:13" ht="15.75" customHeight="1" x14ac:dyDescent="0.2"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</row>
    <row r="930" spans="2:13" ht="15.75" customHeight="1" x14ac:dyDescent="0.2"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</row>
    <row r="931" spans="2:13" ht="15.75" customHeight="1" x14ac:dyDescent="0.2"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</row>
    <row r="932" spans="2:13" ht="15.75" customHeight="1" x14ac:dyDescent="0.2"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</row>
    <row r="933" spans="2:13" ht="15.75" customHeight="1" x14ac:dyDescent="0.2"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</row>
    <row r="934" spans="2:13" ht="15.75" customHeight="1" x14ac:dyDescent="0.2"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</row>
    <row r="935" spans="2:13" ht="15.75" customHeight="1" x14ac:dyDescent="0.2"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</row>
    <row r="936" spans="2:13" ht="15.75" customHeight="1" x14ac:dyDescent="0.2"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</row>
    <row r="937" spans="2:13" ht="15.75" customHeight="1" x14ac:dyDescent="0.2"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</row>
    <row r="938" spans="2:13" ht="15.75" customHeight="1" x14ac:dyDescent="0.2"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</row>
    <row r="939" spans="2:13" ht="15.75" customHeight="1" x14ac:dyDescent="0.2"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</row>
    <row r="940" spans="2:13" ht="15.75" customHeight="1" x14ac:dyDescent="0.2"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</row>
    <row r="941" spans="2:13" ht="15.75" customHeight="1" x14ac:dyDescent="0.2"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</row>
    <row r="942" spans="2:13" ht="15.75" customHeight="1" x14ac:dyDescent="0.2"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</row>
    <row r="943" spans="2:13" ht="15.75" customHeight="1" x14ac:dyDescent="0.2"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</row>
    <row r="944" spans="2:13" ht="15.75" customHeight="1" x14ac:dyDescent="0.2"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</row>
    <row r="945" spans="2:13" ht="15.75" customHeight="1" x14ac:dyDescent="0.2"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</row>
    <row r="946" spans="2:13" ht="15.75" customHeight="1" x14ac:dyDescent="0.2"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</row>
    <row r="947" spans="2:13" ht="15.75" customHeight="1" x14ac:dyDescent="0.2"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</row>
    <row r="948" spans="2:13" ht="15.75" customHeight="1" x14ac:dyDescent="0.2"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</row>
    <row r="949" spans="2:13" ht="15.75" customHeight="1" x14ac:dyDescent="0.2"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</row>
    <row r="950" spans="2:13" ht="15.75" customHeight="1" x14ac:dyDescent="0.2"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</row>
    <row r="951" spans="2:13" ht="15.75" customHeight="1" x14ac:dyDescent="0.2"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</row>
    <row r="952" spans="2:13" ht="15.75" customHeight="1" x14ac:dyDescent="0.2"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</row>
    <row r="953" spans="2:13" ht="15.75" customHeight="1" x14ac:dyDescent="0.2"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</row>
    <row r="954" spans="2:13" ht="15.75" customHeight="1" x14ac:dyDescent="0.2"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</row>
    <row r="955" spans="2:13" ht="15.75" customHeight="1" x14ac:dyDescent="0.2"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</row>
    <row r="956" spans="2:13" ht="15.75" customHeight="1" x14ac:dyDescent="0.2"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</row>
    <row r="957" spans="2:13" ht="15.75" customHeight="1" x14ac:dyDescent="0.2"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</row>
    <row r="958" spans="2:13" ht="15.75" customHeight="1" x14ac:dyDescent="0.2"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</row>
    <row r="959" spans="2:13" ht="15.75" customHeight="1" x14ac:dyDescent="0.2"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</row>
    <row r="960" spans="2:13" ht="15.75" customHeight="1" x14ac:dyDescent="0.2"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</row>
    <row r="961" spans="2:13" ht="15.75" customHeight="1" x14ac:dyDescent="0.2"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</row>
    <row r="962" spans="2:13" ht="15.75" customHeight="1" x14ac:dyDescent="0.2"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</row>
    <row r="963" spans="2:13" ht="15.75" customHeight="1" x14ac:dyDescent="0.2"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</row>
    <row r="964" spans="2:13" ht="15.75" customHeight="1" x14ac:dyDescent="0.2"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</row>
    <row r="965" spans="2:13" ht="15.75" customHeight="1" x14ac:dyDescent="0.2"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</row>
    <row r="966" spans="2:13" ht="15.75" customHeight="1" x14ac:dyDescent="0.2"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</row>
    <row r="967" spans="2:13" ht="15.75" customHeight="1" x14ac:dyDescent="0.2"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</row>
    <row r="968" spans="2:13" ht="15.75" customHeight="1" x14ac:dyDescent="0.2"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</row>
    <row r="969" spans="2:13" ht="15.75" customHeight="1" x14ac:dyDescent="0.2"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</row>
    <row r="970" spans="2:13" ht="15.75" customHeight="1" x14ac:dyDescent="0.2"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</row>
    <row r="971" spans="2:13" ht="15.75" customHeight="1" x14ac:dyDescent="0.2"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</row>
    <row r="972" spans="2:13" ht="15.75" customHeight="1" x14ac:dyDescent="0.2"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</row>
    <row r="973" spans="2:13" ht="15.75" customHeight="1" x14ac:dyDescent="0.2"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</row>
    <row r="974" spans="2:13" ht="15.75" customHeight="1" x14ac:dyDescent="0.2"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</row>
    <row r="975" spans="2:13" ht="15.75" customHeight="1" x14ac:dyDescent="0.2"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</row>
    <row r="976" spans="2:13" ht="15.75" customHeight="1" x14ac:dyDescent="0.2"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</row>
    <row r="977" spans="2:13" ht="15.75" customHeight="1" x14ac:dyDescent="0.2"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</row>
    <row r="978" spans="2:13" ht="15.75" customHeight="1" x14ac:dyDescent="0.2"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</row>
    <row r="979" spans="2:13" ht="15.75" customHeight="1" x14ac:dyDescent="0.2"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</row>
    <row r="980" spans="2:13" ht="15.75" customHeight="1" x14ac:dyDescent="0.2"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</row>
    <row r="981" spans="2:13" ht="15.75" customHeight="1" x14ac:dyDescent="0.2"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</row>
    <row r="982" spans="2:13" ht="15.75" customHeight="1" x14ac:dyDescent="0.2"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</row>
    <row r="983" spans="2:13" ht="15.75" customHeight="1" x14ac:dyDescent="0.2"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</row>
    <row r="984" spans="2:13" ht="15.75" customHeight="1" x14ac:dyDescent="0.2"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</row>
    <row r="985" spans="2:13" ht="15.75" customHeight="1" x14ac:dyDescent="0.2"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</row>
    <row r="986" spans="2:13" ht="15.75" customHeight="1" x14ac:dyDescent="0.2"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</row>
    <row r="987" spans="2:13" ht="15.75" customHeight="1" x14ac:dyDescent="0.2"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</row>
    <row r="988" spans="2:13" ht="15.75" customHeight="1" x14ac:dyDescent="0.2"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</row>
    <row r="989" spans="2:13" ht="15.75" customHeight="1" x14ac:dyDescent="0.2"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</row>
    <row r="990" spans="2:13" ht="15.75" customHeight="1" x14ac:dyDescent="0.2"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</row>
    <row r="991" spans="2:13" ht="15.75" customHeight="1" x14ac:dyDescent="0.2"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</row>
    <row r="992" spans="2:13" ht="15.75" customHeight="1" x14ac:dyDescent="0.2"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</row>
    <row r="993" spans="2:13" ht="15.75" customHeight="1" x14ac:dyDescent="0.2"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</row>
    <row r="994" spans="2:13" ht="15.75" customHeight="1" x14ac:dyDescent="0.2"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</row>
    <row r="995" spans="2:13" ht="15.75" customHeight="1" x14ac:dyDescent="0.2"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</row>
    <row r="996" spans="2:13" ht="15.75" customHeight="1" x14ac:dyDescent="0.2"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</row>
    <row r="997" spans="2:13" ht="15.75" customHeight="1" x14ac:dyDescent="0.2"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</row>
    <row r="998" spans="2:13" ht="15.75" customHeight="1" x14ac:dyDescent="0.2"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</row>
    <row r="999" spans="2:13" ht="15.75" customHeight="1" x14ac:dyDescent="0.2"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</row>
    <row r="1000" spans="2:13" ht="15.75" customHeight="1" x14ac:dyDescent="0.2"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</row>
  </sheetData>
  <conditionalFormatting sqref="B34:L34">
    <cfRule type="cellIs" dxfId="4" priority="1" operator="lessThan">
      <formula>B33</formula>
    </cfRule>
    <cfRule type="cellIs" dxfId="3" priority="2" operator="greaterThanOrEqual">
      <formula>B33</formula>
    </cfRule>
  </conditionalFormatting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1000"/>
  <sheetViews>
    <sheetView showGridLines="0" workbookViewId="0"/>
  </sheetViews>
  <sheetFormatPr baseColWidth="10" defaultColWidth="14.5" defaultRowHeight="15" customHeight="1" x14ac:dyDescent="0.2"/>
  <cols>
    <col min="1" max="1" width="2" customWidth="1"/>
    <col min="2" max="2" width="10" customWidth="1"/>
    <col min="3" max="3" width="17.6640625" customWidth="1"/>
    <col min="4" max="4" width="12" customWidth="1"/>
    <col min="5" max="5" width="20" customWidth="1"/>
    <col min="6" max="6" width="5" customWidth="1"/>
    <col min="7" max="7" width="13.6640625" customWidth="1"/>
    <col min="8" max="9" width="15" customWidth="1"/>
    <col min="10" max="14" width="8.1640625" customWidth="1"/>
    <col min="15" max="15" width="15" customWidth="1"/>
    <col min="16" max="16" width="13.5" customWidth="1"/>
    <col min="17" max="17" width="12" customWidth="1"/>
    <col min="18" max="19" width="13" customWidth="1"/>
    <col min="20" max="22" width="12.6640625" customWidth="1"/>
    <col min="23" max="24" width="14" customWidth="1"/>
    <col min="25" max="53" width="12.6640625" customWidth="1"/>
  </cols>
  <sheetData>
    <row r="1" spans="1:53" ht="30" customHeight="1" x14ac:dyDescent="0.2">
      <c r="A1" s="215" t="s">
        <v>678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1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</row>
    <row r="2" spans="1:53" ht="19.5" customHeight="1" x14ac:dyDescent="0.2">
      <c r="A2" s="58"/>
      <c r="B2" s="155">
        <v>12</v>
      </c>
      <c r="C2" s="156" t="s">
        <v>679</v>
      </c>
      <c r="D2" s="157"/>
      <c r="E2" s="158"/>
      <c r="F2" s="158"/>
      <c r="G2" s="158"/>
      <c r="H2" s="158"/>
      <c r="I2" s="158"/>
      <c r="J2" s="159"/>
      <c r="K2" s="160" t="s">
        <v>680</v>
      </c>
      <c r="L2" s="161" t="s">
        <v>681</v>
      </c>
      <c r="M2" s="58"/>
      <c r="N2" s="162" t="s">
        <v>682</v>
      </c>
      <c r="O2" s="162" t="s">
        <v>683</v>
      </c>
      <c r="P2" s="162" t="s">
        <v>684</v>
      </c>
      <c r="Q2" s="162" t="s">
        <v>685</v>
      </c>
      <c r="R2" s="162" t="s">
        <v>686</v>
      </c>
      <c r="S2" s="162" t="s">
        <v>687</v>
      </c>
      <c r="T2" s="163" t="s">
        <v>687</v>
      </c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</row>
    <row r="3" spans="1:53" ht="15.75" customHeight="1" x14ac:dyDescent="0.2">
      <c r="A3" s="58"/>
      <c r="B3" s="164"/>
      <c r="C3" s="165" t="s">
        <v>688</v>
      </c>
      <c r="D3" s="166"/>
      <c r="E3" s="161"/>
      <c r="F3" s="161"/>
      <c r="G3" s="161"/>
      <c r="H3" s="161"/>
      <c r="I3" s="161"/>
      <c r="J3" s="167"/>
      <c r="K3" s="58"/>
      <c r="L3" s="161">
        <v>12</v>
      </c>
      <c r="M3" s="168">
        <v>9.5000000000000001E-2</v>
      </c>
      <c r="N3" s="58"/>
      <c r="O3" s="169">
        <v>1</v>
      </c>
      <c r="P3" s="170">
        <f>H4</f>
        <v>294750</v>
      </c>
      <c r="Q3" s="170">
        <f t="shared" ref="Q3:Q14" si="0">P3*(H$5/H$6)</f>
        <v>2579.0624999999995</v>
      </c>
      <c r="R3" s="170">
        <f t="shared" ref="R3:R14" si="1">S3-Q3</f>
        <v>23402.738203079007</v>
      </c>
      <c r="S3" s="170">
        <f t="shared" ref="S3:S14" si="2">$H$7</f>
        <v>25981.800703079007</v>
      </c>
      <c r="T3" s="171">
        <f t="shared" ref="T3:T14" si="3">P3-R3</f>
        <v>271347.26179692097</v>
      </c>
      <c r="U3" s="58"/>
      <c r="V3" s="58">
        <v>1</v>
      </c>
      <c r="W3" s="172">
        <f>H7</f>
        <v>25981.800703079007</v>
      </c>
      <c r="X3" s="173">
        <f>D5</f>
        <v>294750</v>
      </c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</row>
    <row r="4" spans="1:53" ht="15.75" customHeight="1" x14ac:dyDescent="0.2">
      <c r="A4" s="58"/>
      <c r="B4" s="164"/>
      <c r="C4" s="165" t="s">
        <v>689</v>
      </c>
      <c r="D4" s="174">
        <f>('FLUJO 5 AÑOS (5Y)'!$B$5)/(1+(E8*(1+E7)))*SUPUESTOS!$C$14</f>
        <v>277934.93635077792</v>
      </c>
      <c r="E4" s="106" t="s">
        <v>690</v>
      </c>
      <c r="F4" s="161"/>
      <c r="G4" s="175" t="s">
        <v>685</v>
      </c>
      <c r="H4" s="174">
        <f>D5</f>
        <v>294750</v>
      </c>
      <c r="I4" s="161"/>
      <c r="J4" s="167"/>
      <c r="K4" s="58"/>
      <c r="L4" s="161">
        <v>24</v>
      </c>
      <c r="M4" s="168">
        <v>0.105</v>
      </c>
      <c r="N4" s="58"/>
      <c r="O4" s="169">
        <v>2</v>
      </c>
      <c r="P4" s="170">
        <f t="shared" ref="P4:P14" si="4">T3</f>
        <v>271347.26179692097</v>
      </c>
      <c r="Q4" s="170">
        <f t="shared" si="0"/>
        <v>2374.2885407230583</v>
      </c>
      <c r="R4" s="170">
        <f t="shared" si="1"/>
        <v>23607.51216235595</v>
      </c>
      <c r="S4" s="170">
        <f t="shared" si="2"/>
        <v>25981.800703079007</v>
      </c>
      <c r="T4" s="171">
        <f t="shared" si="3"/>
        <v>247739.74963456503</v>
      </c>
      <c r="U4" s="58"/>
      <c r="V4" s="58">
        <v>2</v>
      </c>
      <c r="W4" s="172">
        <f>H18</f>
        <v>34515.457335714331</v>
      </c>
      <c r="X4" s="173">
        <f>D16</f>
        <v>736875</v>
      </c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</row>
    <row r="5" spans="1:53" ht="15.75" customHeight="1" x14ac:dyDescent="0.2">
      <c r="A5" s="58"/>
      <c r="B5" s="164"/>
      <c r="C5" s="165" t="s">
        <v>691</v>
      </c>
      <c r="D5" s="176">
        <f>D4*(1+(E8*(1+E7)))</f>
        <v>294750</v>
      </c>
      <c r="E5" s="161"/>
      <c r="F5" s="161"/>
      <c r="G5" s="175" t="s">
        <v>684</v>
      </c>
      <c r="H5" s="177">
        <f>SUPUESTOS!$B$14</f>
        <v>0.105</v>
      </c>
      <c r="I5" s="161"/>
      <c r="J5" s="167"/>
      <c r="K5" s="58"/>
      <c r="L5" s="161">
        <v>36</v>
      </c>
      <c r="M5" s="168">
        <v>0.115</v>
      </c>
      <c r="N5" s="58"/>
      <c r="O5" s="169">
        <v>3</v>
      </c>
      <c r="P5" s="170">
        <f t="shared" si="4"/>
        <v>247739.74963456503</v>
      </c>
      <c r="Q5" s="170">
        <f t="shared" si="0"/>
        <v>2167.7228093024437</v>
      </c>
      <c r="R5" s="170">
        <f t="shared" si="1"/>
        <v>23814.077893776564</v>
      </c>
      <c r="S5" s="170">
        <f t="shared" si="2"/>
        <v>25981.800703079007</v>
      </c>
      <c r="T5" s="171">
        <f t="shared" si="3"/>
        <v>223925.67174078847</v>
      </c>
      <c r="U5" s="58"/>
      <c r="V5" s="58">
        <v>3</v>
      </c>
      <c r="W5" s="172">
        <f>H29</f>
        <v>39441.824554948784</v>
      </c>
      <c r="X5" s="173">
        <f>D27</f>
        <v>1179000</v>
      </c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</row>
    <row r="6" spans="1:53" ht="15.75" customHeight="1" x14ac:dyDescent="0.2">
      <c r="A6" s="58"/>
      <c r="B6" s="164"/>
      <c r="C6" s="165" t="s">
        <v>505</v>
      </c>
      <c r="D6" s="176">
        <f>D5-D4</f>
        <v>16815.06364922208</v>
      </c>
      <c r="E6" s="161"/>
      <c r="F6" s="161"/>
      <c r="G6" s="175" t="s">
        <v>692</v>
      </c>
      <c r="H6" s="178">
        <f>B2</f>
        <v>12</v>
      </c>
      <c r="I6" s="161"/>
      <c r="J6" s="167"/>
      <c r="K6" s="58"/>
      <c r="L6" s="161">
        <v>48</v>
      </c>
      <c r="M6" s="168">
        <v>0.125</v>
      </c>
      <c r="N6" s="58"/>
      <c r="O6" s="169">
        <v>4</v>
      </c>
      <c r="P6" s="170">
        <f t="shared" si="4"/>
        <v>223925.67174078847</v>
      </c>
      <c r="Q6" s="170">
        <f t="shared" si="0"/>
        <v>1959.3496277318989</v>
      </c>
      <c r="R6" s="170">
        <f t="shared" si="1"/>
        <v>24022.451075347108</v>
      </c>
      <c r="S6" s="170">
        <f t="shared" si="2"/>
        <v>25981.800703079007</v>
      </c>
      <c r="T6" s="171">
        <f t="shared" si="3"/>
        <v>199903.22066544136</v>
      </c>
      <c r="U6" s="58"/>
      <c r="V6" s="58">
        <v>4</v>
      </c>
      <c r="W6" s="172">
        <f>H40</f>
        <v>11971.11928583836</v>
      </c>
      <c r="X6" s="173">
        <f>D38</f>
        <v>442125</v>
      </c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</row>
    <row r="7" spans="1:53" ht="15.75" customHeight="1" x14ac:dyDescent="0.2">
      <c r="A7" s="58"/>
      <c r="B7" s="164"/>
      <c r="C7" s="165" t="s">
        <v>407</v>
      </c>
      <c r="D7" s="176">
        <f>D6-D8</f>
        <v>2918.3168316831707</v>
      </c>
      <c r="E7" s="179">
        <v>0.21</v>
      </c>
      <c r="F7" s="161"/>
      <c r="G7" s="175" t="s">
        <v>693</v>
      </c>
      <c r="H7" s="180">
        <f>-PMT((H5/12),H6,H4)</f>
        <v>25981.800703079007</v>
      </c>
      <c r="I7" s="161"/>
      <c r="J7" s="167"/>
      <c r="K7" s="58"/>
      <c r="L7" s="161">
        <v>60</v>
      </c>
      <c r="M7" s="168">
        <v>0.13500000000000001</v>
      </c>
      <c r="N7" s="58"/>
      <c r="O7" s="169">
        <v>5</v>
      </c>
      <c r="P7" s="170">
        <f t="shared" si="4"/>
        <v>199903.22066544136</v>
      </c>
      <c r="Q7" s="170">
        <f t="shared" si="0"/>
        <v>1749.1531808226118</v>
      </c>
      <c r="R7" s="170">
        <f t="shared" si="1"/>
        <v>24232.647522256397</v>
      </c>
      <c r="S7" s="170">
        <f t="shared" si="2"/>
        <v>25981.800703079007</v>
      </c>
      <c r="T7" s="171">
        <f t="shared" si="3"/>
        <v>175670.57314318497</v>
      </c>
      <c r="U7" s="58"/>
      <c r="V7" s="58">
        <v>5</v>
      </c>
      <c r="W7" s="172">
        <f>H51</f>
        <v>6934.9608485829149</v>
      </c>
      <c r="X7" s="173">
        <f>D49</f>
        <v>294750</v>
      </c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</row>
    <row r="8" spans="1:53" ht="15.75" customHeight="1" x14ac:dyDescent="0.2">
      <c r="A8" s="58"/>
      <c r="B8" s="164"/>
      <c r="C8" s="165" t="s">
        <v>694</v>
      </c>
      <c r="D8" s="174">
        <f>D6/(1+E7)</f>
        <v>13896.746817538909</v>
      </c>
      <c r="E8" s="179">
        <v>0.05</v>
      </c>
      <c r="F8" s="161"/>
      <c r="G8" s="161"/>
      <c r="H8" s="161"/>
      <c r="I8" s="161"/>
      <c r="J8" s="167"/>
      <c r="K8" s="58"/>
      <c r="L8" s="58"/>
      <c r="M8" s="58"/>
      <c r="N8" s="58"/>
      <c r="O8" s="169">
        <v>6</v>
      </c>
      <c r="P8" s="170">
        <f t="shared" si="4"/>
        <v>175670.57314318497</v>
      </c>
      <c r="Q8" s="170">
        <f t="shared" si="0"/>
        <v>1537.1175150028682</v>
      </c>
      <c r="R8" s="170">
        <f t="shared" si="1"/>
        <v>24444.683188076138</v>
      </c>
      <c r="S8" s="170">
        <f t="shared" si="2"/>
        <v>25981.800703079007</v>
      </c>
      <c r="T8" s="171">
        <f t="shared" si="3"/>
        <v>151225.88995510884</v>
      </c>
      <c r="U8" s="58"/>
      <c r="V8" s="58" t="s">
        <v>695</v>
      </c>
      <c r="W8" s="172">
        <f t="shared" ref="W8:X8" si="5">SUM(W3:W7)</f>
        <v>118845.16272816338</v>
      </c>
      <c r="X8" s="172">
        <f t="shared" si="5"/>
        <v>2947500</v>
      </c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</row>
    <row r="9" spans="1:53" ht="15.75" customHeight="1" x14ac:dyDescent="0.2">
      <c r="A9" s="58"/>
      <c r="B9" s="164"/>
      <c r="C9" s="161"/>
      <c r="D9" s="161"/>
      <c r="E9" s="161"/>
      <c r="F9" s="161"/>
      <c r="G9" s="175" t="s">
        <v>555</v>
      </c>
      <c r="H9" s="181">
        <f>H7*B2</f>
        <v>311781.6084369481</v>
      </c>
      <c r="I9" s="182"/>
      <c r="J9" s="167"/>
      <c r="K9" s="58"/>
      <c r="L9" s="58"/>
      <c r="M9" s="58"/>
      <c r="N9" s="58"/>
      <c r="O9" s="169">
        <v>7</v>
      </c>
      <c r="P9" s="170">
        <f t="shared" si="4"/>
        <v>151225.88995510884</v>
      </c>
      <c r="Q9" s="170">
        <f t="shared" si="0"/>
        <v>1323.2265371072021</v>
      </c>
      <c r="R9" s="170">
        <f t="shared" si="1"/>
        <v>24658.574165971804</v>
      </c>
      <c r="S9" s="170">
        <f t="shared" si="2"/>
        <v>25981.800703079007</v>
      </c>
      <c r="T9" s="171">
        <f t="shared" si="3"/>
        <v>126567.31578913704</v>
      </c>
      <c r="U9" s="58"/>
      <c r="V9" s="183" t="s">
        <v>413</v>
      </c>
      <c r="W9" s="184">
        <f>W8*12</f>
        <v>1426141.9527379605</v>
      </c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</row>
    <row r="10" spans="1:53" ht="15.75" customHeight="1" x14ac:dyDescent="0.2">
      <c r="A10" s="58"/>
      <c r="B10" s="164"/>
      <c r="C10" s="161"/>
      <c r="D10" s="166"/>
      <c r="E10" s="161"/>
      <c r="F10" s="161"/>
      <c r="G10" s="175" t="s">
        <v>696</v>
      </c>
      <c r="H10" s="168">
        <f>H9/D4-1</f>
        <v>0.12177912043217454</v>
      </c>
      <c r="I10" s="161"/>
      <c r="J10" s="167"/>
      <c r="K10" s="58"/>
      <c r="L10" s="58"/>
      <c r="M10" s="58"/>
      <c r="N10" s="58"/>
      <c r="O10" s="169">
        <v>8</v>
      </c>
      <c r="P10" s="170">
        <f t="shared" si="4"/>
        <v>126567.31578913704</v>
      </c>
      <c r="Q10" s="170">
        <f t="shared" si="0"/>
        <v>1107.464013154949</v>
      </c>
      <c r="R10" s="170">
        <f t="shared" si="1"/>
        <v>24874.336689924057</v>
      </c>
      <c r="S10" s="170">
        <f t="shared" si="2"/>
        <v>25981.800703079007</v>
      </c>
      <c r="T10" s="171">
        <f t="shared" si="3"/>
        <v>101692.97909921297</v>
      </c>
      <c r="U10" s="58"/>
      <c r="V10" s="58"/>
      <c r="W10" s="185">
        <f>'FLUJO 5 AÑOS (5Y)'!B6</f>
        <v>1016379.3103448275</v>
      </c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</row>
    <row r="11" spans="1:53" ht="15.75" customHeight="1" x14ac:dyDescent="0.2">
      <c r="A11" s="58"/>
      <c r="B11" s="164"/>
      <c r="C11" s="161"/>
      <c r="D11" s="166"/>
      <c r="E11" s="161"/>
      <c r="F11" s="161"/>
      <c r="G11" s="175" t="s">
        <v>697</v>
      </c>
      <c r="H11" s="168">
        <f>((1+H10)^(12/B2))-1</f>
        <v>0.12177912043217454</v>
      </c>
      <c r="I11" s="168"/>
      <c r="J11" s="167"/>
      <c r="K11" s="58"/>
      <c r="L11" s="58"/>
      <c r="M11" s="58"/>
      <c r="N11" s="58"/>
      <c r="O11" s="169">
        <v>9</v>
      </c>
      <c r="P11" s="170">
        <f t="shared" si="4"/>
        <v>101692.97909921297</v>
      </c>
      <c r="Q11" s="170">
        <f t="shared" si="0"/>
        <v>889.81356711811338</v>
      </c>
      <c r="R11" s="170">
        <f t="shared" si="1"/>
        <v>25091.987135960895</v>
      </c>
      <c r="S11" s="170">
        <f t="shared" si="2"/>
        <v>25981.800703079007</v>
      </c>
      <c r="T11" s="171">
        <f t="shared" si="3"/>
        <v>76600.991963252076</v>
      </c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</row>
    <row r="12" spans="1:53" ht="15.75" customHeight="1" x14ac:dyDescent="0.2">
      <c r="A12" s="58"/>
      <c r="B12" s="186"/>
      <c r="C12" s="187"/>
      <c r="D12" s="187"/>
      <c r="E12" s="187"/>
      <c r="F12" s="187"/>
      <c r="G12" s="187"/>
      <c r="H12" s="187"/>
      <c r="I12" s="187"/>
      <c r="J12" s="188"/>
      <c r="K12" s="58"/>
      <c r="L12" s="58"/>
      <c r="M12" s="58"/>
      <c r="N12" s="58"/>
      <c r="O12" s="169">
        <v>10</v>
      </c>
      <c r="P12" s="170">
        <f t="shared" si="4"/>
        <v>76600.991963252076</v>
      </c>
      <c r="Q12" s="170">
        <f t="shared" si="0"/>
        <v>670.25867967845556</v>
      </c>
      <c r="R12" s="170">
        <f t="shared" si="1"/>
        <v>25311.542023400551</v>
      </c>
      <c r="S12" s="170">
        <f t="shared" si="2"/>
        <v>25981.800703079007</v>
      </c>
      <c r="T12" s="171">
        <f t="shared" si="3"/>
        <v>51289.449939851525</v>
      </c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</row>
    <row r="13" spans="1:53" ht="19.5" customHeight="1" x14ac:dyDescent="0.2">
      <c r="A13" s="58"/>
      <c r="B13" s="155">
        <v>24</v>
      </c>
      <c r="C13" s="156" t="s">
        <v>698</v>
      </c>
      <c r="D13" s="157"/>
      <c r="E13" s="158"/>
      <c r="F13" s="158"/>
      <c r="G13" s="158"/>
      <c r="H13" s="158"/>
      <c r="I13" s="158"/>
      <c r="J13" s="159"/>
      <c r="K13" s="58"/>
      <c r="L13" s="58"/>
      <c r="M13" s="58"/>
      <c r="N13" s="58"/>
      <c r="O13" s="169">
        <v>11</v>
      </c>
      <c r="P13" s="170">
        <f t="shared" si="4"/>
        <v>51289.449939851525</v>
      </c>
      <c r="Q13" s="170">
        <f t="shared" si="0"/>
        <v>448.78268697370078</v>
      </c>
      <c r="R13" s="170">
        <f t="shared" si="1"/>
        <v>25533.018016105307</v>
      </c>
      <c r="S13" s="170">
        <f t="shared" si="2"/>
        <v>25981.800703079007</v>
      </c>
      <c r="T13" s="171">
        <f t="shared" si="3"/>
        <v>25756.431923746219</v>
      </c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</row>
    <row r="14" spans="1:53" ht="15.75" customHeight="1" x14ac:dyDescent="0.2">
      <c r="A14" s="58"/>
      <c r="B14" s="164"/>
      <c r="C14" s="165" t="s">
        <v>688</v>
      </c>
      <c r="D14" s="166"/>
      <c r="E14" s="161"/>
      <c r="F14" s="161"/>
      <c r="G14" s="161"/>
      <c r="H14" s="161"/>
      <c r="I14" s="161"/>
      <c r="J14" s="167"/>
      <c r="K14" s="58"/>
      <c r="L14" s="58"/>
      <c r="M14" s="58"/>
      <c r="N14" s="58"/>
      <c r="O14" s="169">
        <v>12</v>
      </c>
      <c r="P14" s="170">
        <f t="shared" si="4"/>
        <v>25756.431923746219</v>
      </c>
      <c r="Q14" s="170">
        <f t="shared" si="0"/>
        <v>225.36877933277938</v>
      </c>
      <c r="R14" s="170">
        <f t="shared" si="1"/>
        <v>25756.431923746226</v>
      </c>
      <c r="S14" s="170">
        <f t="shared" si="2"/>
        <v>25981.800703079007</v>
      </c>
      <c r="T14" s="171">
        <f t="shared" si="3"/>
        <v>0</v>
      </c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</row>
    <row r="15" spans="1:53" ht="15.75" customHeight="1" x14ac:dyDescent="0.2">
      <c r="A15" s="58"/>
      <c r="B15" s="164"/>
      <c r="C15" s="165" t="s">
        <v>689</v>
      </c>
      <c r="D15" s="174">
        <f>('FLUJO 5 AÑOS (5Y)'!$B$5)/(1+(E19*(1+E18)))*SUPUESTOS!$C$15</f>
        <v>694837.34087694483</v>
      </c>
      <c r="E15" s="106" t="s">
        <v>690</v>
      </c>
      <c r="F15" s="161"/>
      <c r="G15" s="175" t="s">
        <v>685</v>
      </c>
      <c r="H15" s="174">
        <f>D16</f>
        <v>736875</v>
      </c>
      <c r="I15" s="161"/>
      <c r="J15" s="167"/>
      <c r="K15" s="58"/>
      <c r="L15" s="58"/>
      <c r="M15" s="58"/>
      <c r="N15" s="58"/>
      <c r="O15" s="189" t="s">
        <v>699</v>
      </c>
      <c r="P15" s="190"/>
      <c r="Q15" s="170">
        <f t="shared" ref="Q15:S15" si="6">SUM(Q3:Q14)</f>
        <v>17031.608436948085</v>
      </c>
      <c r="R15" s="170">
        <f t="shared" si="6"/>
        <v>294750</v>
      </c>
      <c r="S15" s="170">
        <f t="shared" si="6"/>
        <v>311781.6084369481</v>
      </c>
      <c r="T15" s="190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</row>
    <row r="16" spans="1:53" ht="15.75" customHeight="1" x14ac:dyDescent="0.2">
      <c r="A16" s="58"/>
      <c r="B16" s="164"/>
      <c r="C16" s="165" t="s">
        <v>691</v>
      </c>
      <c r="D16" s="176">
        <f>D15*(1+(E19*(1+E18)))</f>
        <v>736875</v>
      </c>
      <c r="E16" s="161"/>
      <c r="F16" s="161"/>
      <c r="G16" s="175" t="s">
        <v>684</v>
      </c>
      <c r="H16" s="177">
        <f>SUPUESTOS!$B$15</f>
        <v>0.115</v>
      </c>
      <c r="I16" s="161"/>
      <c r="J16" s="167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</row>
    <row r="17" spans="1:53" ht="15.75" customHeight="1" x14ac:dyDescent="0.2">
      <c r="A17" s="58"/>
      <c r="B17" s="164"/>
      <c r="C17" s="165" t="s">
        <v>505</v>
      </c>
      <c r="D17" s="176">
        <f>D16-D15</f>
        <v>42037.659123055171</v>
      </c>
      <c r="E17" s="161"/>
      <c r="F17" s="161"/>
      <c r="G17" s="175" t="s">
        <v>692</v>
      </c>
      <c r="H17" s="178">
        <f>B13</f>
        <v>24</v>
      </c>
      <c r="I17" s="161"/>
      <c r="J17" s="167"/>
      <c r="K17" s="58"/>
      <c r="L17" s="58"/>
      <c r="M17" s="58"/>
      <c r="N17" s="58"/>
      <c r="O17" s="58"/>
      <c r="P17" s="170" t="s">
        <v>700</v>
      </c>
      <c r="Q17" s="191">
        <f>Q15/D4</f>
        <v>6.1279120432174539E-2</v>
      </c>
      <c r="R17" s="192"/>
      <c r="S17" s="192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</row>
    <row r="18" spans="1:53" ht="15.75" customHeight="1" x14ac:dyDescent="0.2">
      <c r="A18" s="58"/>
      <c r="B18" s="164"/>
      <c r="C18" s="165" t="s">
        <v>407</v>
      </c>
      <c r="D18" s="176">
        <f>D17-D19</f>
        <v>7295.792079207924</v>
      </c>
      <c r="E18" s="179">
        <v>0.21</v>
      </c>
      <c r="F18" s="161"/>
      <c r="G18" s="175" t="s">
        <v>693</v>
      </c>
      <c r="H18" s="180">
        <f>-PMT((H16/12),H17,H15)</f>
        <v>34515.457335714331</v>
      </c>
      <c r="I18" s="161"/>
      <c r="J18" s="167"/>
      <c r="K18" s="58"/>
      <c r="L18" s="58"/>
      <c r="M18" s="58"/>
      <c r="N18" s="58"/>
      <c r="O18" s="58"/>
      <c r="P18" s="170" t="s">
        <v>701</v>
      </c>
      <c r="Q18" s="191">
        <f>E8*1.21</f>
        <v>6.0499999999999998E-2</v>
      </c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</row>
    <row r="19" spans="1:53" ht="15.75" customHeight="1" x14ac:dyDescent="0.2">
      <c r="A19" s="58"/>
      <c r="B19" s="164"/>
      <c r="C19" s="165" t="s">
        <v>694</v>
      </c>
      <c r="D19" s="174">
        <f>D17/(1+E18)</f>
        <v>34741.867043847247</v>
      </c>
      <c r="E19" s="179">
        <v>0.05</v>
      </c>
      <c r="F19" s="161"/>
      <c r="G19" s="161"/>
      <c r="H19" s="161"/>
      <c r="I19" s="161"/>
      <c r="J19" s="167"/>
      <c r="K19" s="58"/>
      <c r="L19" s="58"/>
      <c r="M19" s="58"/>
      <c r="N19" s="58"/>
      <c r="O19" s="58"/>
      <c r="P19" s="170" t="s">
        <v>702</v>
      </c>
      <c r="Q19" s="191">
        <f>Q18+Q17</f>
        <v>0.12177912043217454</v>
      </c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</row>
    <row r="20" spans="1:53" ht="15.75" customHeight="1" x14ac:dyDescent="0.2">
      <c r="A20" s="58"/>
      <c r="B20" s="164"/>
      <c r="C20" s="161"/>
      <c r="D20" s="161"/>
      <c r="E20" s="161"/>
      <c r="F20" s="161"/>
      <c r="G20" s="175" t="s">
        <v>555</v>
      </c>
      <c r="H20" s="181">
        <f>H18*B13</f>
        <v>828370.97605714388</v>
      </c>
      <c r="I20" s="161"/>
      <c r="J20" s="167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</row>
    <row r="21" spans="1:53" ht="15.75" customHeight="1" x14ac:dyDescent="0.2">
      <c r="A21" s="58"/>
      <c r="B21" s="164"/>
      <c r="C21" s="161"/>
      <c r="D21" s="166"/>
      <c r="E21" s="161"/>
      <c r="F21" s="161"/>
      <c r="G21" s="175" t="s">
        <v>696</v>
      </c>
      <c r="H21" s="168">
        <f>H20/D15-1</f>
        <v>0.19217970498198622</v>
      </c>
      <c r="I21" s="161"/>
      <c r="J21" s="167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</row>
    <row r="22" spans="1:53" ht="15.75" customHeight="1" x14ac:dyDescent="0.2">
      <c r="A22" s="58"/>
      <c r="B22" s="164"/>
      <c r="C22" s="161"/>
      <c r="D22" s="166"/>
      <c r="E22" s="161"/>
      <c r="F22" s="161"/>
      <c r="G22" s="175" t="s">
        <v>697</v>
      </c>
      <c r="H22" s="168">
        <f>((1+H21)^(12/B13))-1</f>
        <v>9.1869820528979629E-2</v>
      </c>
      <c r="I22" s="168"/>
      <c r="J22" s="167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</row>
    <row r="23" spans="1:53" ht="15.75" customHeight="1" x14ac:dyDescent="0.2">
      <c r="A23" s="58"/>
      <c r="B23" s="186"/>
      <c r="C23" s="187"/>
      <c r="D23" s="187"/>
      <c r="E23" s="187"/>
      <c r="F23" s="187"/>
      <c r="G23" s="187"/>
      <c r="H23" s="187"/>
      <c r="I23" s="187"/>
      <c r="J23" s="18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</row>
    <row r="24" spans="1:53" ht="19.5" customHeight="1" x14ac:dyDescent="0.2">
      <c r="A24" s="58"/>
      <c r="B24" s="155">
        <v>36</v>
      </c>
      <c r="C24" s="156" t="s">
        <v>703</v>
      </c>
      <c r="D24" s="157"/>
      <c r="E24" s="158"/>
      <c r="F24" s="158"/>
      <c r="G24" s="158"/>
      <c r="H24" s="158"/>
      <c r="I24" s="158"/>
      <c r="J24" s="159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</row>
    <row r="25" spans="1:53" ht="15.75" customHeight="1" x14ac:dyDescent="0.2">
      <c r="A25" s="58"/>
      <c r="B25" s="164"/>
      <c r="C25" s="165" t="s">
        <v>688</v>
      </c>
      <c r="D25" s="166"/>
      <c r="E25" s="161"/>
      <c r="F25" s="161"/>
      <c r="G25" s="161"/>
      <c r="H25" s="161"/>
      <c r="I25" s="161"/>
      <c r="J25" s="167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</row>
    <row r="26" spans="1:53" ht="15.75" customHeight="1" x14ac:dyDescent="0.2">
      <c r="A26" s="58"/>
      <c r="B26" s="164"/>
      <c r="C26" s="165" t="s">
        <v>689</v>
      </c>
      <c r="D26" s="174">
        <f>('FLUJO 5 AÑOS (5Y)'!$B$5)/(1+(E30*(1+E29)))*SUPUESTOS!$C$16</f>
        <v>1111739.7454031117</v>
      </c>
      <c r="E26" s="106" t="s">
        <v>690</v>
      </c>
      <c r="F26" s="161"/>
      <c r="G26" s="175" t="s">
        <v>685</v>
      </c>
      <c r="H26" s="174">
        <f>D27</f>
        <v>1179000</v>
      </c>
      <c r="I26" s="161"/>
      <c r="J26" s="167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</row>
    <row r="27" spans="1:53" ht="15.75" customHeight="1" x14ac:dyDescent="0.2">
      <c r="A27" s="58"/>
      <c r="B27" s="164"/>
      <c r="C27" s="165" t="s">
        <v>691</v>
      </c>
      <c r="D27" s="176">
        <f>D26*(1+(E30*(1+E29)))</f>
        <v>1179000</v>
      </c>
      <c r="E27" s="161"/>
      <c r="F27" s="161"/>
      <c r="G27" s="175" t="s">
        <v>684</v>
      </c>
      <c r="H27" s="177">
        <f>SUPUESTOS!$B$16</f>
        <v>0.125</v>
      </c>
      <c r="I27" s="161"/>
      <c r="J27" s="167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</row>
    <row r="28" spans="1:53" ht="15.75" customHeight="1" x14ac:dyDescent="0.2">
      <c r="A28" s="58"/>
      <c r="B28" s="164"/>
      <c r="C28" s="165" t="s">
        <v>505</v>
      </c>
      <c r="D28" s="176">
        <f>D27-D26</f>
        <v>67260.254596888321</v>
      </c>
      <c r="E28" s="161"/>
      <c r="F28" s="161"/>
      <c r="G28" s="175" t="s">
        <v>692</v>
      </c>
      <c r="H28" s="178">
        <f>B24</f>
        <v>36</v>
      </c>
      <c r="I28" s="161"/>
      <c r="J28" s="167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</row>
    <row r="29" spans="1:53" ht="15.75" customHeight="1" x14ac:dyDescent="0.2">
      <c r="A29" s="58"/>
      <c r="B29" s="164"/>
      <c r="C29" s="165" t="s">
        <v>407</v>
      </c>
      <c r="D29" s="176">
        <f>D28-D30</f>
        <v>11673.267326732683</v>
      </c>
      <c r="E29" s="179">
        <v>0.21</v>
      </c>
      <c r="F29" s="161"/>
      <c r="G29" s="175" t="s">
        <v>693</v>
      </c>
      <c r="H29" s="180">
        <f>-PMT((H27/12),H28,H26)</f>
        <v>39441.824554948784</v>
      </c>
      <c r="I29" s="161"/>
      <c r="J29" s="167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</row>
    <row r="30" spans="1:53" ht="15.75" customHeight="1" x14ac:dyDescent="0.2">
      <c r="A30" s="58"/>
      <c r="B30" s="164"/>
      <c r="C30" s="165" t="s">
        <v>694</v>
      </c>
      <c r="D30" s="174">
        <f>D28/(1+E29)</f>
        <v>55586.987270155638</v>
      </c>
      <c r="E30" s="179">
        <v>0.05</v>
      </c>
      <c r="F30" s="161"/>
      <c r="G30" s="161"/>
      <c r="H30" s="161"/>
      <c r="I30" s="161"/>
      <c r="J30" s="167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</row>
    <row r="31" spans="1:53" ht="15.75" customHeight="1" x14ac:dyDescent="0.2">
      <c r="A31" s="58"/>
      <c r="B31" s="164"/>
      <c r="C31" s="161"/>
      <c r="D31" s="161"/>
      <c r="E31" s="161"/>
      <c r="F31" s="161"/>
      <c r="G31" s="175" t="s">
        <v>555</v>
      </c>
      <c r="H31" s="181">
        <f>H29*B24</f>
        <v>1419905.6839781562</v>
      </c>
      <c r="I31" s="161"/>
      <c r="J31" s="16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</row>
    <row r="32" spans="1:53" ht="15.75" customHeight="1" x14ac:dyDescent="0.2">
      <c r="A32" s="58"/>
      <c r="B32" s="164"/>
      <c r="C32" s="161"/>
      <c r="D32" s="166"/>
      <c r="E32" s="161"/>
      <c r="F32" s="161"/>
      <c r="G32" s="175" t="s">
        <v>696</v>
      </c>
      <c r="H32" s="168">
        <f>H31/D26-1</f>
        <v>0.27719251726788352</v>
      </c>
      <c r="I32" s="161"/>
      <c r="J32" s="167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</row>
    <row r="33" spans="1:53" ht="15.75" customHeight="1" x14ac:dyDescent="0.2">
      <c r="A33" s="58"/>
      <c r="B33" s="164"/>
      <c r="C33" s="161"/>
      <c r="D33" s="166"/>
      <c r="E33" s="161"/>
      <c r="F33" s="161"/>
      <c r="G33" s="175" t="s">
        <v>697</v>
      </c>
      <c r="H33" s="168">
        <f>((1+H32)^(12/B24))-1</f>
        <v>8.4972644660717744E-2</v>
      </c>
      <c r="I33" s="168"/>
      <c r="J33" s="167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</row>
    <row r="34" spans="1:53" ht="15.75" customHeight="1" x14ac:dyDescent="0.2">
      <c r="A34" s="58"/>
      <c r="B34" s="186"/>
      <c r="C34" s="187"/>
      <c r="D34" s="187"/>
      <c r="E34" s="187"/>
      <c r="F34" s="187"/>
      <c r="G34" s="187"/>
      <c r="H34" s="187"/>
      <c r="I34" s="187"/>
      <c r="J34" s="18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</row>
    <row r="35" spans="1:53" ht="19.5" customHeight="1" x14ac:dyDescent="0.2">
      <c r="A35" s="58"/>
      <c r="B35" s="155">
        <v>48</v>
      </c>
      <c r="C35" s="156" t="s">
        <v>704</v>
      </c>
      <c r="D35" s="157"/>
      <c r="E35" s="158"/>
      <c r="F35" s="158"/>
      <c r="G35" s="158"/>
      <c r="H35" s="158"/>
      <c r="I35" s="158"/>
      <c r="J35" s="159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</row>
    <row r="36" spans="1:53" ht="15.75" customHeight="1" x14ac:dyDescent="0.2">
      <c r="A36" s="58"/>
      <c r="B36" s="164"/>
      <c r="C36" s="165" t="s">
        <v>688</v>
      </c>
      <c r="D36" s="166"/>
      <c r="E36" s="161"/>
      <c r="F36" s="161"/>
      <c r="G36" s="161"/>
      <c r="H36" s="161"/>
      <c r="I36" s="161"/>
      <c r="J36" s="167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</row>
    <row r="37" spans="1:53" ht="15.75" customHeight="1" x14ac:dyDescent="0.2">
      <c r="A37" s="58"/>
      <c r="B37" s="164"/>
      <c r="C37" s="165" t="s">
        <v>689</v>
      </c>
      <c r="D37" s="174">
        <f>('FLUJO 5 AÑOS (5Y)'!$B$5)/(1+(E41*(1+E40)))*SUPUESTOS!$C$17</f>
        <v>416902.40452616691</v>
      </c>
      <c r="E37" s="106" t="s">
        <v>690</v>
      </c>
      <c r="F37" s="161"/>
      <c r="G37" s="175" t="s">
        <v>685</v>
      </c>
      <c r="H37" s="174">
        <f>D38</f>
        <v>442125</v>
      </c>
      <c r="I37" s="161"/>
      <c r="J37" s="167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</row>
    <row r="38" spans="1:53" ht="15.75" customHeight="1" x14ac:dyDescent="0.2">
      <c r="A38" s="58"/>
      <c r="B38" s="164"/>
      <c r="C38" s="165" t="s">
        <v>691</v>
      </c>
      <c r="D38" s="176">
        <f>D37*(1+(E41*(1+E40)))</f>
        <v>442125</v>
      </c>
      <c r="E38" s="161"/>
      <c r="F38" s="161"/>
      <c r="G38" s="175" t="s">
        <v>684</v>
      </c>
      <c r="H38" s="177">
        <f>SUPUESTOS!$B$17</f>
        <v>0.13500000000000001</v>
      </c>
      <c r="I38" s="161"/>
      <c r="J38" s="167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</row>
    <row r="39" spans="1:53" ht="15.75" customHeight="1" x14ac:dyDescent="0.2">
      <c r="A39" s="58"/>
      <c r="B39" s="164"/>
      <c r="C39" s="165" t="s">
        <v>505</v>
      </c>
      <c r="D39" s="176">
        <f>D38-D37</f>
        <v>25222.595473833091</v>
      </c>
      <c r="E39" s="161"/>
      <c r="F39" s="161"/>
      <c r="G39" s="175" t="s">
        <v>692</v>
      </c>
      <c r="H39" s="178">
        <f>B35</f>
        <v>48</v>
      </c>
      <c r="I39" s="161"/>
      <c r="J39" s="167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</row>
    <row r="40" spans="1:53" ht="15.75" customHeight="1" x14ac:dyDescent="0.2">
      <c r="A40" s="58"/>
      <c r="B40" s="164"/>
      <c r="C40" s="165" t="s">
        <v>407</v>
      </c>
      <c r="D40" s="176">
        <f>D39-D41</f>
        <v>4377.4752475247515</v>
      </c>
      <c r="E40" s="179">
        <v>0.21</v>
      </c>
      <c r="F40" s="161"/>
      <c r="G40" s="175" t="s">
        <v>693</v>
      </c>
      <c r="H40" s="180">
        <f>-PMT((H38/12),H39,H37)</f>
        <v>11971.11928583836</v>
      </c>
      <c r="I40" s="161"/>
      <c r="J40" s="167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</row>
    <row r="41" spans="1:53" ht="15.75" customHeight="1" x14ac:dyDescent="0.2">
      <c r="A41" s="58"/>
      <c r="B41" s="164"/>
      <c r="C41" s="165" t="s">
        <v>694</v>
      </c>
      <c r="D41" s="174">
        <f>D39/(1+E40)</f>
        <v>20845.12022630834</v>
      </c>
      <c r="E41" s="179">
        <v>0.05</v>
      </c>
      <c r="F41" s="161"/>
      <c r="G41" s="161"/>
      <c r="H41" s="161"/>
      <c r="I41" s="161"/>
      <c r="J41" s="167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</row>
    <row r="42" spans="1:53" ht="15.75" customHeight="1" x14ac:dyDescent="0.2">
      <c r="A42" s="58"/>
      <c r="B42" s="164"/>
      <c r="C42" s="161"/>
      <c r="D42" s="161"/>
      <c r="E42" s="161"/>
      <c r="F42" s="161"/>
      <c r="G42" s="175" t="s">
        <v>555</v>
      </c>
      <c r="H42" s="181">
        <f>H40*B35</f>
        <v>574613.72572024132</v>
      </c>
      <c r="I42" s="161"/>
      <c r="J42" s="167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</row>
    <row r="43" spans="1:53" ht="15.75" customHeight="1" x14ac:dyDescent="0.2">
      <c r="A43" s="58"/>
      <c r="B43" s="164"/>
      <c r="C43" s="161"/>
      <c r="D43" s="166"/>
      <c r="E43" s="161"/>
      <c r="F43" s="161"/>
      <c r="G43" s="175" t="s">
        <v>705</v>
      </c>
      <c r="H43" s="168">
        <f>H42/D37-1</f>
        <v>0.37829314362751698</v>
      </c>
      <c r="I43" s="161"/>
      <c r="J43" s="167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</row>
    <row r="44" spans="1:53" ht="15.75" customHeight="1" x14ac:dyDescent="0.2">
      <c r="A44" s="58"/>
      <c r="B44" s="164"/>
      <c r="C44" s="161"/>
      <c r="D44" s="166"/>
      <c r="E44" s="161"/>
      <c r="F44" s="161"/>
      <c r="G44" s="175" t="s">
        <v>697</v>
      </c>
      <c r="H44" s="168">
        <f>((1+H43)^(12/B35))-1</f>
        <v>8.3516174937816601E-2</v>
      </c>
      <c r="I44" s="161"/>
      <c r="J44" s="167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</row>
    <row r="45" spans="1:53" ht="15.75" customHeight="1" x14ac:dyDescent="0.2">
      <c r="A45" s="58"/>
      <c r="B45" s="186"/>
      <c r="C45" s="187"/>
      <c r="D45" s="187"/>
      <c r="E45" s="187"/>
      <c r="F45" s="187"/>
      <c r="G45" s="187"/>
      <c r="H45" s="187"/>
      <c r="I45" s="187"/>
      <c r="J45" s="18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</row>
    <row r="46" spans="1:53" ht="19.5" customHeight="1" x14ac:dyDescent="0.2">
      <c r="A46" s="58"/>
      <c r="B46" s="155">
        <v>60</v>
      </c>
      <c r="C46" s="156" t="s">
        <v>706</v>
      </c>
      <c r="D46" s="157"/>
      <c r="E46" s="158"/>
      <c r="F46" s="158"/>
      <c r="G46" s="158"/>
      <c r="H46" s="158"/>
      <c r="I46" s="158"/>
      <c r="J46" s="159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</row>
    <row r="47" spans="1:53" ht="15.75" customHeight="1" x14ac:dyDescent="0.2">
      <c r="A47" s="58"/>
      <c r="B47" s="164"/>
      <c r="C47" s="165" t="s">
        <v>688</v>
      </c>
      <c r="D47" s="166"/>
      <c r="E47" s="161"/>
      <c r="F47" s="161"/>
      <c r="G47" s="161"/>
      <c r="H47" s="161"/>
      <c r="I47" s="161"/>
      <c r="J47" s="167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</row>
    <row r="48" spans="1:53" ht="15.75" customHeight="1" x14ac:dyDescent="0.2">
      <c r="A48" s="58"/>
      <c r="B48" s="164"/>
      <c r="C48" s="165" t="s">
        <v>689</v>
      </c>
      <c r="D48" s="174">
        <f>('FLUJO 5 AÑOS (5Y)'!$B$5)/(1+(E52*(1+E51)))*SUPUESTOS!$C$18</f>
        <v>277934.93635077792</v>
      </c>
      <c r="E48" s="106" t="s">
        <v>690</v>
      </c>
      <c r="F48" s="161"/>
      <c r="G48" s="175" t="s">
        <v>685</v>
      </c>
      <c r="H48" s="174">
        <f>D49</f>
        <v>294750</v>
      </c>
      <c r="I48" s="161"/>
      <c r="J48" s="167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</row>
    <row r="49" spans="1:53" ht="15.75" customHeight="1" x14ac:dyDescent="0.2">
      <c r="A49" s="58"/>
      <c r="B49" s="164"/>
      <c r="C49" s="165" t="s">
        <v>691</v>
      </c>
      <c r="D49" s="176">
        <f>D48*(1+(E52*(1+E51)))</f>
        <v>294750</v>
      </c>
      <c r="E49" s="161"/>
      <c r="F49" s="161"/>
      <c r="G49" s="175" t="s">
        <v>684</v>
      </c>
      <c r="H49" s="177">
        <f>SUPUESTOS!$B$18</f>
        <v>0.14499999999999999</v>
      </c>
      <c r="I49" s="161"/>
      <c r="J49" s="167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</row>
    <row r="50" spans="1:53" ht="15.75" customHeight="1" x14ac:dyDescent="0.2">
      <c r="A50" s="58"/>
      <c r="B50" s="164"/>
      <c r="C50" s="165" t="s">
        <v>505</v>
      </c>
      <c r="D50" s="176">
        <f>D49-D48</f>
        <v>16815.06364922208</v>
      </c>
      <c r="E50" s="161"/>
      <c r="F50" s="161"/>
      <c r="G50" s="175" t="s">
        <v>692</v>
      </c>
      <c r="H50" s="178">
        <f>B46</f>
        <v>60</v>
      </c>
      <c r="I50" s="161"/>
      <c r="J50" s="167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</row>
    <row r="51" spans="1:53" ht="15.75" customHeight="1" x14ac:dyDescent="0.2">
      <c r="A51" s="58"/>
      <c r="B51" s="164"/>
      <c r="C51" s="165" t="s">
        <v>407</v>
      </c>
      <c r="D51" s="176">
        <f>D50-D52</f>
        <v>2918.3168316831707</v>
      </c>
      <c r="E51" s="179">
        <v>0.21</v>
      </c>
      <c r="F51" s="161"/>
      <c r="G51" s="175" t="s">
        <v>693</v>
      </c>
      <c r="H51" s="180">
        <f>-PMT((H49/12),H50,H48)</f>
        <v>6934.9608485829149</v>
      </c>
      <c r="I51" s="161"/>
      <c r="J51" s="167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</row>
    <row r="52" spans="1:53" ht="15.75" customHeight="1" x14ac:dyDescent="0.2">
      <c r="A52" s="58"/>
      <c r="B52" s="164"/>
      <c r="C52" s="165" t="s">
        <v>694</v>
      </c>
      <c r="D52" s="174">
        <f>D50/(1+E51)</f>
        <v>13896.746817538909</v>
      </c>
      <c r="E52" s="179">
        <v>0.05</v>
      </c>
      <c r="F52" s="161"/>
      <c r="G52" s="161"/>
      <c r="H52" s="161"/>
      <c r="I52" s="161"/>
      <c r="J52" s="167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</row>
    <row r="53" spans="1:53" ht="15.75" customHeight="1" x14ac:dyDescent="0.2">
      <c r="A53" s="58"/>
      <c r="B53" s="164"/>
      <c r="C53" s="161"/>
      <c r="D53" s="161"/>
      <c r="E53" s="161"/>
      <c r="F53" s="161"/>
      <c r="G53" s="175" t="s">
        <v>555</v>
      </c>
      <c r="H53" s="181">
        <f>H51*B46</f>
        <v>416097.65091497492</v>
      </c>
      <c r="I53" s="161"/>
      <c r="J53" s="167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</row>
    <row r="54" spans="1:53" ht="15.75" customHeight="1" x14ac:dyDescent="0.2">
      <c r="A54" s="58"/>
      <c r="B54" s="164"/>
      <c r="C54" s="161"/>
      <c r="D54" s="166"/>
      <c r="E54" s="161"/>
      <c r="F54" s="161"/>
      <c r="G54" s="175" t="s">
        <v>705</v>
      </c>
      <c r="H54" s="168">
        <f>H53/D48-1</f>
        <v>0.49710452517499881</v>
      </c>
      <c r="I54" s="161"/>
      <c r="J54" s="167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</row>
    <row r="55" spans="1:53" ht="15.75" customHeight="1" x14ac:dyDescent="0.2">
      <c r="A55" s="58"/>
      <c r="B55" s="164"/>
      <c r="C55" s="161"/>
      <c r="D55" s="166"/>
      <c r="E55" s="161"/>
      <c r="F55" s="161"/>
      <c r="G55" s="175" t="s">
        <v>697</v>
      </c>
      <c r="H55" s="168">
        <f>((1+H54)^(12/B46))-1</f>
        <v>8.4052772791265218E-2</v>
      </c>
      <c r="I55" s="161"/>
      <c r="J55" s="16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</row>
    <row r="56" spans="1:53" ht="15.75" customHeight="1" x14ac:dyDescent="0.2">
      <c r="A56" s="58"/>
      <c r="B56" s="186"/>
      <c r="C56" s="187"/>
      <c r="D56" s="187"/>
      <c r="E56" s="187"/>
      <c r="F56" s="187"/>
      <c r="G56" s="187"/>
      <c r="H56" s="187"/>
      <c r="I56" s="187"/>
      <c r="J56" s="18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</row>
    <row r="57" spans="1:53" ht="12.75" customHeight="1" x14ac:dyDescent="0.2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</row>
    <row r="58" spans="1:53" ht="12.75" customHeight="1" x14ac:dyDescent="0.2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</row>
    <row r="59" spans="1:53" ht="12.75" customHeight="1" x14ac:dyDescent="0.2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</row>
    <row r="60" spans="1:53" ht="12.75" customHeight="1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</row>
    <row r="61" spans="1:53" ht="12.75" customHeight="1" x14ac:dyDescent="0.2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</row>
    <row r="62" spans="1:53" ht="12.75" customHeight="1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</row>
    <row r="63" spans="1:53" ht="12.75" customHeight="1" x14ac:dyDescent="0.2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</row>
    <row r="64" spans="1:53" ht="12.75" customHeight="1" x14ac:dyDescent="0.2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</row>
    <row r="65" spans="1:53" ht="12.75" customHeight="1" x14ac:dyDescent="0.2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</row>
    <row r="66" spans="1:53" ht="12.75" customHeight="1" x14ac:dyDescent="0.2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</row>
    <row r="67" spans="1:53" ht="12.75" customHeight="1" x14ac:dyDescent="0.2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</row>
    <row r="68" spans="1:53" ht="12.75" customHeight="1" x14ac:dyDescent="0.2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</row>
    <row r="69" spans="1:53" ht="12.75" customHeight="1" x14ac:dyDescent="0.2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</row>
    <row r="70" spans="1:53" ht="12.75" customHeight="1" x14ac:dyDescent="0.2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</row>
    <row r="71" spans="1:53" ht="12.75" customHeight="1" x14ac:dyDescent="0.2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</row>
    <row r="72" spans="1:53" ht="12.75" customHeight="1" x14ac:dyDescent="0.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</row>
    <row r="73" spans="1:53" ht="12.75" customHeight="1" x14ac:dyDescent="0.2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</row>
    <row r="74" spans="1:53" ht="12.75" customHeight="1" x14ac:dyDescent="0.2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</row>
    <row r="75" spans="1:53" ht="12.75" customHeight="1" x14ac:dyDescent="0.2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</row>
    <row r="76" spans="1:53" ht="12.75" customHeight="1" x14ac:dyDescent="0.2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</row>
    <row r="77" spans="1:53" ht="12.75" customHeight="1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</row>
    <row r="78" spans="1:53" ht="12.75" customHeight="1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</row>
    <row r="79" spans="1:53" ht="12.75" customHeight="1" x14ac:dyDescent="0.2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</row>
    <row r="80" spans="1:53" ht="12.75" customHeight="1" x14ac:dyDescent="0.2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</row>
    <row r="81" spans="1:53" ht="12.75" customHeight="1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</row>
    <row r="82" spans="1:53" ht="12.75" customHeight="1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</row>
    <row r="83" spans="1:53" ht="12.75" customHeight="1" x14ac:dyDescent="0.2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</row>
    <row r="84" spans="1:53" ht="12.75" customHeight="1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</row>
    <row r="85" spans="1:53" ht="12.75" customHeight="1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</row>
    <row r="86" spans="1:53" ht="12.75" customHeight="1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</row>
    <row r="87" spans="1:53" ht="12.75" customHeight="1" x14ac:dyDescent="0.2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</row>
    <row r="88" spans="1:53" ht="12.75" customHeight="1" x14ac:dyDescent="0.2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</row>
    <row r="89" spans="1:53" ht="12.75" customHeight="1" x14ac:dyDescent="0.2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</row>
    <row r="90" spans="1:53" ht="12.75" customHeight="1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</row>
    <row r="91" spans="1:53" ht="12.75" customHeight="1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</row>
    <row r="92" spans="1:53" ht="12.75" customHeight="1" x14ac:dyDescent="0.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</row>
    <row r="93" spans="1:53" ht="12.75" customHeight="1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</row>
    <row r="94" spans="1:53" ht="12.75" customHeight="1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</row>
    <row r="95" spans="1:53" ht="12.75" customHeight="1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</row>
    <row r="96" spans="1:53" ht="12.75" customHeight="1" x14ac:dyDescent="0.2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</row>
    <row r="97" spans="1:53" ht="12.75" customHeight="1" x14ac:dyDescent="0.2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</row>
    <row r="98" spans="1:53" ht="12.75" customHeight="1" x14ac:dyDescent="0.2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</row>
    <row r="99" spans="1:53" ht="12.75" customHeight="1" x14ac:dyDescent="0.2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</row>
    <row r="100" spans="1:53" ht="12.75" customHeight="1" x14ac:dyDescent="0.2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</row>
    <row r="101" spans="1:53" ht="12.75" customHeight="1" x14ac:dyDescent="0.2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</row>
    <row r="102" spans="1:53" ht="12.75" customHeight="1" x14ac:dyDescent="0.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</row>
    <row r="103" spans="1:53" ht="12.75" customHeight="1" x14ac:dyDescent="0.2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</row>
    <row r="104" spans="1:53" ht="12.75" customHeight="1" x14ac:dyDescent="0.2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</row>
    <row r="105" spans="1:53" ht="12.75" customHeight="1" x14ac:dyDescent="0.2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</row>
    <row r="106" spans="1:53" ht="12.75" customHeight="1" x14ac:dyDescent="0.2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</row>
    <row r="107" spans="1:53" ht="12.75" customHeight="1" x14ac:dyDescent="0.2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</row>
    <row r="108" spans="1:53" ht="12.75" customHeight="1" x14ac:dyDescent="0.2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</row>
    <row r="109" spans="1:53" ht="12.75" customHeight="1" x14ac:dyDescent="0.2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</row>
    <row r="110" spans="1:53" ht="12.75" customHeight="1" x14ac:dyDescent="0.2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</row>
    <row r="111" spans="1:53" ht="12.75" customHeight="1" x14ac:dyDescent="0.2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</row>
    <row r="112" spans="1:53" ht="12.75" customHeight="1" x14ac:dyDescent="0.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</row>
    <row r="113" spans="1:53" ht="12.75" customHeight="1" x14ac:dyDescent="0.2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</row>
    <row r="114" spans="1:53" ht="12.75" customHeight="1" x14ac:dyDescent="0.2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</row>
    <row r="115" spans="1:53" ht="12.75" customHeight="1" x14ac:dyDescent="0.2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</row>
    <row r="116" spans="1:53" ht="12.75" customHeight="1" x14ac:dyDescent="0.2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</row>
    <row r="117" spans="1:53" ht="12.75" customHeight="1" x14ac:dyDescent="0.2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</row>
    <row r="118" spans="1:53" ht="12.75" customHeight="1" x14ac:dyDescent="0.2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</row>
    <row r="119" spans="1:53" ht="12.75" customHeight="1" x14ac:dyDescent="0.2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</row>
    <row r="120" spans="1:53" ht="12.75" customHeight="1" x14ac:dyDescent="0.2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</row>
    <row r="121" spans="1:53" ht="12.75" customHeight="1" x14ac:dyDescent="0.2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</row>
    <row r="122" spans="1:53" ht="12.75" customHeight="1" x14ac:dyDescent="0.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</row>
    <row r="123" spans="1:53" ht="12.75" customHeight="1" x14ac:dyDescent="0.2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</row>
    <row r="124" spans="1:53" ht="12.75" customHeight="1" x14ac:dyDescent="0.2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</row>
    <row r="125" spans="1:53" ht="12.75" customHeight="1" x14ac:dyDescent="0.2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</row>
    <row r="126" spans="1:53" ht="12.75" customHeight="1" x14ac:dyDescent="0.2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</row>
    <row r="127" spans="1:53" ht="12.75" customHeight="1" x14ac:dyDescent="0.2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</row>
    <row r="128" spans="1:53" ht="12.75" customHeight="1" x14ac:dyDescent="0.2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</row>
    <row r="129" spans="1:53" ht="12.75" customHeight="1" x14ac:dyDescent="0.2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</row>
    <row r="130" spans="1:53" ht="12.75" customHeight="1" x14ac:dyDescent="0.2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</row>
    <row r="131" spans="1:53" ht="12.75" customHeight="1" x14ac:dyDescent="0.2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</row>
    <row r="132" spans="1:53" ht="12.75" customHeight="1" x14ac:dyDescent="0.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</row>
    <row r="133" spans="1:53" ht="12.75" customHeight="1" x14ac:dyDescent="0.2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</row>
    <row r="134" spans="1:53" ht="12.75" customHeight="1" x14ac:dyDescent="0.2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</row>
    <row r="135" spans="1:53" ht="12.75" customHeight="1" x14ac:dyDescent="0.2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</row>
    <row r="136" spans="1:53" ht="12.75" customHeight="1" x14ac:dyDescent="0.2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</row>
    <row r="137" spans="1:53" ht="12.75" customHeight="1" x14ac:dyDescent="0.2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</row>
    <row r="138" spans="1:53" ht="12.75" customHeight="1" x14ac:dyDescent="0.2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</row>
    <row r="139" spans="1:53" ht="12.75" customHeight="1" x14ac:dyDescent="0.2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</row>
    <row r="140" spans="1:53" ht="12.75" customHeight="1" x14ac:dyDescent="0.2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</row>
    <row r="141" spans="1:53" ht="12.75" customHeight="1" x14ac:dyDescent="0.2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</row>
    <row r="142" spans="1:53" ht="12.75" customHeight="1" x14ac:dyDescent="0.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</row>
    <row r="143" spans="1:53" ht="12.75" customHeight="1" x14ac:dyDescent="0.2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</row>
    <row r="144" spans="1:53" ht="12.75" customHeight="1" x14ac:dyDescent="0.2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</row>
    <row r="145" spans="1:53" ht="12.75" customHeight="1" x14ac:dyDescent="0.2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</row>
    <row r="146" spans="1:53" ht="12.75" customHeight="1" x14ac:dyDescent="0.2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</row>
    <row r="147" spans="1:53" ht="12.75" customHeight="1" x14ac:dyDescent="0.2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</row>
    <row r="148" spans="1:53" ht="12.75" customHeight="1" x14ac:dyDescent="0.2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</row>
    <row r="149" spans="1:53" ht="12.75" customHeight="1" x14ac:dyDescent="0.2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</row>
    <row r="150" spans="1:53" ht="12.75" customHeight="1" x14ac:dyDescent="0.2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</row>
    <row r="151" spans="1:53" ht="12.75" customHeight="1" x14ac:dyDescent="0.2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</row>
    <row r="152" spans="1:53" ht="12.75" customHeight="1" x14ac:dyDescent="0.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</row>
    <row r="153" spans="1:53" ht="12.75" customHeight="1" x14ac:dyDescent="0.2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</row>
    <row r="154" spans="1:53" ht="12.75" customHeight="1" x14ac:dyDescent="0.2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</row>
    <row r="155" spans="1:53" ht="12.75" customHeight="1" x14ac:dyDescent="0.2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</row>
    <row r="156" spans="1:53" ht="12.75" customHeight="1" x14ac:dyDescent="0.2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</row>
    <row r="157" spans="1:53" ht="12.75" customHeight="1" x14ac:dyDescent="0.2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</row>
    <row r="158" spans="1:53" ht="12.75" customHeight="1" x14ac:dyDescent="0.2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</row>
    <row r="159" spans="1:53" ht="12.75" customHeight="1" x14ac:dyDescent="0.2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</row>
    <row r="160" spans="1:53" ht="12.75" customHeight="1" x14ac:dyDescent="0.2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</row>
    <row r="161" spans="1:53" ht="12.75" customHeight="1" x14ac:dyDescent="0.2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</row>
    <row r="162" spans="1:53" ht="12.75" customHeight="1" x14ac:dyDescent="0.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</row>
    <row r="163" spans="1:53" ht="12.75" customHeight="1" x14ac:dyDescent="0.2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</row>
    <row r="164" spans="1:53" ht="12.75" customHeight="1" x14ac:dyDescent="0.2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</row>
    <row r="165" spans="1:53" ht="12.75" customHeight="1" x14ac:dyDescent="0.2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</row>
    <row r="166" spans="1:53" ht="12.75" customHeight="1" x14ac:dyDescent="0.2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</row>
    <row r="167" spans="1:53" ht="12.75" customHeight="1" x14ac:dyDescent="0.2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</row>
    <row r="168" spans="1:53" ht="12.75" customHeight="1" x14ac:dyDescent="0.2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</row>
    <row r="169" spans="1:53" ht="12.75" customHeight="1" x14ac:dyDescent="0.2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</row>
    <row r="170" spans="1:53" ht="12.75" customHeight="1" x14ac:dyDescent="0.2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</row>
    <row r="171" spans="1:53" ht="12.75" customHeight="1" x14ac:dyDescent="0.2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</row>
    <row r="172" spans="1:53" ht="12.75" customHeight="1" x14ac:dyDescent="0.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</row>
    <row r="173" spans="1:53" ht="12.75" customHeight="1" x14ac:dyDescent="0.2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</row>
    <row r="174" spans="1:53" ht="12.75" customHeight="1" x14ac:dyDescent="0.2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</row>
    <row r="175" spans="1:53" ht="12.75" customHeight="1" x14ac:dyDescent="0.2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</row>
    <row r="176" spans="1:53" ht="12.75" customHeight="1" x14ac:dyDescent="0.2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</row>
    <row r="177" spans="1:53" ht="12.75" customHeight="1" x14ac:dyDescent="0.2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</row>
    <row r="178" spans="1:53" ht="12.75" customHeight="1" x14ac:dyDescent="0.2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</row>
    <row r="179" spans="1:53" ht="12.75" customHeight="1" x14ac:dyDescent="0.2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</row>
    <row r="180" spans="1:53" ht="12.75" customHeight="1" x14ac:dyDescent="0.2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</row>
    <row r="181" spans="1:53" ht="12.75" customHeight="1" x14ac:dyDescent="0.2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</row>
    <row r="182" spans="1:53" ht="12.75" customHeight="1" x14ac:dyDescent="0.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</row>
    <row r="183" spans="1:53" ht="12.75" customHeight="1" x14ac:dyDescent="0.2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</row>
    <row r="184" spans="1:53" ht="12.75" customHeight="1" x14ac:dyDescent="0.2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</row>
    <row r="185" spans="1:53" ht="12.75" customHeight="1" x14ac:dyDescent="0.2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</row>
    <row r="186" spans="1:53" ht="12.75" customHeight="1" x14ac:dyDescent="0.2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</row>
    <row r="187" spans="1:53" ht="12.75" customHeight="1" x14ac:dyDescent="0.2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</row>
    <row r="188" spans="1:53" ht="12.75" customHeight="1" x14ac:dyDescent="0.2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</row>
    <row r="189" spans="1:53" ht="12.75" customHeight="1" x14ac:dyDescent="0.2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</row>
    <row r="190" spans="1:53" ht="12.75" customHeight="1" x14ac:dyDescent="0.2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</row>
    <row r="191" spans="1:53" ht="12.75" customHeight="1" x14ac:dyDescent="0.2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</row>
    <row r="192" spans="1:53" ht="12.75" customHeight="1" x14ac:dyDescent="0.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</row>
    <row r="193" spans="1:53" ht="12.75" customHeight="1" x14ac:dyDescent="0.2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</row>
    <row r="194" spans="1:53" ht="12.75" customHeight="1" x14ac:dyDescent="0.2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</row>
    <row r="195" spans="1:53" ht="12.75" customHeight="1" x14ac:dyDescent="0.2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</row>
    <row r="196" spans="1:53" ht="12.75" customHeight="1" x14ac:dyDescent="0.2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</row>
    <row r="197" spans="1:53" ht="12.75" customHeight="1" x14ac:dyDescent="0.2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</row>
    <row r="198" spans="1:53" ht="12.75" customHeight="1" x14ac:dyDescent="0.2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</row>
    <row r="199" spans="1:53" ht="12.75" customHeight="1" x14ac:dyDescent="0.2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</row>
    <row r="200" spans="1:53" ht="12.75" customHeight="1" x14ac:dyDescent="0.2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</row>
    <row r="201" spans="1:53" ht="12.75" customHeight="1" x14ac:dyDescent="0.2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</row>
    <row r="202" spans="1:53" ht="12.75" customHeight="1" x14ac:dyDescent="0.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</row>
    <row r="203" spans="1:53" ht="12.75" customHeight="1" x14ac:dyDescent="0.2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</row>
    <row r="204" spans="1:53" ht="12.75" customHeight="1" x14ac:dyDescent="0.2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</row>
    <row r="205" spans="1:53" ht="12.75" customHeight="1" x14ac:dyDescent="0.2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</row>
    <row r="206" spans="1:53" ht="12.75" customHeight="1" x14ac:dyDescent="0.2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</row>
    <row r="207" spans="1:53" ht="12.75" customHeight="1" x14ac:dyDescent="0.2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</row>
    <row r="208" spans="1:53" ht="12.75" customHeight="1" x14ac:dyDescent="0.2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</row>
    <row r="209" spans="1:53" ht="12.75" customHeight="1" x14ac:dyDescent="0.2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</row>
    <row r="210" spans="1:53" ht="12.75" customHeight="1" x14ac:dyDescent="0.2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</row>
    <row r="211" spans="1:53" ht="12.75" customHeight="1" x14ac:dyDescent="0.2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</row>
    <row r="212" spans="1:53" ht="12.75" customHeight="1" x14ac:dyDescent="0.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</row>
    <row r="213" spans="1:53" ht="12.75" customHeight="1" x14ac:dyDescent="0.2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</row>
    <row r="214" spans="1:53" ht="12.75" customHeight="1" x14ac:dyDescent="0.2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</row>
    <row r="215" spans="1:53" ht="12.75" customHeight="1" x14ac:dyDescent="0.2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</row>
    <row r="216" spans="1:53" ht="12.75" customHeight="1" x14ac:dyDescent="0.2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</row>
    <row r="217" spans="1:53" ht="12.75" customHeight="1" x14ac:dyDescent="0.2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</row>
    <row r="218" spans="1:53" ht="12.75" customHeight="1" x14ac:dyDescent="0.2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</row>
    <row r="219" spans="1:53" ht="12.75" customHeight="1" x14ac:dyDescent="0.2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</row>
    <row r="220" spans="1:53" ht="12.75" customHeight="1" x14ac:dyDescent="0.2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</row>
    <row r="221" spans="1:53" ht="12.75" customHeight="1" x14ac:dyDescent="0.2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</row>
    <row r="222" spans="1:53" ht="12.75" customHeight="1" x14ac:dyDescent="0.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</row>
    <row r="223" spans="1:53" ht="12.75" customHeight="1" x14ac:dyDescent="0.2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</row>
    <row r="224" spans="1:53" ht="12.75" customHeight="1" x14ac:dyDescent="0.2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</row>
    <row r="225" spans="1:53" ht="12.75" customHeight="1" x14ac:dyDescent="0.2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</row>
    <row r="226" spans="1:53" ht="12.75" customHeight="1" x14ac:dyDescent="0.2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</row>
    <row r="227" spans="1:53" ht="12.75" customHeight="1" x14ac:dyDescent="0.2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</row>
    <row r="228" spans="1:53" ht="12.75" customHeight="1" x14ac:dyDescent="0.2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</row>
    <row r="229" spans="1:53" ht="12.75" customHeight="1" x14ac:dyDescent="0.2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</row>
    <row r="230" spans="1:53" ht="12.75" customHeight="1" x14ac:dyDescent="0.2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</row>
    <row r="231" spans="1:53" ht="12.75" customHeight="1" x14ac:dyDescent="0.2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</row>
    <row r="232" spans="1:53" ht="12.75" customHeight="1" x14ac:dyDescent="0.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</row>
    <row r="233" spans="1:53" ht="12.75" customHeight="1" x14ac:dyDescent="0.2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</row>
    <row r="234" spans="1:53" ht="12.75" customHeight="1" x14ac:dyDescent="0.2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</row>
    <row r="235" spans="1:53" ht="12.75" customHeight="1" x14ac:dyDescent="0.2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</row>
    <row r="236" spans="1:53" ht="12.75" customHeight="1" x14ac:dyDescent="0.2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</row>
    <row r="237" spans="1:53" ht="12.75" customHeight="1" x14ac:dyDescent="0.2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</row>
    <row r="238" spans="1:53" ht="12.75" customHeight="1" x14ac:dyDescent="0.2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</row>
    <row r="239" spans="1:53" ht="12.75" customHeight="1" x14ac:dyDescent="0.2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</row>
    <row r="240" spans="1:53" ht="12.75" customHeight="1" x14ac:dyDescent="0.2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</row>
    <row r="241" spans="1:53" ht="12.75" customHeight="1" x14ac:dyDescent="0.2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</row>
    <row r="242" spans="1:53" ht="12.75" customHeight="1" x14ac:dyDescent="0.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</row>
    <row r="243" spans="1:53" ht="12.75" customHeight="1" x14ac:dyDescent="0.2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</row>
    <row r="244" spans="1:53" ht="12.75" customHeight="1" x14ac:dyDescent="0.2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</row>
    <row r="245" spans="1:53" ht="12.75" customHeight="1" x14ac:dyDescent="0.2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</row>
    <row r="246" spans="1:53" ht="12.75" customHeight="1" x14ac:dyDescent="0.2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</row>
    <row r="247" spans="1:53" ht="12.75" customHeight="1" x14ac:dyDescent="0.2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</row>
    <row r="248" spans="1:53" ht="12.75" customHeight="1" x14ac:dyDescent="0.2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</row>
    <row r="249" spans="1:53" ht="12.75" customHeight="1" x14ac:dyDescent="0.2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</row>
    <row r="250" spans="1:53" ht="12.75" customHeight="1" x14ac:dyDescent="0.2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</row>
    <row r="251" spans="1:53" ht="12.75" customHeight="1" x14ac:dyDescent="0.2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</row>
    <row r="252" spans="1:53" ht="12.75" customHeight="1" x14ac:dyDescent="0.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</row>
    <row r="253" spans="1:53" ht="12.75" customHeight="1" x14ac:dyDescent="0.2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</row>
    <row r="254" spans="1:53" ht="12.75" customHeight="1" x14ac:dyDescent="0.2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</row>
    <row r="255" spans="1:53" ht="12.75" customHeight="1" x14ac:dyDescent="0.2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</row>
    <row r="256" spans="1:53" ht="12.75" customHeight="1" x14ac:dyDescent="0.2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</row>
    <row r="257" spans="1:53" ht="12.75" customHeight="1" x14ac:dyDescent="0.2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</row>
    <row r="258" spans="1:53" ht="12.75" customHeight="1" x14ac:dyDescent="0.2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</row>
    <row r="259" spans="1:53" ht="12.75" customHeight="1" x14ac:dyDescent="0.2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</row>
    <row r="260" spans="1:53" ht="12.75" customHeight="1" x14ac:dyDescent="0.2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</row>
    <row r="261" spans="1:53" ht="12.75" customHeight="1" x14ac:dyDescent="0.2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</row>
    <row r="262" spans="1:53" ht="12.75" customHeight="1" x14ac:dyDescent="0.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</row>
    <row r="263" spans="1:53" ht="12.75" customHeight="1" x14ac:dyDescent="0.2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</row>
    <row r="264" spans="1:53" ht="12.75" customHeight="1" x14ac:dyDescent="0.2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</row>
    <row r="265" spans="1:53" ht="12.75" customHeight="1" x14ac:dyDescent="0.2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</row>
    <row r="266" spans="1:53" ht="12.75" customHeight="1" x14ac:dyDescent="0.2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</row>
    <row r="267" spans="1:53" ht="12.75" customHeight="1" x14ac:dyDescent="0.2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</row>
    <row r="268" spans="1:53" ht="12.75" customHeight="1" x14ac:dyDescent="0.2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</row>
    <row r="269" spans="1:53" ht="12.75" customHeight="1" x14ac:dyDescent="0.2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</row>
    <row r="270" spans="1:53" ht="12.75" customHeight="1" x14ac:dyDescent="0.2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</row>
    <row r="271" spans="1:53" ht="12.75" customHeight="1" x14ac:dyDescent="0.2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</row>
    <row r="272" spans="1:53" ht="12.75" customHeight="1" x14ac:dyDescent="0.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</row>
    <row r="273" spans="1:53" ht="12.75" customHeight="1" x14ac:dyDescent="0.2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</row>
    <row r="274" spans="1:53" ht="12.75" customHeight="1" x14ac:dyDescent="0.2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</row>
    <row r="275" spans="1:53" ht="12.75" customHeight="1" x14ac:dyDescent="0.2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</row>
    <row r="276" spans="1:53" ht="12.75" customHeight="1" x14ac:dyDescent="0.2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</row>
    <row r="277" spans="1:53" ht="12.75" customHeight="1" x14ac:dyDescent="0.2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</row>
    <row r="278" spans="1:53" ht="12.75" customHeight="1" x14ac:dyDescent="0.2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</row>
    <row r="279" spans="1:53" ht="12.75" customHeight="1" x14ac:dyDescent="0.2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</row>
    <row r="280" spans="1:53" ht="12.75" customHeight="1" x14ac:dyDescent="0.2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</row>
    <row r="281" spans="1:53" ht="12.75" customHeight="1" x14ac:dyDescent="0.2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</row>
    <row r="282" spans="1:53" ht="12.75" customHeight="1" x14ac:dyDescent="0.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</row>
    <row r="283" spans="1:53" ht="12.75" customHeight="1" x14ac:dyDescent="0.2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</row>
    <row r="284" spans="1:53" ht="12.75" customHeight="1" x14ac:dyDescent="0.2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</row>
    <row r="285" spans="1:53" ht="12.75" customHeight="1" x14ac:dyDescent="0.2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</row>
    <row r="286" spans="1:53" ht="12.75" customHeight="1" x14ac:dyDescent="0.2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</row>
    <row r="287" spans="1:53" ht="12.75" customHeight="1" x14ac:dyDescent="0.2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</row>
    <row r="288" spans="1:53" ht="12.75" customHeight="1" x14ac:dyDescent="0.2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</row>
    <row r="289" spans="1:53" ht="12.75" customHeight="1" x14ac:dyDescent="0.2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</row>
    <row r="290" spans="1:53" ht="12.75" customHeight="1" x14ac:dyDescent="0.2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</row>
    <row r="291" spans="1:53" ht="12.75" customHeight="1" x14ac:dyDescent="0.2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</row>
    <row r="292" spans="1:53" ht="12.75" customHeight="1" x14ac:dyDescent="0.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</row>
    <row r="293" spans="1:53" ht="12.75" customHeight="1" x14ac:dyDescent="0.2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</row>
    <row r="294" spans="1:53" ht="12.75" customHeight="1" x14ac:dyDescent="0.2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</row>
    <row r="295" spans="1:53" ht="12.75" customHeight="1" x14ac:dyDescent="0.2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</row>
    <row r="296" spans="1:53" ht="12.75" customHeight="1" x14ac:dyDescent="0.2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</row>
    <row r="297" spans="1:53" ht="12.75" customHeight="1" x14ac:dyDescent="0.2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</row>
    <row r="298" spans="1:53" ht="12.75" customHeight="1" x14ac:dyDescent="0.2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</row>
    <row r="299" spans="1:53" ht="12.75" customHeight="1" x14ac:dyDescent="0.2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</row>
    <row r="300" spans="1:53" ht="12.75" customHeight="1" x14ac:dyDescent="0.2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</row>
    <row r="301" spans="1:53" ht="12.75" customHeight="1" x14ac:dyDescent="0.2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</row>
    <row r="302" spans="1:53" ht="12.75" customHeight="1" x14ac:dyDescent="0.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</row>
    <row r="303" spans="1:53" ht="12.75" customHeight="1" x14ac:dyDescent="0.2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</row>
    <row r="304" spans="1:53" ht="12.75" customHeight="1" x14ac:dyDescent="0.2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</row>
    <row r="305" spans="1:53" ht="12.75" customHeight="1" x14ac:dyDescent="0.2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</row>
    <row r="306" spans="1:53" ht="12.75" customHeight="1" x14ac:dyDescent="0.2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</row>
    <row r="307" spans="1:53" ht="12.75" customHeight="1" x14ac:dyDescent="0.2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</row>
    <row r="308" spans="1:53" ht="12.75" customHeight="1" x14ac:dyDescent="0.2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</row>
    <row r="309" spans="1:53" ht="12.75" customHeight="1" x14ac:dyDescent="0.2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</row>
    <row r="310" spans="1:53" ht="12.75" customHeight="1" x14ac:dyDescent="0.2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</row>
    <row r="311" spans="1:53" ht="12.75" customHeight="1" x14ac:dyDescent="0.2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</row>
    <row r="312" spans="1:53" ht="12.75" customHeight="1" x14ac:dyDescent="0.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</row>
    <row r="313" spans="1:53" ht="12.75" customHeight="1" x14ac:dyDescent="0.2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</row>
    <row r="314" spans="1:53" ht="12.75" customHeight="1" x14ac:dyDescent="0.2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</row>
    <row r="315" spans="1:53" ht="12.75" customHeight="1" x14ac:dyDescent="0.2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</row>
    <row r="316" spans="1:53" ht="12.75" customHeight="1" x14ac:dyDescent="0.2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</row>
    <row r="317" spans="1:53" ht="12.75" customHeight="1" x14ac:dyDescent="0.2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</row>
    <row r="318" spans="1:53" ht="12.75" customHeight="1" x14ac:dyDescent="0.2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</row>
    <row r="319" spans="1:53" ht="12.75" customHeight="1" x14ac:dyDescent="0.2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</row>
    <row r="320" spans="1:53" ht="12.75" customHeight="1" x14ac:dyDescent="0.2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</row>
    <row r="321" spans="1:53" ht="12.75" customHeight="1" x14ac:dyDescent="0.2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</row>
    <row r="322" spans="1:53" ht="12.75" customHeight="1" x14ac:dyDescent="0.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</row>
    <row r="323" spans="1:53" ht="12.75" customHeight="1" x14ac:dyDescent="0.2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</row>
    <row r="324" spans="1:53" ht="12.75" customHeight="1" x14ac:dyDescent="0.2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</row>
    <row r="325" spans="1:53" ht="12.75" customHeight="1" x14ac:dyDescent="0.2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</row>
    <row r="326" spans="1:53" ht="12.75" customHeight="1" x14ac:dyDescent="0.2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</row>
    <row r="327" spans="1:53" ht="12.75" customHeight="1" x14ac:dyDescent="0.2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</row>
    <row r="328" spans="1:53" ht="12.75" customHeight="1" x14ac:dyDescent="0.2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</row>
    <row r="329" spans="1:53" ht="12.75" customHeight="1" x14ac:dyDescent="0.2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</row>
    <row r="330" spans="1:53" ht="12.75" customHeight="1" x14ac:dyDescent="0.2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</row>
    <row r="331" spans="1:53" ht="12.75" customHeight="1" x14ac:dyDescent="0.2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</row>
    <row r="332" spans="1:53" ht="12.75" customHeight="1" x14ac:dyDescent="0.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</row>
    <row r="333" spans="1:53" ht="12.75" customHeight="1" x14ac:dyDescent="0.2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</row>
    <row r="334" spans="1:53" ht="12.75" customHeight="1" x14ac:dyDescent="0.2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</row>
    <row r="335" spans="1:53" ht="12.75" customHeight="1" x14ac:dyDescent="0.2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</row>
    <row r="336" spans="1:53" ht="12.75" customHeight="1" x14ac:dyDescent="0.2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</row>
    <row r="337" spans="1:53" ht="12.75" customHeight="1" x14ac:dyDescent="0.2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</row>
    <row r="338" spans="1:53" ht="12.75" customHeight="1" x14ac:dyDescent="0.2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</row>
    <row r="339" spans="1:53" ht="12.75" customHeight="1" x14ac:dyDescent="0.2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</row>
    <row r="340" spans="1:53" ht="12.75" customHeight="1" x14ac:dyDescent="0.2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</row>
    <row r="341" spans="1:53" ht="12.75" customHeight="1" x14ac:dyDescent="0.2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</row>
    <row r="342" spans="1:53" ht="12.75" customHeight="1" x14ac:dyDescent="0.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</row>
    <row r="343" spans="1:53" ht="12.75" customHeight="1" x14ac:dyDescent="0.2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</row>
    <row r="344" spans="1:53" ht="12.75" customHeight="1" x14ac:dyDescent="0.2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</row>
    <row r="345" spans="1:53" ht="12.75" customHeight="1" x14ac:dyDescent="0.2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</row>
    <row r="346" spans="1:53" ht="12.75" customHeight="1" x14ac:dyDescent="0.2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</row>
    <row r="347" spans="1:53" ht="12.75" customHeight="1" x14ac:dyDescent="0.2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</row>
    <row r="348" spans="1:53" ht="12.75" customHeight="1" x14ac:dyDescent="0.2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</row>
    <row r="349" spans="1:53" ht="12.75" customHeight="1" x14ac:dyDescent="0.2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</row>
    <row r="350" spans="1:53" ht="12.75" customHeight="1" x14ac:dyDescent="0.2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</row>
    <row r="351" spans="1:53" ht="12.75" customHeight="1" x14ac:dyDescent="0.2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</row>
    <row r="352" spans="1:53" ht="12.75" customHeight="1" x14ac:dyDescent="0.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</row>
    <row r="353" spans="1:53" ht="12.75" customHeight="1" x14ac:dyDescent="0.2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</row>
    <row r="354" spans="1:53" ht="12.75" customHeight="1" x14ac:dyDescent="0.2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</row>
    <row r="355" spans="1:53" ht="12.75" customHeight="1" x14ac:dyDescent="0.2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</row>
    <row r="356" spans="1:53" ht="12.75" customHeight="1" x14ac:dyDescent="0.2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</row>
    <row r="357" spans="1:53" ht="12.75" customHeight="1" x14ac:dyDescent="0.2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</row>
    <row r="358" spans="1:53" ht="12.75" customHeight="1" x14ac:dyDescent="0.2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</row>
    <row r="359" spans="1:53" ht="12.75" customHeight="1" x14ac:dyDescent="0.2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</row>
    <row r="360" spans="1:53" ht="12.75" customHeight="1" x14ac:dyDescent="0.2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</row>
    <row r="361" spans="1:53" ht="12.75" customHeight="1" x14ac:dyDescent="0.2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</row>
    <row r="362" spans="1:53" ht="12.75" customHeight="1" x14ac:dyDescent="0.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</row>
    <row r="363" spans="1:53" ht="12.75" customHeight="1" x14ac:dyDescent="0.2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</row>
    <row r="364" spans="1:53" ht="12.75" customHeight="1" x14ac:dyDescent="0.2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</row>
    <row r="365" spans="1:53" ht="12.75" customHeight="1" x14ac:dyDescent="0.2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</row>
    <row r="366" spans="1:53" ht="12.75" customHeight="1" x14ac:dyDescent="0.2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</row>
    <row r="367" spans="1:53" ht="12.75" customHeight="1" x14ac:dyDescent="0.2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</row>
    <row r="368" spans="1:53" ht="12.75" customHeight="1" x14ac:dyDescent="0.2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</row>
    <row r="369" spans="1:53" ht="12.75" customHeight="1" x14ac:dyDescent="0.2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</row>
    <row r="370" spans="1:53" ht="12.75" customHeight="1" x14ac:dyDescent="0.2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</row>
    <row r="371" spans="1:53" ht="12.75" customHeight="1" x14ac:dyDescent="0.2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</row>
    <row r="372" spans="1:53" ht="12.75" customHeight="1" x14ac:dyDescent="0.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</row>
    <row r="373" spans="1:53" ht="12.75" customHeight="1" x14ac:dyDescent="0.2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</row>
    <row r="374" spans="1:53" ht="12.75" customHeight="1" x14ac:dyDescent="0.2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</row>
    <row r="375" spans="1:53" ht="12.75" customHeight="1" x14ac:dyDescent="0.2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</row>
    <row r="376" spans="1:53" ht="12.75" customHeight="1" x14ac:dyDescent="0.2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</row>
    <row r="377" spans="1:53" ht="12.75" customHeight="1" x14ac:dyDescent="0.2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</row>
    <row r="378" spans="1:53" ht="12.75" customHeight="1" x14ac:dyDescent="0.2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</row>
    <row r="379" spans="1:53" ht="12.75" customHeight="1" x14ac:dyDescent="0.2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</row>
    <row r="380" spans="1:53" ht="12.75" customHeight="1" x14ac:dyDescent="0.2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</row>
    <row r="381" spans="1:53" ht="12.75" customHeight="1" x14ac:dyDescent="0.2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</row>
    <row r="382" spans="1:53" ht="12.75" customHeight="1" x14ac:dyDescent="0.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</row>
    <row r="383" spans="1:53" ht="12.75" customHeight="1" x14ac:dyDescent="0.2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</row>
    <row r="384" spans="1:53" ht="12.75" customHeight="1" x14ac:dyDescent="0.2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</row>
    <row r="385" spans="1:53" ht="12.75" customHeight="1" x14ac:dyDescent="0.2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</row>
    <row r="386" spans="1:53" ht="12.75" customHeight="1" x14ac:dyDescent="0.2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</row>
    <row r="387" spans="1:53" ht="12.75" customHeight="1" x14ac:dyDescent="0.2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</row>
    <row r="388" spans="1:53" ht="12.75" customHeight="1" x14ac:dyDescent="0.2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</row>
    <row r="389" spans="1:53" ht="12.75" customHeight="1" x14ac:dyDescent="0.2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</row>
    <row r="390" spans="1:53" ht="12.75" customHeight="1" x14ac:dyDescent="0.2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</row>
    <row r="391" spans="1:53" ht="12.75" customHeight="1" x14ac:dyDescent="0.2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</row>
    <row r="392" spans="1:53" ht="12.75" customHeight="1" x14ac:dyDescent="0.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</row>
    <row r="393" spans="1:53" ht="12.75" customHeight="1" x14ac:dyDescent="0.2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</row>
    <row r="394" spans="1:53" ht="12.75" customHeight="1" x14ac:dyDescent="0.2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</row>
    <row r="395" spans="1:53" ht="12.75" customHeight="1" x14ac:dyDescent="0.2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</row>
    <row r="396" spans="1:53" ht="12.75" customHeight="1" x14ac:dyDescent="0.2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</row>
    <row r="397" spans="1:53" ht="12.75" customHeight="1" x14ac:dyDescent="0.2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</row>
    <row r="398" spans="1:53" ht="12.75" customHeight="1" x14ac:dyDescent="0.2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</row>
    <row r="399" spans="1:53" ht="12.75" customHeight="1" x14ac:dyDescent="0.2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</row>
    <row r="400" spans="1:53" ht="12.75" customHeight="1" x14ac:dyDescent="0.2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</row>
    <row r="401" spans="1:53" ht="12.75" customHeight="1" x14ac:dyDescent="0.2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</row>
    <row r="402" spans="1:53" ht="12.75" customHeight="1" x14ac:dyDescent="0.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</row>
    <row r="403" spans="1:53" ht="12.75" customHeight="1" x14ac:dyDescent="0.2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</row>
    <row r="404" spans="1:53" ht="12.75" customHeight="1" x14ac:dyDescent="0.2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</row>
    <row r="405" spans="1:53" ht="12.75" customHeight="1" x14ac:dyDescent="0.2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</row>
    <row r="406" spans="1:53" ht="12.75" customHeight="1" x14ac:dyDescent="0.2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</row>
    <row r="407" spans="1:53" ht="12.75" customHeight="1" x14ac:dyDescent="0.2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</row>
    <row r="408" spans="1:53" ht="12.75" customHeight="1" x14ac:dyDescent="0.2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</row>
    <row r="409" spans="1:53" ht="12.75" customHeight="1" x14ac:dyDescent="0.2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</row>
    <row r="410" spans="1:53" ht="12.75" customHeight="1" x14ac:dyDescent="0.2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</row>
    <row r="411" spans="1:53" ht="12.75" customHeight="1" x14ac:dyDescent="0.2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</row>
    <row r="412" spans="1:53" ht="12.75" customHeight="1" x14ac:dyDescent="0.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</row>
    <row r="413" spans="1:53" ht="12.75" customHeight="1" x14ac:dyDescent="0.2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</row>
    <row r="414" spans="1:53" ht="12.75" customHeight="1" x14ac:dyDescent="0.2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</row>
    <row r="415" spans="1:53" ht="12.75" customHeight="1" x14ac:dyDescent="0.2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</row>
    <row r="416" spans="1:53" ht="12.75" customHeight="1" x14ac:dyDescent="0.2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</row>
    <row r="417" spans="1:53" ht="12.75" customHeight="1" x14ac:dyDescent="0.2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</row>
    <row r="418" spans="1:53" ht="12.75" customHeight="1" x14ac:dyDescent="0.2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</row>
    <row r="419" spans="1:53" ht="12.75" customHeight="1" x14ac:dyDescent="0.2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</row>
    <row r="420" spans="1:53" ht="12.75" customHeight="1" x14ac:dyDescent="0.2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</row>
    <row r="421" spans="1:53" ht="12.75" customHeight="1" x14ac:dyDescent="0.2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</row>
    <row r="422" spans="1:53" ht="12.75" customHeight="1" x14ac:dyDescent="0.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</row>
    <row r="423" spans="1:53" ht="12.75" customHeight="1" x14ac:dyDescent="0.2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</row>
    <row r="424" spans="1:53" ht="12.75" customHeight="1" x14ac:dyDescent="0.2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</row>
    <row r="425" spans="1:53" ht="12.75" customHeight="1" x14ac:dyDescent="0.2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</row>
    <row r="426" spans="1:53" ht="12.75" customHeight="1" x14ac:dyDescent="0.2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</row>
    <row r="427" spans="1:53" ht="12.75" customHeight="1" x14ac:dyDescent="0.2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</row>
    <row r="428" spans="1:53" ht="12.75" customHeight="1" x14ac:dyDescent="0.2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</row>
    <row r="429" spans="1:53" ht="12.75" customHeight="1" x14ac:dyDescent="0.2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</row>
    <row r="430" spans="1:53" ht="12.75" customHeight="1" x14ac:dyDescent="0.2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</row>
    <row r="431" spans="1:53" ht="12.75" customHeight="1" x14ac:dyDescent="0.2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</row>
    <row r="432" spans="1:53" ht="12.75" customHeight="1" x14ac:dyDescent="0.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</row>
    <row r="433" spans="1:53" ht="12.75" customHeight="1" x14ac:dyDescent="0.2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</row>
    <row r="434" spans="1:53" ht="12.75" customHeight="1" x14ac:dyDescent="0.2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</row>
    <row r="435" spans="1:53" ht="12.75" customHeight="1" x14ac:dyDescent="0.2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</row>
    <row r="436" spans="1:53" ht="12.75" customHeight="1" x14ac:dyDescent="0.2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</row>
    <row r="437" spans="1:53" ht="12.75" customHeight="1" x14ac:dyDescent="0.2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</row>
    <row r="438" spans="1:53" ht="12.75" customHeight="1" x14ac:dyDescent="0.2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</row>
    <row r="439" spans="1:53" ht="12.75" customHeight="1" x14ac:dyDescent="0.2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</row>
    <row r="440" spans="1:53" ht="12.75" customHeight="1" x14ac:dyDescent="0.2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</row>
    <row r="441" spans="1:53" ht="12.75" customHeight="1" x14ac:dyDescent="0.2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</row>
    <row r="442" spans="1:53" ht="12.75" customHeight="1" x14ac:dyDescent="0.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</row>
    <row r="443" spans="1:53" ht="12.75" customHeight="1" x14ac:dyDescent="0.2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</row>
    <row r="444" spans="1:53" ht="12.75" customHeight="1" x14ac:dyDescent="0.2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</row>
    <row r="445" spans="1:53" ht="12.75" customHeight="1" x14ac:dyDescent="0.2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</row>
    <row r="446" spans="1:53" ht="12.75" customHeight="1" x14ac:dyDescent="0.2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</row>
    <row r="447" spans="1:53" ht="12.75" customHeight="1" x14ac:dyDescent="0.2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</row>
    <row r="448" spans="1:53" ht="12.75" customHeight="1" x14ac:dyDescent="0.2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</row>
    <row r="449" spans="1:53" ht="12.75" customHeight="1" x14ac:dyDescent="0.2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</row>
    <row r="450" spans="1:53" ht="12.75" customHeight="1" x14ac:dyDescent="0.2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</row>
    <row r="451" spans="1:53" ht="12.75" customHeight="1" x14ac:dyDescent="0.2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</row>
    <row r="452" spans="1:53" ht="12.75" customHeight="1" x14ac:dyDescent="0.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</row>
    <row r="453" spans="1:53" ht="12.75" customHeight="1" x14ac:dyDescent="0.2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</row>
    <row r="454" spans="1:53" ht="12.75" customHeight="1" x14ac:dyDescent="0.2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</row>
    <row r="455" spans="1:53" ht="12.75" customHeight="1" x14ac:dyDescent="0.2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</row>
    <row r="456" spans="1:53" ht="12.75" customHeight="1" x14ac:dyDescent="0.2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</row>
    <row r="457" spans="1:53" ht="12.75" customHeight="1" x14ac:dyDescent="0.2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</row>
    <row r="458" spans="1:53" ht="12.75" customHeight="1" x14ac:dyDescent="0.2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</row>
    <row r="459" spans="1:53" ht="12.75" customHeight="1" x14ac:dyDescent="0.2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</row>
    <row r="460" spans="1:53" ht="12.75" customHeight="1" x14ac:dyDescent="0.2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</row>
    <row r="461" spans="1:53" ht="12.75" customHeight="1" x14ac:dyDescent="0.2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</row>
    <row r="462" spans="1:53" ht="12.75" customHeight="1" x14ac:dyDescent="0.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</row>
    <row r="463" spans="1:53" ht="12.75" customHeight="1" x14ac:dyDescent="0.2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</row>
    <row r="464" spans="1:53" ht="12.75" customHeight="1" x14ac:dyDescent="0.2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</row>
    <row r="465" spans="1:53" ht="12.75" customHeight="1" x14ac:dyDescent="0.2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</row>
    <row r="466" spans="1:53" ht="12.75" customHeight="1" x14ac:dyDescent="0.2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</row>
    <row r="467" spans="1:53" ht="12.75" customHeight="1" x14ac:dyDescent="0.2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</row>
    <row r="468" spans="1:53" ht="12.75" customHeight="1" x14ac:dyDescent="0.2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</row>
    <row r="469" spans="1:53" ht="12.75" customHeight="1" x14ac:dyDescent="0.2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</row>
    <row r="470" spans="1:53" ht="12.75" customHeight="1" x14ac:dyDescent="0.2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</row>
    <row r="471" spans="1:53" ht="12.75" customHeight="1" x14ac:dyDescent="0.2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</row>
    <row r="472" spans="1:53" ht="12.75" customHeight="1" x14ac:dyDescent="0.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</row>
    <row r="473" spans="1:53" ht="12.75" customHeight="1" x14ac:dyDescent="0.2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</row>
    <row r="474" spans="1:53" ht="12.75" customHeight="1" x14ac:dyDescent="0.2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</row>
    <row r="475" spans="1:53" ht="12.75" customHeight="1" x14ac:dyDescent="0.2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</row>
    <row r="476" spans="1:53" ht="12.75" customHeight="1" x14ac:dyDescent="0.2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</row>
    <row r="477" spans="1:53" ht="12.75" customHeight="1" x14ac:dyDescent="0.2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</row>
    <row r="478" spans="1:53" ht="12.75" customHeight="1" x14ac:dyDescent="0.2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</row>
    <row r="479" spans="1:53" ht="12.75" customHeight="1" x14ac:dyDescent="0.2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</row>
    <row r="480" spans="1:53" ht="12.75" customHeight="1" x14ac:dyDescent="0.2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</row>
    <row r="481" spans="1:53" ht="12.75" customHeight="1" x14ac:dyDescent="0.2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</row>
    <row r="482" spans="1:53" ht="12.75" customHeight="1" x14ac:dyDescent="0.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</row>
    <row r="483" spans="1:53" ht="12.75" customHeight="1" x14ac:dyDescent="0.2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</row>
    <row r="484" spans="1:53" ht="12.75" customHeight="1" x14ac:dyDescent="0.2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</row>
    <row r="485" spans="1:53" ht="12.75" customHeight="1" x14ac:dyDescent="0.2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</row>
    <row r="486" spans="1:53" ht="12.75" customHeight="1" x14ac:dyDescent="0.2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</row>
    <row r="487" spans="1:53" ht="12.75" customHeight="1" x14ac:dyDescent="0.2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</row>
    <row r="488" spans="1:53" ht="12.75" customHeight="1" x14ac:dyDescent="0.2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</row>
    <row r="489" spans="1:53" ht="12.75" customHeight="1" x14ac:dyDescent="0.2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</row>
    <row r="490" spans="1:53" ht="12.75" customHeight="1" x14ac:dyDescent="0.2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</row>
    <row r="491" spans="1:53" ht="12.75" customHeight="1" x14ac:dyDescent="0.2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</row>
    <row r="492" spans="1:53" ht="12.75" customHeight="1" x14ac:dyDescent="0.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</row>
    <row r="493" spans="1:53" ht="12.75" customHeight="1" x14ac:dyDescent="0.2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</row>
    <row r="494" spans="1:53" ht="12.75" customHeight="1" x14ac:dyDescent="0.2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</row>
    <row r="495" spans="1:53" ht="12.75" customHeight="1" x14ac:dyDescent="0.2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</row>
    <row r="496" spans="1:53" ht="12.75" customHeight="1" x14ac:dyDescent="0.2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</row>
    <row r="497" spans="1:53" ht="12.75" customHeight="1" x14ac:dyDescent="0.2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</row>
    <row r="498" spans="1:53" ht="12.75" customHeight="1" x14ac:dyDescent="0.2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</row>
    <row r="499" spans="1:53" ht="12.75" customHeight="1" x14ac:dyDescent="0.2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</row>
    <row r="500" spans="1:53" ht="12.75" customHeight="1" x14ac:dyDescent="0.2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</row>
    <row r="501" spans="1:53" ht="12.75" customHeight="1" x14ac:dyDescent="0.2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</row>
    <row r="502" spans="1:53" ht="12.75" customHeight="1" x14ac:dyDescent="0.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</row>
    <row r="503" spans="1:53" ht="12.75" customHeight="1" x14ac:dyDescent="0.2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</row>
    <row r="504" spans="1:53" ht="12.75" customHeight="1" x14ac:dyDescent="0.2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</row>
    <row r="505" spans="1:53" ht="12.75" customHeight="1" x14ac:dyDescent="0.2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</row>
    <row r="506" spans="1:53" ht="12.75" customHeight="1" x14ac:dyDescent="0.2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</row>
    <row r="507" spans="1:53" ht="12.75" customHeight="1" x14ac:dyDescent="0.2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</row>
    <row r="508" spans="1:53" ht="12.75" customHeight="1" x14ac:dyDescent="0.2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</row>
    <row r="509" spans="1:53" ht="12.75" customHeight="1" x14ac:dyDescent="0.2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</row>
    <row r="510" spans="1:53" ht="12.75" customHeight="1" x14ac:dyDescent="0.2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</row>
    <row r="511" spans="1:53" ht="12.75" customHeight="1" x14ac:dyDescent="0.2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</row>
    <row r="512" spans="1:53" ht="12.75" customHeight="1" x14ac:dyDescent="0.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</row>
    <row r="513" spans="1:53" ht="12.75" customHeight="1" x14ac:dyDescent="0.2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</row>
    <row r="514" spans="1:53" ht="12.75" customHeight="1" x14ac:dyDescent="0.2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</row>
    <row r="515" spans="1:53" ht="12.75" customHeight="1" x14ac:dyDescent="0.2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</row>
    <row r="516" spans="1:53" ht="12.75" customHeight="1" x14ac:dyDescent="0.2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</row>
    <row r="517" spans="1:53" ht="12.75" customHeight="1" x14ac:dyDescent="0.2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</row>
    <row r="518" spans="1:53" ht="12.75" customHeight="1" x14ac:dyDescent="0.2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</row>
    <row r="519" spans="1:53" ht="12.75" customHeight="1" x14ac:dyDescent="0.2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</row>
    <row r="520" spans="1:53" ht="12.75" customHeight="1" x14ac:dyDescent="0.2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</row>
    <row r="521" spans="1:53" ht="12.75" customHeight="1" x14ac:dyDescent="0.2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</row>
    <row r="522" spans="1:53" ht="12.75" customHeight="1" x14ac:dyDescent="0.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</row>
    <row r="523" spans="1:53" ht="12.75" customHeight="1" x14ac:dyDescent="0.2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</row>
    <row r="524" spans="1:53" ht="12.75" customHeight="1" x14ac:dyDescent="0.2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</row>
    <row r="525" spans="1:53" ht="12.75" customHeight="1" x14ac:dyDescent="0.2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</row>
    <row r="526" spans="1:53" ht="12.75" customHeight="1" x14ac:dyDescent="0.2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</row>
    <row r="527" spans="1:53" ht="12.75" customHeight="1" x14ac:dyDescent="0.2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</row>
    <row r="528" spans="1:53" ht="12.75" customHeight="1" x14ac:dyDescent="0.2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</row>
    <row r="529" spans="1:53" ht="12.75" customHeight="1" x14ac:dyDescent="0.2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</row>
    <row r="530" spans="1:53" ht="12.75" customHeight="1" x14ac:dyDescent="0.2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</row>
    <row r="531" spans="1:53" ht="12.75" customHeight="1" x14ac:dyDescent="0.2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</row>
    <row r="532" spans="1:53" ht="12.75" customHeight="1" x14ac:dyDescent="0.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</row>
    <row r="533" spans="1:53" ht="12.75" customHeight="1" x14ac:dyDescent="0.2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</row>
    <row r="534" spans="1:53" ht="12.75" customHeight="1" x14ac:dyDescent="0.2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</row>
    <row r="535" spans="1:53" ht="12.75" customHeight="1" x14ac:dyDescent="0.2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</row>
    <row r="536" spans="1:53" ht="12.75" customHeight="1" x14ac:dyDescent="0.2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</row>
    <row r="537" spans="1:53" ht="12.75" customHeight="1" x14ac:dyDescent="0.2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</row>
    <row r="538" spans="1:53" ht="12.75" customHeight="1" x14ac:dyDescent="0.2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</row>
    <row r="539" spans="1:53" ht="12.75" customHeight="1" x14ac:dyDescent="0.2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</row>
    <row r="540" spans="1:53" ht="12.75" customHeight="1" x14ac:dyDescent="0.2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</row>
    <row r="541" spans="1:53" ht="12.75" customHeight="1" x14ac:dyDescent="0.2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</row>
    <row r="542" spans="1:53" ht="12.75" customHeight="1" x14ac:dyDescent="0.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</row>
    <row r="543" spans="1:53" ht="12.75" customHeight="1" x14ac:dyDescent="0.2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</row>
    <row r="544" spans="1:53" ht="12.75" customHeight="1" x14ac:dyDescent="0.2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</row>
    <row r="545" spans="1:53" ht="12.75" customHeight="1" x14ac:dyDescent="0.2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</row>
    <row r="546" spans="1:53" ht="12.75" customHeight="1" x14ac:dyDescent="0.2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</row>
    <row r="547" spans="1:53" ht="12.75" customHeight="1" x14ac:dyDescent="0.2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</row>
    <row r="548" spans="1:53" ht="12.75" customHeight="1" x14ac:dyDescent="0.2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</row>
    <row r="549" spans="1:53" ht="12.75" customHeight="1" x14ac:dyDescent="0.2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</row>
    <row r="550" spans="1:53" ht="12.75" customHeight="1" x14ac:dyDescent="0.2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</row>
    <row r="551" spans="1:53" ht="12.75" customHeight="1" x14ac:dyDescent="0.2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</row>
    <row r="552" spans="1:53" ht="12.75" customHeight="1" x14ac:dyDescent="0.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</row>
    <row r="553" spans="1:53" ht="12.75" customHeight="1" x14ac:dyDescent="0.2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</row>
    <row r="554" spans="1:53" ht="12.75" customHeight="1" x14ac:dyDescent="0.2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</row>
    <row r="555" spans="1:53" ht="12.75" customHeight="1" x14ac:dyDescent="0.2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</row>
    <row r="556" spans="1:53" ht="12.75" customHeight="1" x14ac:dyDescent="0.2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</row>
    <row r="557" spans="1:53" ht="12.75" customHeight="1" x14ac:dyDescent="0.2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</row>
    <row r="558" spans="1:53" ht="12.75" customHeight="1" x14ac:dyDescent="0.2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</row>
    <row r="559" spans="1:53" ht="12.75" customHeight="1" x14ac:dyDescent="0.2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</row>
    <row r="560" spans="1:53" ht="12.75" customHeight="1" x14ac:dyDescent="0.2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</row>
    <row r="561" spans="1:53" ht="12.75" customHeight="1" x14ac:dyDescent="0.2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</row>
    <row r="562" spans="1:53" ht="12.75" customHeight="1" x14ac:dyDescent="0.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</row>
    <row r="563" spans="1:53" ht="12.75" customHeight="1" x14ac:dyDescent="0.2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  <c r="AY563" s="58"/>
      <c r="AZ563" s="58"/>
      <c r="BA563" s="58"/>
    </row>
    <row r="564" spans="1:53" ht="12.75" customHeight="1" x14ac:dyDescent="0.2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  <c r="AY564" s="58"/>
      <c r="AZ564" s="58"/>
      <c r="BA564" s="58"/>
    </row>
    <row r="565" spans="1:53" ht="12.75" customHeight="1" x14ac:dyDescent="0.2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</row>
    <row r="566" spans="1:53" ht="12.75" customHeight="1" x14ac:dyDescent="0.2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</row>
    <row r="567" spans="1:53" ht="12.75" customHeight="1" x14ac:dyDescent="0.2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</row>
    <row r="568" spans="1:53" ht="12.75" customHeight="1" x14ac:dyDescent="0.2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</row>
    <row r="569" spans="1:53" ht="12.75" customHeight="1" x14ac:dyDescent="0.2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</row>
    <row r="570" spans="1:53" ht="12.75" customHeight="1" x14ac:dyDescent="0.2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</row>
    <row r="571" spans="1:53" ht="12.75" customHeight="1" x14ac:dyDescent="0.2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</row>
    <row r="572" spans="1:53" ht="12.75" customHeight="1" x14ac:dyDescent="0.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</row>
    <row r="573" spans="1:53" ht="12.75" customHeight="1" x14ac:dyDescent="0.2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</row>
    <row r="574" spans="1:53" ht="12.75" customHeight="1" x14ac:dyDescent="0.2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</row>
    <row r="575" spans="1:53" ht="12.75" customHeight="1" x14ac:dyDescent="0.2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</row>
    <row r="576" spans="1:53" ht="12.75" customHeight="1" x14ac:dyDescent="0.2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</row>
    <row r="577" spans="1:53" ht="12.75" customHeight="1" x14ac:dyDescent="0.2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</row>
    <row r="578" spans="1:53" ht="12.75" customHeight="1" x14ac:dyDescent="0.2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</row>
    <row r="579" spans="1:53" ht="12.75" customHeight="1" x14ac:dyDescent="0.2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</row>
    <row r="580" spans="1:53" ht="12.75" customHeight="1" x14ac:dyDescent="0.2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</row>
    <row r="581" spans="1:53" ht="12.75" customHeight="1" x14ac:dyDescent="0.2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</row>
    <row r="582" spans="1:53" ht="12.75" customHeight="1" x14ac:dyDescent="0.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</row>
    <row r="583" spans="1:53" ht="12.75" customHeight="1" x14ac:dyDescent="0.2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</row>
    <row r="584" spans="1:53" ht="12.75" customHeight="1" x14ac:dyDescent="0.2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</row>
    <row r="585" spans="1:53" ht="12.75" customHeight="1" x14ac:dyDescent="0.2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</row>
    <row r="586" spans="1:53" ht="12.75" customHeight="1" x14ac:dyDescent="0.2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</row>
    <row r="587" spans="1:53" ht="12.75" customHeight="1" x14ac:dyDescent="0.2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</row>
    <row r="588" spans="1:53" ht="12.75" customHeight="1" x14ac:dyDescent="0.2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</row>
    <row r="589" spans="1:53" ht="12.75" customHeight="1" x14ac:dyDescent="0.2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</row>
    <row r="590" spans="1:53" ht="12.75" customHeight="1" x14ac:dyDescent="0.2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</row>
    <row r="591" spans="1:53" ht="12.75" customHeight="1" x14ac:dyDescent="0.2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</row>
    <row r="592" spans="1:53" ht="12.75" customHeight="1" x14ac:dyDescent="0.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</row>
    <row r="593" spans="1:53" ht="12.75" customHeight="1" x14ac:dyDescent="0.2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  <c r="AY593" s="58"/>
      <c r="AZ593" s="58"/>
      <c r="BA593" s="58"/>
    </row>
    <row r="594" spans="1:53" ht="12.75" customHeight="1" x14ac:dyDescent="0.2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  <c r="AY594" s="58"/>
      <c r="AZ594" s="58"/>
      <c r="BA594" s="58"/>
    </row>
    <row r="595" spans="1:53" ht="12.75" customHeight="1" x14ac:dyDescent="0.2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  <c r="AY595" s="58"/>
      <c r="AZ595" s="58"/>
      <c r="BA595" s="58"/>
    </row>
    <row r="596" spans="1:53" ht="12.75" customHeight="1" x14ac:dyDescent="0.2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</row>
    <row r="597" spans="1:53" ht="12.75" customHeight="1" x14ac:dyDescent="0.2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</row>
    <row r="598" spans="1:53" ht="12.75" customHeight="1" x14ac:dyDescent="0.2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</row>
    <row r="599" spans="1:53" ht="12.75" customHeight="1" x14ac:dyDescent="0.2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  <c r="AY599" s="58"/>
      <c r="AZ599" s="58"/>
      <c r="BA599" s="58"/>
    </row>
    <row r="600" spans="1:53" ht="12.75" customHeight="1" x14ac:dyDescent="0.2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</row>
    <row r="601" spans="1:53" ht="12.75" customHeight="1" x14ac:dyDescent="0.2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  <c r="AY601" s="58"/>
      <c r="AZ601" s="58"/>
      <c r="BA601" s="58"/>
    </row>
    <row r="602" spans="1:53" ht="12.75" customHeight="1" x14ac:dyDescent="0.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  <c r="AY602" s="58"/>
      <c r="AZ602" s="58"/>
      <c r="BA602" s="58"/>
    </row>
    <row r="603" spans="1:53" ht="12.75" customHeight="1" x14ac:dyDescent="0.2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58"/>
    </row>
    <row r="604" spans="1:53" ht="12.75" customHeight="1" x14ac:dyDescent="0.2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  <c r="AY604" s="58"/>
      <c r="AZ604" s="58"/>
      <c r="BA604" s="58"/>
    </row>
    <row r="605" spans="1:53" ht="12.75" customHeight="1" x14ac:dyDescent="0.2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</row>
    <row r="606" spans="1:53" ht="12.75" customHeight="1" x14ac:dyDescent="0.2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  <c r="AY606" s="58"/>
      <c r="AZ606" s="58"/>
      <c r="BA606" s="58"/>
    </row>
    <row r="607" spans="1:53" ht="12.75" customHeight="1" x14ac:dyDescent="0.2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  <c r="AY607" s="58"/>
      <c r="AZ607" s="58"/>
      <c r="BA607" s="58"/>
    </row>
    <row r="608" spans="1:53" ht="12.75" customHeight="1" x14ac:dyDescent="0.2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</row>
    <row r="609" spans="1:53" ht="12.75" customHeight="1" x14ac:dyDescent="0.2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  <c r="AY609" s="58"/>
      <c r="AZ609" s="58"/>
      <c r="BA609" s="58"/>
    </row>
    <row r="610" spans="1:53" ht="12.75" customHeight="1" x14ac:dyDescent="0.2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  <c r="AY610" s="58"/>
      <c r="AZ610" s="58"/>
      <c r="BA610" s="58"/>
    </row>
    <row r="611" spans="1:53" ht="12.75" customHeight="1" x14ac:dyDescent="0.2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58"/>
    </row>
    <row r="612" spans="1:53" ht="12.75" customHeight="1" x14ac:dyDescent="0.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  <c r="AY612" s="58"/>
      <c r="AZ612" s="58"/>
      <c r="BA612" s="58"/>
    </row>
    <row r="613" spans="1:53" ht="12.75" customHeight="1" x14ac:dyDescent="0.2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  <c r="AY613" s="58"/>
      <c r="AZ613" s="58"/>
      <c r="BA613" s="58"/>
    </row>
    <row r="614" spans="1:53" ht="12.75" customHeight="1" x14ac:dyDescent="0.2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58"/>
    </row>
    <row r="615" spans="1:53" ht="12.75" customHeight="1" x14ac:dyDescent="0.2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</row>
    <row r="616" spans="1:53" ht="12.75" customHeight="1" x14ac:dyDescent="0.2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  <c r="AY616" s="58"/>
      <c r="AZ616" s="58"/>
      <c r="BA616" s="58"/>
    </row>
    <row r="617" spans="1:53" ht="12.75" customHeight="1" x14ac:dyDescent="0.2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  <c r="AY617" s="58"/>
      <c r="AZ617" s="58"/>
      <c r="BA617" s="58"/>
    </row>
    <row r="618" spans="1:53" ht="12.75" customHeight="1" x14ac:dyDescent="0.2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</row>
    <row r="619" spans="1:53" ht="12.75" customHeight="1" x14ac:dyDescent="0.2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</row>
    <row r="620" spans="1:53" ht="12.75" customHeight="1" x14ac:dyDescent="0.2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</row>
    <row r="621" spans="1:53" ht="12.75" customHeight="1" x14ac:dyDescent="0.2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</row>
    <row r="622" spans="1:53" ht="12.75" customHeight="1" x14ac:dyDescent="0.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</row>
    <row r="623" spans="1:53" ht="12.75" customHeight="1" x14ac:dyDescent="0.2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</row>
    <row r="624" spans="1:53" ht="12.75" customHeight="1" x14ac:dyDescent="0.2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</row>
    <row r="625" spans="1:53" ht="12.75" customHeight="1" x14ac:dyDescent="0.2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</row>
    <row r="626" spans="1:53" ht="12.75" customHeight="1" x14ac:dyDescent="0.2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</row>
    <row r="627" spans="1:53" ht="12.75" customHeight="1" x14ac:dyDescent="0.2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</row>
    <row r="628" spans="1:53" ht="12.75" customHeight="1" x14ac:dyDescent="0.2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  <c r="AY628" s="58"/>
      <c r="AZ628" s="58"/>
      <c r="BA628" s="58"/>
    </row>
    <row r="629" spans="1:53" ht="12.75" customHeight="1" x14ac:dyDescent="0.2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  <c r="AY629" s="58"/>
      <c r="AZ629" s="58"/>
      <c r="BA629" s="58"/>
    </row>
    <row r="630" spans="1:53" ht="12.75" customHeight="1" x14ac:dyDescent="0.2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  <c r="AY630" s="58"/>
      <c r="AZ630" s="58"/>
      <c r="BA630" s="58"/>
    </row>
    <row r="631" spans="1:53" ht="12.75" customHeight="1" x14ac:dyDescent="0.2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  <c r="AY631" s="58"/>
      <c r="AZ631" s="58"/>
      <c r="BA631" s="58"/>
    </row>
    <row r="632" spans="1:53" ht="12.75" customHeight="1" x14ac:dyDescent="0.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  <c r="AY632" s="58"/>
      <c r="AZ632" s="58"/>
      <c r="BA632" s="58"/>
    </row>
    <row r="633" spans="1:53" ht="12.75" customHeight="1" x14ac:dyDescent="0.2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</row>
    <row r="634" spans="1:53" ht="12.75" customHeight="1" x14ac:dyDescent="0.2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  <c r="AY634" s="58"/>
      <c r="AZ634" s="58"/>
      <c r="BA634" s="58"/>
    </row>
    <row r="635" spans="1:53" ht="12.75" customHeight="1" x14ac:dyDescent="0.2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58"/>
    </row>
    <row r="636" spans="1:53" ht="12.75" customHeight="1" x14ac:dyDescent="0.2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  <c r="AY636" s="58"/>
      <c r="AZ636" s="58"/>
      <c r="BA636" s="58"/>
    </row>
    <row r="637" spans="1:53" ht="12.75" customHeight="1" x14ac:dyDescent="0.2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  <c r="AY637" s="58"/>
      <c r="AZ637" s="58"/>
      <c r="BA637" s="58"/>
    </row>
    <row r="638" spans="1:53" ht="12.75" customHeight="1" x14ac:dyDescent="0.2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  <c r="AO638" s="58"/>
      <c r="AP638" s="58"/>
      <c r="AQ638" s="58"/>
      <c r="AR638" s="58"/>
      <c r="AS638" s="58"/>
      <c r="AT638" s="58"/>
      <c r="AU638" s="58"/>
      <c r="AV638" s="58"/>
      <c r="AW638" s="58"/>
      <c r="AX638" s="58"/>
      <c r="AY638" s="58"/>
      <c r="AZ638" s="58"/>
      <c r="BA638" s="58"/>
    </row>
    <row r="639" spans="1:53" ht="12.75" customHeight="1" x14ac:dyDescent="0.2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  <c r="AY639" s="58"/>
      <c r="AZ639" s="58"/>
      <c r="BA639" s="58"/>
    </row>
    <row r="640" spans="1:53" ht="12.75" customHeight="1" x14ac:dyDescent="0.2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58"/>
    </row>
    <row r="641" spans="1:53" ht="12.75" customHeight="1" x14ac:dyDescent="0.2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  <c r="AY641" s="58"/>
      <c r="AZ641" s="58"/>
      <c r="BA641" s="58"/>
    </row>
    <row r="642" spans="1:53" ht="12.75" customHeight="1" x14ac:dyDescent="0.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  <c r="AY642" s="58"/>
      <c r="AZ642" s="58"/>
      <c r="BA642" s="58"/>
    </row>
    <row r="643" spans="1:53" ht="12.75" customHeight="1" x14ac:dyDescent="0.2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  <c r="AY643" s="58"/>
      <c r="AZ643" s="58"/>
      <c r="BA643" s="58"/>
    </row>
    <row r="644" spans="1:53" ht="12.75" customHeight="1" x14ac:dyDescent="0.2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</row>
    <row r="645" spans="1:53" ht="12.75" customHeight="1" x14ac:dyDescent="0.2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58"/>
    </row>
    <row r="646" spans="1:53" ht="12.75" customHeight="1" x14ac:dyDescent="0.2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58"/>
    </row>
    <row r="647" spans="1:53" ht="12.75" customHeight="1" x14ac:dyDescent="0.2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58"/>
    </row>
    <row r="648" spans="1:53" ht="12.75" customHeight="1" x14ac:dyDescent="0.2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  <c r="AY648" s="58"/>
      <c r="AZ648" s="58"/>
      <c r="BA648" s="58"/>
    </row>
    <row r="649" spans="1:53" ht="12.75" customHeight="1" x14ac:dyDescent="0.2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  <c r="AY649" s="58"/>
      <c r="AZ649" s="58"/>
      <c r="BA649" s="58"/>
    </row>
    <row r="650" spans="1:53" ht="12.75" customHeight="1" x14ac:dyDescent="0.2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  <c r="AY650" s="58"/>
      <c r="AZ650" s="58"/>
      <c r="BA650" s="58"/>
    </row>
    <row r="651" spans="1:53" ht="12.75" customHeight="1" x14ac:dyDescent="0.2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  <c r="AY651" s="58"/>
      <c r="AZ651" s="58"/>
      <c r="BA651" s="58"/>
    </row>
    <row r="652" spans="1:53" ht="12.75" customHeight="1" x14ac:dyDescent="0.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  <c r="AY652" s="58"/>
      <c r="AZ652" s="58"/>
      <c r="BA652" s="58"/>
    </row>
    <row r="653" spans="1:53" ht="12.75" customHeight="1" x14ac:dyDescent="0.2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</row>
    <row r="654" spans="1:53" ht="12.75" customHeight="1" x14ac:dyDescent="0.2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</row>
    <row r="655" spans="1:53" ht="12.75" customHeight="1" x14ac:dyDescent="0.2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  <c r="AY655" s="58"/>
      <c r="AZ655" s="58"/>
      <c r="BA655" s="58"/>
    </row>
    <row r="656" spans="1:53" ht="12.75" customHeight="1" x14ac:dyDescent="0.2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</row>
    <row r="657" spans="1:53" ht="12.75" customHeight="1" x14ac:dyDescent="0.2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</row>
    <row r="658" spans="1:53" ht="12.75" customHeight="1" x14ac:dyDescent="0.2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</row>
    <row r="659" spans="1:53" ht="12.75" customHeight="1" x14ac:dyDescent="0.2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</row>
    <row r="660" spans="1:53" ht="12.75" customHeight="1" x14ac:dyDescent="0.2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</row>
    <row r="661" spans="1:53" ht="12.75" customHeight="1" x14ac:dyDescent="0.2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</row>
    <row r="662" spans="1:53" ht="12.75" customHeight="1" x14ac:dyDescent="0.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</row>
    <row r="663" spans="1:53" ht="12.75" customHeight="1" x14ac:dyDescent="0.2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</row>
    <row r="664" spans="1:53" ht="12.75" customHeight="1" x14ac:dyDescent="0.2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</row>
    <row r="665" spans="1:53" ht="12.75" customHeight="1" x14ac:dyDescent="0.2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</row>
    <row r="666" spans="1:53" ht="12.75" customHeight="1" x14ac:dyDescent="0.2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  <c r="AY666" s="58"/>
      <c r="AZ666" s="58"/>
      <c r="BA666" s="58"/>
    </row>
    <row r="667" spans="1:53" ht="12.75" customHeight="1" x14ac:dyDescent="0.2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  <c r="AY667" s="58"/>
      <c r="AZ667" s="58"/>
      <c r="BA667" s="58"/>
    </row>
    <row r="668" spans="1:53" ht="12.75" customHeight="1" x14ac:dyDescent="0.2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  <c r="AY668" s="58"/>
      <c r="AZ668" s="58"/>
      <c r="BA668" s="58"/>
    </row>
    <row r="669" spans="1:53" ht="12.75" customHeight="1" x14ac:dyDescent="0.2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</row>
    <row r="670" spans="1:53" ht="12.75" customHeight="1" x14ac:dyDescent="0.2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</row>
    <row r="671" spans="1:53" ht="12.75" customHeight="1" x14ac:dyDescent="0.2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  <c r="AY671" s="58"/>
      <c r="AZ671" s="58"/>
      <c r="BA671" s="58"/>
    </row>
    <row r="672" spans="1:53" ht="12.75" customHeight="1" x14ac:dyDescent="0.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  <c r="AY672" s="58"/>
      <c r="AZ672" s="58"/>
      <c r="BA672" s="58"/>
    </row>
    <row r="673" spans="1:53" ht="12.75" customHeight="1" x14ac:dyDescent="0.2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  <c r="AY673" s="58"/>
      <c r="AZ673" s="58"/>
      <c r="BA673" s="58"/>
    </row>
    <row r="674" spans="1:53" ht="12.75" customHeight="1" x14ac:dyDescent="0.2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</row>
    <row r="675" spans="1:53" ht="12.75" customHeight="1" x14ac:dyDescent="0.2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  <c r="AY675" s="58"/>
      <c r="AZ675" s="58"/>
      <c r="BA675" s="58"/>
    </row>
    <row r="676" spans="1:53" ht="12.75" customHeight="1" x14ac:dyDescent="0.2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  <c r="AY676" s="58"/>
      <c r="AZ676" s="58"/>
      <c r="BA676" s="58"/>
    </row>
    <row r="677" spans="1:53" ht="12.75" customHeight="1" x14ac:dyDescent="0.2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  <c r="AY677" s="58"/>
      <c r="AZ677" s="58"/>
      <c r="BA677" s="58"/>
    </row>
    <row r="678" spans="1:53" ht="12.75" customHeight="1" x14ac:dyDescent="0.2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  <c r="AY678" s="58"/>
      <c r="AZ678" s="58"/>
      <c r="BA678" s="58"/>
    </row>
    <row r="679" spans="1:53" ht="12.75" customHeight="1" x14ac:dyDescent="0.2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</row>
    <row r="680" spans="1:53" ht="12.75" customHeight="1" x14ac:dyDescent="0.2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  <c r="AY680" s="58"/>
      <c r="AZ680" s="58"/>
      <c r="BA680" s="58"/>
    </row>
    <row r="681" spans="1:53" ht="12.75" customHeight="1" x14ac:dyDescent="0.2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  <c r="AY681" s="58"/>
      <c r="AZ681" s="58"/>
      <c r="BA681" s="58"/>
    </row>
    <row r="682" spans="1:53" ht="12.75" customHeight="1" x14ac:dyDescent="0.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  <c r="AY682" s="58"/>
      <c r="AZ682" s="58"/>
      <c r="BA682" s="58"/>
    </row>
    <row r="683" spans="1:53" ht="12.75" customHeight="1" x14ac:dyDescent="0.2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  <c r="AY683" s="58"/>
      <c r="AZ683" s="58"/>
      <c r="BA683" s="58"/>
    </row>
    <row r="684" spans="1:53" ht="12.75" customHeight="1" x14ac:dyDescent="0.2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</row>
    <row r="685" spans="1:53" ht="12.75" customHeight="1" x14ac:dyDescent="0.2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</row>
    <row r="686" spans="1:53" ht="12.75" customHeight="1" x14ac:dyDescent="0.2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58"/>
    </row>
    <row r="687" spans="1:53" ht="12.75" customHeight="1" x14ac:dyDescent="0.2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58"/>
    </row>
    <row r="688" spans="1:53" ht="12.75" customHeight="1" x14ac:dyDescent="0.2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</row>
    <row r="689" spans="1:53" ht="12.75" customHeight="1" x14ac:dyDescent="0.2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</row>
    <row r="690" spans="1:53" ht="12.75" customHeight="1" x14ac:dyDescent="0.2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58"/>
    </row>
    <row r="691" spans="1:53" ht="12.75" customHeight="1" x14ac:dyDescent="0.2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</row>
    <row r="692" spans="1:53" ht="12.75" customHeight="1" x14ac:dyDescent="0.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  <c r="AL692" s="58"/>
      <c r="AM692" s="58"/>
      <c r="AN692" s="58"/>
      <c r="AO692" s="58"/>
      <c r="AP692" s="58"/>
      <c r="AQ692" s="58"/>
      <c r="AR692" s="58"/>
      <c r="AS692" s="58"/>
      <c r="AT692" s="58"/>
      <c r="AU692" s="58"/>
      <c r="AV692" s="58"/>
      <c r="AW692" s="58"/>
      <c r="AX692" s="58"/>
      <c r="AY692" s="58"/>
      <c r="AZ692" s="58"/>
      <c r="BA692" s="58"/>
    </row>
    <row r="693" spans="1:53" ht="12.75" customHeight="1" x14ac:dyDescent="0.2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  <c r="AL693" s="58"/>
      <c r="AM693" s="58"/>
      <c r="AN693" s="58"/>
      <c r="AO693" s="58"/>
      <c r="AP693" s="58"/>
      <c r="AQ693" s="58"/>
      <c r="AR693" s="58"/>
      <c r="AS693" s="58"/>
      <c r="AT693" s="58"/>
      <c r="AU693" s="58"/>
      <c r="AV693" s="58"/>
      <c r="AW693" s="58"/>
      <c r="AX693" s="58"/>
      <c r="AY693" s="58"/>
      <c r="AZ693" s="58"/>
      <c r="BA693" s="58"/>
    </row>
    <row r="694" spans="1:53" ht="12.75" customHeight="1" x14ac:dyDescent="0.2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</row>
    <row r="695" spans="1:53" ht="12.75" customHeight="1" x14ac:dyDescent="0.2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</row>
    <row r="696" spans="1:53" ht="12.75" customHeight="1" x14ac:dyDescent="0.2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</row>
    <row r="697" spans="1:53" ht="12.75" customHeight="1" x14ac:dyDescent="0.2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</row>
    <row r="698" spans="1:53" ht="12.75" customHeight="1" x14ac:dyDescent="0.2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</row>
    <row r="699" spans="1:53" ht="12.75" customHeight="1" x14ac:dyDescent="0.2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</row>
    <row r="700" spans="1:53" ht="12.75" customHeight="1" x14ac:dyDescent="0.2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</row>
    <row r="701" spans="1:53" ht="12.75" customHeight="1" x14ac:dyDescent="0.2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</row>
    <row r="702" spans="1:53" ht="12.75" customHeight="1" x14ac:dyDescent="0.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</row>
    <row r="703" spans="1:53" ht="12.75" customHeight="1" x14ac:dyDescent="0.2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</row>
    <row r="704" spans="1:53" ht="12.75" customHeight="1" x14ac:dyDescent="0.2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  <c r="AL704" s="58"/>
      <c r="AM704" s="58"/>
      <c r="AN704" s="58"/>
      <c r="AO704" s="58"/>
      <c r="AP704" s="58"/>
      <c r="AQ704" s="58"/>
      <c r="AR704" s="58"/>
      <c r="AS704" s="58"/>
      <c r="AT704" s="58"/>
      <c r="AU704" s="58"/>
      <c r="AV704" s="58"/>
      <c r="AW704" s="58"/>
      <c r="AX704" s="58"/>
      <c r="AY704" s="58"/>
      <c r="AZ704" s="58"/>
      <c r="BA704" s="58"/>
    </row>
    <row r="705" spans="1:53" ht="12.75" customHeight="1" x14ac:dyDescent="0.2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  <c r="AL705" s="58"/>
      <c r="AM705" s="58"/>
      <c r="AN705" s="58"/>
      <c r="AO705" s="58"/>
      <c r="AP705" s="58"/>
      <c r="AQ705" s="58"/>
      <c r="AR705" s="58"/>
      <c r="AS705" s="58"/>
      <c r="AT705" s="58"/>
      <c r="AU705" s="58"/>
      <c r="AV705" s="58"/>
      <c r="AW705" s="58"/>
      <c r="AX705" s="58"/>
      <c r="AY705" s="58"/>
      <c r="AZ705" s="58"/>
      <c r="BA705" s="58"/>
    </row>
    <row r="706" spans="1:53" ht="12.75" customHeight="1" x14ac:dyDescent="0.2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  <c r="AL706" s="58"/>
      <c r="AM706" s="58"/>
      <c r="AN706" s="58"/>
      <c r="AO706" s="58"/>
      <c r="AP706" s="58"/>
      <c r="AQ706" s="58"/>
      <c r="AR706" s="58"/>
      <c r="AS706" s="58"/>
      <c r="AT706" s="58"/>
      <c r="AU706" s="58"/>
      <c r="AV706" s="58"/>
      <c r="AW706" s="58"/>
      <c r="AX706" s="58"/>
      <c r="AY706" s="58"/>
      <c r="AZ706" s="58"/>
      <c r="BA706" s="58"/>
    </row>
    <row r="707" spans="1:53" ht="12.75" customHeight="1" x14ac:dyDescent="0.2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  <c r="AL707" s="58"/>
      <c r="AM707" s="58"/>
      <c r="AN707" s="58"/>
      <c r="AO707" s="58"/>
      <c r="AP707" s="58"/>
      <c r="AQ707" s="58"/>
      <c r="AR707" s="58"/>
      <c r="AS707" s="58"/>
      <c r="AT707" s="58"/>
      <c r="AU707" s="58"/>
      <c r="AV707" s="58"/>
      <c r="AW707" s="58"/>
      <c r="AX707" s="58"/>
      <c r="AY707" s="58"/>
      <c r="AZ707" s="58"/>
      <c r="BA707" s="58"/>
    </row>
    <row r="708" spans="1:53" ht="12.75" customHeight="1" x14ac:dyDescent="0.2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  <c r="AL708" s="58"/>
      <c r="AM708" s="58"/>
      <c r="AN708" s="58"/>
      <c r="AO708" s="58"/>
      <c r="AP708" s="58"/>
      <c r="AQ708" s="58"/>
      <c r="AR708" s="58"/>
      <c r="AS708" s="58"/>
      <c r="AT708" s="58"/>
      <c r="AU708" s="58"/>
      <c r="AV708" s="58"/>
      <c r="AW708" s="58"/>
      <c r="AX708" s="58"/>
      <c r="AY708" s="58"/>
      <c r="AZ708" s="58"/>
      <c r="BA708" s="58"/>
    </row>
    <row r="709" spans="1:53" ht="12.75" customHeight="1" x14ac:dyDescent="0.2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  <c r="AL709" s="58"/>
      <c r="AM709" s="58"/>
      <c r="AN709" s="58"/>
      <c r="AO709" s="58"/>
      <c r="AP709" s="58"/>
      <c r="AQ709" s="58"/>
      <c r="AR709" s="58"/>
      <c r="AS709" s="58"/>
      <c r="AT709" s="58"/>
      <c r="AU709" s="58"/>
      <c r="AV709" s="58"/>
      <c r="AW709" s="58"/>
      <c r="AX709" s="58"/>
      <c r="AY709" s="58"/>
      <c r="AZ709" s="58"/>
      <c r="BA709" s="58"/>
    </row>
    <row r="710" spans="1:53" ht="12.75" customHeight="1" x14ac:dyDescent="0.2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  <c r="AL710" s="58"/>
      <c r="AM710" s="58"/>
      <c r="AN710" s="58"/>
      <c r="AO710" s="58"/>
      <c r="AP710" s="58"/>
      <c r="AQ710" s="58"/>
      <c r="AR710" s="58"/>
      <c r="AS710" s="58"/>
      <c r="AT710" s="58"/>
      <c r="AU710" s="58"/>
      <c r="AV710" s="58"/>
      <c r="AW710" s="58"/>
      <c r="AX710" s="58"/>
      <c r="AY710" s="58"/>
      <c r="AZ710" s="58"/>
      <c r="BA710" s="58"/>
    </row>
    <row r="711" spans="1:53" ht="12.75" customHeight="1" x14ac:dyDescent="0.2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  <c r="AL711" s="58"/>
      <c r="AM711" s="58"/>
      <c r="AN711" s="58"/>
      <c r="AO711" s="58"/>
      <c r="AP711" s="58"/>
      <c r="AQ711" s="58"/>
      <c r="AR711" s="58"/>
      <c r="AS711" s="58"/>
      <c r="AT711" s="58"/>
      <c r="AU711" s="58"/>
      <c r="AV711" s="58"/>
      <c r="AW711" s="58"/>
      <c r="AX711" s="58"/>
      <c r="AY711" s="58"/>
      <c r="AZ711" s="58"/>
      <c r="BA711" s="58"/>
    </row>
    <row r="712" spans="1:53" ht="12.75" customHeight="1" x14ac:dyDescent="0.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  <c r="AL712" s="58"/>
      <c r="AM712" s="58"/>
      <c r="AN712" s="58"/>
      <c r="AO712" s="58"/>
      <c r="AP712" s="58"/>
      <c r="AQ712" s="58"/>
      <c r="AR712" s="58"/>
      <c r="AS712" s="58"/>
      <c r="AT712" s="58"/>
      <c r="AU712" s="58"/>
      <c r="AV712" s="58"/>
      <c r="AW712" s="58"/>
      <c r="AX712" s="58"/>
      <c r="AY712" s="58"/>
      <c r="AZ712" s="58"/>
      <c r="BA712" s="58"/>
    </row>
    <row r="713" spans="1:53" ht="12.75" customHeight="1" x14ac:dyDescent="0.2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  <c r="AL713" s="58"/>
      <c r="AM713" s="58"/>
      <c r="AN713" s="58"/>
      <c r="AO713" s="58"/>
      <c r="AP713" s="58"/>
      <c r="AQ713" s="58"/>
      <c r="AR713" s="58"/>
      <c r="AS713" s="58"/>
      <c r="AT713" s="58"/>
      <c r="AU713" s="58"/>
      <c r="AV713" s="58"/>
      <c r="AW713" s="58"/>
      <c r="AX713" s="58"/>
      <c r="AY713" s="58"/>
      <c r="AZ713" s="58"/>
      <c r="BA713" s="58"/>
    </row>
    <row r="714" spans="1:53" ht="12.75" customHeight="1" x14ac:dyDescent="0.2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  <c r="AL714" s="58"/>
      <c r="AM714" s="58"/>
      <c r="AN714" s="58"/>
      <c r="AO714" s="58"/>
      <c r="AP714" s="58"/>
      <c r="AQ714" s="58"/>
      <c r="AR714" s="58"/>
      <c r="AS714" s="58"/>
      <c r="AT714" s="58"/>
      <c r="AU714" s="58"/>
      <c r="AV714" s="58"/>
      <c r="AW714" s="58"/>
      <c r="AX714" s="58"/>
      <c r="AY714" s="58"/>
      <c r="AZ714" s="58"/>
      <c r="BA714" s="58"/>
    </row>
    <row r="715" spans="1:53" ht="12.75" customHeight="1" x14ac:dyDescent="0.2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  <c r="AL715" s="58"/>
      <c r="AM715" s="58"/>
      <c r="AN715" s="58"/>
      <c r="AO715" s="58"/>
      <c r="AP715" s="58"/>
      <c r="AQ715" s="58"/>
      <c r="AR715" s="58"/>
      <c r="AS715" s="58"/>
      <c r="AT715" s="58"/>
      <c r="AU715" s="58"/>
      <c r="AV715" s="58"/>
      <c r="AW715" s="58"/>
      <c r="AX715" s="58"/>
      <c r="AY715" s="58"/>
      <c r="AZ715" s="58"/>
      <c r="BA715" s="58"/>
    </row>
    <row r="716" spans="1:53" ht="12.75" customHeight="1" x14ac:dyDescent="0.2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  <c r="AL716" s="58"/>
      <c r="AM716" s="58"/>
      <c r="AN716" s="58"/>
      <c r="AO716" s="58"/>
      <c r="AP716" s="58"/>
      <c r="AQ716" s="58"/>
      <c r="AR716" s="58"/>
      <c r="AS716" s="58"/>
      <c r="AT716" s="58"/>
      <c r="AU716" s="58"/>
      <c r="AV716" s="58"/>
      <c r="AW716" s="58"/>
      <c r="AX716" s="58"/>
      <c r="AY716" s="58"/>
      <c r="AZ716" s="58"/>
      <c r="BA716" s="58"/>
    </row>
    <row r="717" spans="1:53" ht="12.75" customHeight="1" x14ac:dyDescent="0.2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  <c r="AL717" s="58"/>
      <c r="AM717" s="58"/>
      <c r="AN717" s="58"/>
      <c r="AO717" s="58"/>
      <c r="AP717" s="58"/>
      <c r="AQ717" s="58"/>
      <c r="AR717" s="58"/>
      <c r="AS717" s="58"/>
      <c r="AT717" s="58"/>
      <c r="AU717" s="58"/>
      <c r="AV717" s="58"/>
      <c r="AW717" s="58"/>
      <c r="AX717" s="58"/>
      <c r="AY717" s="58"/>
      <c r="AZ717" s="58"/>
      <c r="BA717" s="58"/>
    </row>
    <row r="718" spans="1:53" ht="12.75" customHeight="1" x14ac:dyDescent="0.2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  <c r="AL718" s="58"/>
      <c r="AM718" s="58"/>
      <c r="AN718" s="58"/>
      <c r="AO718" s="58"/>
      <c r="AP718" s="58"/>
      <c r="AQ718" s="58"/>
      <c r="AR718" s="58"/>
      <c r="AS718" s="58"/>
      <c r="AT718" s="58"/>
      <c r="AU718" s="58"/>
      <c r="AV718" s="58"/>
      <c r="AW718" s="58"/>
      <c r="AX718" s="58"/>
      <c r="AY718" s="58"/>
      <c r="AZ718" s="58"/>
      <c r="BA718" s="58"/>
    </row>
    <row r="719" spans="1:53" ht="12.75" customHeight="1" x14ac:dyDescent="0.2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  <c r="AL719" s="58"/>
      <c r="AM719" s="58"/>
      <c r="AN719" s="58"/>
      <c r="AO719" s="58"/>
      <c r="AP719" s="58"/>
      <c r="AQ719" s="58"/>
      <c r="AR719" s="58"/>
      <c r="AS719" s="58"/>
      <c r="AT719" s="58"/>
      <c r="AU719" s="58"/>
      <c r="AV719" s="58"/>
      <c r="AW719" s="58"/>
      <c r="AX719" s="58"/>
      <c r="AY719" s="58"/>
      <c r="AZ719" s="58"/>
      <c r="BA719" s="58"/>
    </row>
    <row r="720" spans="1:53" ht="12.75" customHeight="1" x14ac:dyDescent="0.2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  <c r="AL720" s="58"/>
      <c r="AM720" s="58"/>
      <c r="AN720" s="58"/>
      <c r="AO720" s="58"/>
      <c r="AP720" s="58"/>
      <c r="AQ720" s="58"/>
      <c r="AR720" s="58"/>
      <c r="AS720" s="58"/>
      <c r="AT720" s="58"/>
      <c r="AU720" s="58"/>
      <c r="AV720" s="58"/>
      <c r="AW720" s="58"/>
      <c r="AX720" s="58"/>
      <c r="AY720" s="58"/>
      <c r="AZ720" s="58"/>
      <c r="BA720" s="58"/>
    </row>
    <row r="721" spans="1:53" ht="12.75" customHeight="1" x14ac:dyDescent="0.2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  <c r="AL721" s="58"/>
      <c r="AM721" s="58"/>
      <c r="AN721" s="58"/>
      <c r="AO721" s="58"/>
      <c r="AP721" s="58"/>
      <c r="AQ721" s="58"/>
      <c r="AR721" s="58"/>
      <c r="AS721" s="58"/>
      <c r="AT721" s="58"/>
      <c r="AU721" s="58"/>
      <c r="AV721" s="58"/>
      <c r="AW721" s="58"/>
      <c r="AX721" s="58"/>
      <c r="AY721" s="58"/>
      <c r="AZ721" s="58"/>
      <c r="BA721" s="58"/>
    </row>
    <row r="722" spans="1:53" ht="12.75" customHeight="1" x14ac:dyDescent="0.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  <c r="AL722" s="58"/>
      <c r="AM722" s="58"/>
      <c r="AN722" s="58"/>
      <c r="AO722" s="58"/>
      <c r="AP722" s="58"/>
      <c r="AQ722" s="58"/>
      <c r="AR722" s="58"/>
      <c r="AS722" s="58"/>
      <c r="AT722" s="58"/>
      <c r="AU722" s="58"/>
      <c r="AV722" s="58"/>
      <c r="AW722" s="58"/>
      <c r="AX722" s="58"/>
      <c r="AY722" s="58"/>
      <c r="AZ722" s="58"/>
      <c r="BA722" s="58"/>
    </row>
    <row r="723" spans="1:53" ht="12.75" customHeight="1" x14ac:dyDescent="0.2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  <c r="AL723" s="58"/>
      <c r="AM723" s="58"/>
      <c r="AN723" s="58"/>
      <c r="AO723" s="58"/>
      <c r="AP723" s="58"/>
      <c r="AQ723" s="58"/>
      <c r="AR723" s="58"/>
      <c r="AS723" s="58"/>
      <c r="AT723" s="58"/>
      <c r="AU723" s="58"/>
      <c r="AV723" s="58"/>
      <c r="AW723" s="58"/>
      <c r="AX723" s="58"/>
      <c r="AY723" s="58"/>
      <c r="AZ723" s="58"/>
      <c r="BA723" s="58"/>
    </row>
    <row r="724" spans="1:53" ht="12.75" customHeight="1" x14ac:dyDescent="0.2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  <c r="AL724" s="58"/>
      <c r="AM724" s="58"/>
      <c r="AN724" s="58"/>
      <c r="AO724" s="58"/>
      <c r="AP724" s="58"/>
      <c r="AQ724" s="58"/>
      <c r="AR724" s="58"/>
      <c r="AS724" s="58"/>
      <c r="AT724" s="58"/>
      <c r="AU724" s="58"/>
      <c r="AV724" s="58"/>
      <c r="AW724" s="58"/>
      <c r="AX724" s="58"/>
      <c r="AY724" s="58"/>
      <c r="AZ724" s="58"/>
      <c r="BA724" s="58"/>
    </row>
    <row r="725" spans="1:53" ht="12.75" customHeight="1" x14ac:dyDescent="0.2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  <c r="AL725" s="58"/>
      <c r="AM725" s="58"/>
      <c r="AN725" s="58"/>
      <c r="AO725" s="58"/>
      <c r="AP725" s="58"/>
      <c r="AQ725" s="58"/>
      <c r="AR725" s="58"/>
      <c r="AS725" s="58"/>
      <c r="AT725" s="58"/>
      <c r="AU725" s="58"/>
      <c r="AV725" s="58"/>
      <c r="AW725" s="58"/>
      <c r="AX725" s="58"/>
      <c r="AY725" s="58"/>
      <c r="AZ725" s="58"/>
      <c r="BA725" s="58"/>
    </row>
    <row r="726" spans="1:53" ht="12.75" customHeight="1" x14ac:dyDescent="0.2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  <c r="AL726" s="58"/>
      <c r="AM726" s="58"/>
      <c r="AN726" s="58"/>
      <c r="AO726" s="58"/>
      <c r="AP726" s="58"/>
      <c r="AQ726" s="58"/>
      <c r="AR726" s="58"/>
      <c r="AS726" s="58"/>
      <c r="AT726" s="58"/>
      <c r="AU726" s="58"/>
      <c r="AV726" s="58"/>
      <c r="AW726" s="58"/>
      <c r="AX726" s="58"/>
      <c r="AY726" s="58"/>
      <c r="AZ726" s="58"/>
      <c r="BA726" s="58"/>
    </row>
    <row r="727" spans="1:53" ht="12.75" customHeight="1" x14ac:dyDescent="0.2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  <c r="AL727" s="58"/>
      <c r="AM727" s="58"/>
      <c r="AN727" s="58"/>
      <c r="AO727" s="58"/>
      <c r="AP727" s="58"/>
      <c r="AQ727" s="58"/>
      <c r="AR727" s="58"/>
      <c r="AS727" s="58"/>
      <c r="AT727" s="58"/>
      <c r="AU727" s="58"/>
      <c r="AV727" s="58"/>
      <c r="AW727" s="58"/>
      <c r="AX727" s="58"/>
      <c r="AY727" s="58"/>
      <c r="AZ727" s="58"/>
      <c r="BA727" s="58"/>
    </row>
    <row r="728" spans="1:53" ht="12.75" customHeight="1" x14ac:dyDescent="0.2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/>
      <c r="AX728" s="58"/>
      <c r="AY728" s="58"/>
      <c r="AZ728" s="58"/>
      <c r="BA728" s="58"/>
    </row>
    <row r="729" spans="1:53" ht="12.75" customHeight="1" x14ac:dyDescent="0.2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</row>
    <row r="730" spans="1:53" ht="12.75" customHeight="1" x14ac:dyDescent="0.2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  <c r="AL730" s="58"/>
      <c r="AM730" s="58"/>
      <c r="AN730" s="58"/>
      <c r="AO730" s="58"/>
      <c r="AP730" s="58"/>
      <c r="AQ730" s="58"/>
      <c r="AR730" s="58"/>
      <c r="AS730" s="58"/>
      <c r="AT730" s="58"/>
      <c r="AU730" s="58"/>
      <c r="AV730" s="58"/>
      <c r="AW730" s="58"/>
      <c r="AX730" s="58"/>
      <c r="AY730" s="58"/>
      <c r="AZ730" s="58"/>
      <c r="BA730" s="58"/>
    </row>
    <row r="731" spans="1:53" ht="12.75" customHeight="1" x14ac:dyDescent="0.2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  <c r="AL731" s="58"/>
      <c r="AM731" s="58"/>
      <c r="AN731" s="58"/>
      <c r="AO731" s="58"/>
      <c r="AP731" s="58"/>
      <c r="AQ731" s="58"/>
      <c r="AR731" s="58"/>
      <c r="AS731" s="58"/>
      <c r="AT731" s="58"/>
      <c r="AU731" s="58"/>
      <c r="AV731" s="58"/>
      <c r="AW731" s="58"/>
      <c r="AX731" s="58"/>
      <c r="AY731" s="58"/>
      <c r="AZ731" s="58"/>
      <c r="BA731" s="58"/>
    </row>
    <row r="732" spans="1:53" ht="12.75" customHeight="1" x14ac:dyDescent="0.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</row>
    <row r="733" spans="1:53" ht="12.75" customHeight="1" x14ac:dyDescent="0.2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</row>
    <row r="734" spans="1:53" ht="12.75" customHeight="1" x14ac:dyDescent="0.2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</row>
    <row r="735" spans="1:53" ht="12.75" customHeight="1" x14ac:dyDescent="0.2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</row>
    <row r="736" spans="1:53" ht="12.75" customHeight="1" x14ac:dyDescent="0.2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</row>
    <row r="737" spans="1:53" ht="12.75" customHeight="1" x14ac:dyDescent="0.2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</row>
    <row r="738" spans="1:53" ht="12.75" customHeight="1" x14ac:dyDescent="0.2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</row>
    <row r="739" spans="1:53" ht="12.75" customHeight="1" x14ac:dyDescent="0.2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</row>
    <row r="740" spans="1:53" ht="12.75" customHeight="1" x14ac:dyDescent="0.2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</row>
    <row r="741" spans="1:53" ht="12.75" customHeight="1" x14ac:dyDescent="0.2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</row>
    <row r="742" spans="1:53" ht="12.75" customHeight="1" x14ac:dyDescent="0.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  <c r="AL742" s="58"/>
      <c r="AM742" s="58"/>
      <c r="AN742" s="58"/>
      <c r="AO742" s="58"/>
      <c r="AP742" s="58"/>
      <c r="AQ742" s="58"/>
      <c r="AR742" s="58"/>
      <c r="AS742" s="58"/>
      <c r="AT742" s="58"/>
      <c r="AU742" s="58"/>
      <c r="AV742" s="58"/>
      <c r="AW742" s="58"/>
      <c r="AX742" s="58"/>
      <c r="AY742" s="58"/>
      <c r="AZ742" s="58"/>
      <c r="BA742" s="58"/>
    </row>
    <row r="743" spans="1:53" ht="12.75" customHeight="1" x14ac:dyDescent="0.2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  <c r="AL743" s="58"/>
      <c r="AM743" s="58"/>
      <c r="AN743" s="58"/>
      <c r="AO743" s="58"/>
      <c r="AP743" s="58"/>
      <c r="AQ743" s="58"/>
      <c r="AR743" s="58"/>
      <c r="AS743" s="58"/>
      <c r="AT743" s="58"/>
      <c r="AU743" s="58"/>
      <c r="AV743" s="58"/>
      <c r="AW743" s="58"/>
      <c r="AX743" s="58"/>
      <c r="AY743" s="58"/>
      <c r="AZ743" s="58"/>
      <c r="BA743" s="58"/>
    </row>
    <row r="744" spans="1:53" ht="12.75" customHeight="1" x14ac:dyDescent="0.2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  <c r="AL744" s="58"/>
      <c r="AM744" s="58"/>
      <c r="AN744" s="58"/>
      <c r="AO744" s="58"/>
      <c r="AP744" s="58"/>
      <c r="AQ744" s="58"/>
      <c r="AR744" s="58"/>
      <c r="AS744" s="58"/>
      <c r="AT744" s="58"/>
      <c r="AU744" s="58"/>
      <c r="AV744" s="58"/>
      <c r="AW744" s="58"/>
      <c r="AX744" s="58"/>
      <c r="AY744" s="58"/>
      <c r="AZ744" s="58"/>
      <c r="BA744" s="58"/>
    </row>
    <row r="745" spans="1:53" ht="12.75" customHeight="1" x14ac:dyDescent="0.2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  <c r="AL745" s="58"/>
      <c r="AM745" s="58"/>
      <c r="AN745" s="58"/>
      <c r="AO745" s="58"/>
      <c r="AP745" s="58"/>
      <c r="AQ745" s="58"/>
      <c r="AR745" s="58"/>
      <c r="AS745" s="58"/>
      <c r="AT745" s="58"/>
      <c r="AU745" s="58"/>
      <c r="AV745" s="58"/>
      <c r="AW745" s="58"/>
      <c r="AX745" s="58"/>
      <c r="AY745" s="58"/>
      <c r="AZ745" s="58"/>
      <c r="BA745" s="58"/>
    </row>
    <row r="746" spans="1:53" ht="12.75" customHeight="1" x14ac:dyDescent="0.2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  <c r="AL746" s="58"/>
      <c r="AM746" s="58"/>
      <c r="AN746" s="58"/>
      <c r="AO746" s="58"/>
      <c r="AP746" s="58"/>
      <c r="AQ746" s="58"/>
      <c r="AR746" s="58"/>
      <c r="AS746" s="58"/>
      <c r="AT746" s="58"/>
      <c r="AU746" s="58"/>
      <c r="AV746" s="58"/>
      <c r="AW746" s="58"/>
      <c r="AX746" s="58"/>
      <c r="AY746" s="58"/>
      <c r="AZ746" s="58"/>
      <c r="BA746" s="58"/>
    </row>
    <row r="747" spans="1:53" ht="12.75" customHeight="1" x14ac:dyDescent="0.2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  <c r="AL747" s="58"/>
      <c r="AM747" s="58"/>
      <c r="AN747" s="58"/>
      <c r="AO747" s="58"/>
      <c r="AP747" s="58"/>
      <c r="AQ747" s="58"/>
      <c r="AR747" s="58"/>
      <c r="AS747" s="58"/>
      <c r="AT747" s="58"/>
      <c r="AU747" s="58"/>
      <c r="AV747" s="58"/>
      <c r="AW747" s="58"/>
      <c r="AX747" s="58"/>
      <c r="AY747" s="58"/>
      <c r="AZ747" s="58"/>
      <c r="BA747" s="58"/>
    </row>
    <row r="748" spans="1:53" ht="12.75" customHeight="1" x14ac:dyDescent="0.2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  <c r="AL748" s="58"/>
      <c r="AM748" s="58"/>
      <c r="AN748" s="58"/>
      <c r="AO748" s="58"/>
      <c r="AP748" s="58"/>
      <c r="AQ748" s="58"/>
      <c r="AR748" s="58"/>
      <c r="AS748" s="58"/>
      <c r="AT748" s="58"/>
      <c r="AU748" s="58"/>
      <c r="AV748" s="58"/>
      <c r="AW748" s="58"/>
      <c r="AX748" s="58"/>
      <c r="AY748" s="58"/>
      <c r="AZ748" s="58"/>
      <c r="BA748" s="58"/>
    </row>
    <row r="749" spans="1:53" ht="12.75" customHeight="1" x14ac:dyDescent="0.2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  <c r="AL749" s="58"/>
      <c r="AM749" s="58"/>
      <c r="AN749" s="58"/>
      <c r="AO749" s="58"/>
      <c r="AP749" s="58"/>
      <c r="AQ749" s="58"/>
      <c r="AR749" s="58"/>
      <c r="AS749" s="58"/>
      <c r="AT749" s="58"/>
      <c r="AU749" s="58"/>
      <c r="AV749" s="58"/>
      <c r="AW749" s="58"/>
      <c r="AX749" s="58"/>
      <c r="AY749" s="58"/>
      <c r="AZ749" s="58"/>
      <c r="BA749" s="58"/>
    </row>
    <row r="750" spans="1:53" ht="12.75" customHeight="1" x14ac:dyDescent="0.2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  <c r="AL750" s="58"/>
      <c r="AM750" s="58"/>
      <c r="AN750" s="58"/>
      <c r="AO750" s="58"/>
      <c r="AP750" s="58"/>
      <c r="AQ750" s="58"/>
      <c r="AR750" s="58"/>
      <c r="AS750" s="58"/>
      <c r="AT750" s="58"/>
      <c r="AU750" s="58"/>
      <c r="AV750" s="58"/>
      <c r="AW750" s="58"/>
      <c r="AX750" s="58"/>
      <c r="AY750" s="58"/>
      <c r="AZ750" s="58"/>
      <c r="BA750" s="58"/>
    </row>
    <row r="751" spans="1:53" ht="12.75" customHeight="1" x14ac:dyDescent="0.2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  <c r="AL751" s="58"/>
      <c r="AM751" s="58"/>
      <c r="AN751" s="58"/>
      <c r="AO751" s="58"/>
      <c r="AP751" s="58"/>
      <c r="AQ751" s="58"/>
      <c r="AR751" s="58"/>
      <c r="AS751" s="58"/>
      <c r="AT751" s="58"/>
      <c r="AU751" s="58"/>
      <c r="AV751" s="58"/>
      <c r="AW751" s="58"/>
      <c r="AX751" s="58"/>
      <c r="AY751" s="58"/>
      <c r="AZ751" s="58"/>
      <c r="BA751" s="58"/>
    </row>
    <row r="752" spans="1:53" ht="12.75" customHeight="1" x14ac:dyDescent="0.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  <c r="AL752" s="58"/>
      <c r="AM752" s="58"/>
      <c r="AN752" s="58"/>
      <c r="AO752" s="58"/>
      <c r="AP752" s="58"/>
      <c r="AQ752" s="58"/>
      <c r="AR752" s="58"/>
      <c r="AS752" s="58"/>
      <c r="AT752" s="58"/>
      <c r="AU752" s="58"/>
      <c r="AV752" s="58"/>
      <c r="AW752" s="58"/>
      <c r="AX752" s="58"/>
      <c r="AY752" s="58"/>
      <c r="AZ752" s="58"/>
      <c r="BA752" s="58"/>
    </row>
    <row r="753" spans="1:53" ht="12.75" customHeight="1" x14ac:dyDescent="0.2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  <c r="AL753" s="58"/>
      <c r="AM753" s="58"/>
      <c r="AN753" s="58"/>
      <c r="AO753" s="58"/>
      <c r="AP753" s="58"/>
      <c r="AQ753" s="58"/>
      <c r="AR753" s="58"/>
      <c r="AS753" s="58"/>
      <c r="AT753" s="58"/>
      <c r="AU753" s="58"/>
      <c r="AV753" s="58"/>
      <c r="AW753" s="58"/>
      <c r="AX753" s="58"/>
      <c r="AY753" s="58"/>
      <c r="AZ753" s="58"/>
      <c r="BA753" s="58"/>
    </row>
    <row r="754" spans="1:53" ht="12.75" customHeight="1" x14ac:dyDescent="0.2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  <c r="AL754" s="58"/>
      <c r="AM754" s="58"/>
      <c r="AN754" s="58"/>
      <c r="AO754" s="58"/>
      <c r="AP754" s="58"/>
      <c r="AQ754" s="58"/>
      <c r="AR754" s="58"/>
      <c r="AS754" s="58"/>
      <c r="AT754" s="58"/>
      <c r="AU754" s="58"/>
      <c r="AV754" s="58"/>
      <c r="AW754" s="58"/>
      <c r="AX754" s="58"/>
      <c r="AY754" s="58"/>
      <c r="AZ754" s="58"/>
      <c r="BA754" s="58"/>
    </row>
    <row r="755" spans="1:53" ht="12.75" customHeight="1" x14ac:dyDescent="0.2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  <c r="AL755" s="58"/>
      <c r="AM755" s="58"/>
      <c r="AN755" s="58"/>
      <c r="AO755" s="58"/>
      <c r="AP755" s="58"/>
      <c r="AQ755" s="58"/>
      <c r="AR755" s="58"/>
      <c r="AS755" s="58"/>
      <c r="AT755" s="58"/>
      <c r="AU755" s="58"/>
      <c r="AV755" s="58"/>
      <c r="AW755" s="58"/>
      <c r="AX755" s="58"/>
      <c r="AY755" s="58"/>
      <c r="AZ755" s="58"/>
      <c r="BA755" s="58"/>
    </row>
    <row r="756" spans="1:53" ht="12.75" customHeight="1" x14ac:dyDescent="0.2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  <c r="AL756" s="58"/>
      <c r="AM756" s="58"/>
      <c r="AN756" s="58"/>
      <c r="AO756" s="58"/>
      <c r="AP756" s="58"/>
      <c r="AQ756" s="58"/>
      <c r="AR756" s="58"/>
      <c r="AS756" s="58"/>
      <c r="AT756" s="58"/>
      <c r="AU756" s="58"/>
      <c r="AV756" s="58"/>
      <c r="AW756" s="58"/>
      <c r="AX756" s="58"/>
      <c r="AY756" s="58"/>
      <c r="AZ756" s="58"/>
      <c r="BA756" s="58"/>
    </row>
    <row r="757" spans="1:53" ht="12.75" customHeight="1" x14ac:dyDescent="0.2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  <c r="AL757" s="58"/>
      <c r="AM757" s="58"/>
      <c r="AN757" s="58"/>
      <c r="AO757" s="58"/>
      <c r="AP757" s="58"/>
      <c r="AQ757" s="58"/>
      <c r="AR757" s="58"/>
      <c r="AS757" s="58"/>
      <c r="AT757" s="58"/>
      <c r="AU757" s="58"/>
      <c r="AV757" s="58"/>
      <c r="AW757" s="58"/>
      <c r="AX757" s="58"/>
      <c r="AY757" s="58"/>
      <c r="AZ757" s="58"/>
      <c r="BA757" s="58"/>
    </row>
    <row r="758" spans="1:53" ht="12.75" customHeight="1" x14ac:dyDescent="0.2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  <c r="AL758" s="58"/>
      <c r="AM758" s="58"/>
      <c r="AN758" s="58"/>
      <c r="AO758" s="58"/>
      <c r="AP758" s="58"/>
      <c r="AQ758" s="58"/>
      <c r="AR758" s="58"/>
      <c r="AS758" s="58"/>
      <c r="AT758" s="58"/>
      <c r="AU758" s="58"/>
      <c r="AV758" s="58"/>
      <c r="AW758" s="58"/>
      <c r="AX758" s="58"/>
      <c r="AY758" s="58"/>
      <c r="AZ758" s="58"/>
      <c r="BA758" s="58"/>
    </row>
    <row r="759" spans="1:53" ht="12.75" customHeight="1" x14ac:dyDescent="0.2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  <c r="AL759" s="58"/>
      <c r="AM759" s="58"/>
      <c r="AN759" s="58"/>
      <c r="AO759" s="58"/>
      <c r="AP759" s="58"/>
      <c r="AQ759" s="58"/>
      <c r="AR759" s="58"/>
      <c r="AS759" s="58"/>
      <c r="AT759" s="58"/>
      <c r="AU759" s="58"/>
      <c r="AV759" s="58"/>
      <c r="AW759" s="58"/>
      <c r="AX759" s="58"/>
      <c r="AY759" s="58"/>
      <c r="AZ759" s="58"/>
      <c r="BA759" s="58"/>
    </row>
    <row r="760" spans="1:53" ht="12.75" customHeight="1" x14ac:dyDescent="0.2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  <c r="AL760" s="58"/>
      <c r="AM760" s="58"/>
      <c r="AN760" s="58"/>
      <c r="AO760" s="58"/>
      <c r="AP760" s="58"/>
      <c r="AQ760" s="58"/>
      <c r="AR760" s="58"/>
      <c r="AS760" s="58"/>
      <c r="AT760" s="58"/>
      <c r="AU760" s="58"/>
      <c r="AV760" s="58"/>
      <c r="AW760" s="58"/>
      <c r="AX760" s="58"/>
      <c r="AY760" s="58"/>
      <c r="AZ760" s="58"/>
      <c r="BA760" s="58"/>
    </row>
    <row r="761" spans="1:53" ht="12.75" customHeight="1" x14ac:dyDescent="0.2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  <c r="AL761" s="58"/>
      <c r="AM761" s="58"/>
      <c r="AN761" s="58"/>
      <c r="AO761" s="58"/>
      <c r="AP761" s="58"/>
      <c r="AQ761" s="58"/>
      <c r="AR761" s="58"/>
      <c r="AS761" s="58"/>
      <c r="AT761" s="58"/>
      <c r="AU761" s="58"/>
      <c r="AV761" s="58"/>
      <c r="AW761" s="58"/>
      <c r="AX761" s="58"/>
      <c r="AY761" s="58"/>
      <c r="AZ761" s="58"/>
      <c r="BA761" s="58"/>
    </row>
    <row r="762" spans="1:53" ht="12.75" customHeight="1" x14ac:dyDescent="0.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  <c r="AL762" s="58"/>
      <c r="AM762" s="58"/>
      <c r="AN762" s="58"/>
      <c r="AO762" s="58"/>
      <c r="AP762" s="58"/>
      <c r="AQ762" s="58"/>
      <c r="AR762" s="58"/>
      <c r="AS762" s="58"/>
      <c r="AT762" s="58"/>
      <c r="AU762" s="58"/>
      <c r="AV762" s="58"/>
      <c r="AW762" s="58"/>
      <c r="AX762" s="58"/>
      <c r="AY762" s="58"/>
      <c r="AZ762" s="58"/>
      <c r="BA762" s="58"/>
    </row>
    <row r="763" spans="1:53" ht="12.75" customHeight="1" x14ac:dyDescent="0.2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  <c r="AL763" s="58"/>
      <c r="AM763" s="58"/>
      <c r="AN763" s="58"/>
      <c r="AO763" s="58"/>
      <c r="AP763" s="58"/>
      <c r="AQ763" s="58"/>
      <c r="AR763" s="58"/>
      <c r="AS763" s="58"/>
      <c r="AT763" s="58"/>
      <c r="AU763" s="58"/>
      <c r="AV763" s="58"/>
      <c r="AW763" s="58"/>
      <c r="AX763" s="58"/>
      <c r="AY763" s="58"/>
      <c r="AZ763" s="58"/>
      <c r="BA763" s="58"/>
    </row>
    <row r="764" spans="1:53" ht="12.75" customHeight="1" x14ac:dyDescent="0.2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  <c r="AL764" s="58"/>
      <c r="AM764" s="58"/>
      <c r="AN764" s="58"/>
      <c r="AO764" s="58"/>
      <c r="AP764" s="58"/>
      <c r="AQ764" s="58"/>
      <c r="AR764" s="58"/>
      <c r="AS764" s="58"/>
      <c r="AT764" s="58"/>
      <c r="AU764" s="58"/>
      <c r="AV764" s="58"/>
      <c r="AW764" s="58"/>
      <c r="AX764" s="58"/>
      <c r="AY764" s="58"/>
      <c r="AZ764" s="58"/>
      <c r="BA764" s="58"/>
    </row>
    <row r="765" spans="1:53" ht="12.75" customHeight="1" x14ac:dyDescent="0.2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  <c r="AL765" s="58"/>
      <c r="AM765" s="58"/>
      <c r="AN765" s="58"/>
      <c r="AO765" s="58"/>
      <c r="AP765" s="58"/>
      <c r="AQ765" s="58"/>
      <c r="AR765" s="58"/>
      <c r="AS765" s="58"/>
      <c r="AT765" s="58"/>
      <c r="AU765" s="58"/>
      <c r="AV765" s="58"/>
      <c r="AW765" s="58"/>
      <c r="AX765" s="58"/>
      <c r="AY765" s="58"/>
      <c r="AZ765" s="58"/>
      <c r="BA765" s="58"/>
    </row>
    <row r="766" spans="1:53" ht="12.75" customHeight="1" x14ac:dyDescent="0.2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/>
      <c r="AX766" s="58"/>
      <c r="AY766" s="58"/>
      <c r="AZ766" s="58"/>
      <c r="BA766" s="58"/>
    </row>
    <row r="767" spans="1:53" ht="12.75" customHeight="1" x14ac:dyDescent="0.2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</row>
    <row r="768" spans="1:53" ht="12.75" customHeight="1" x14ac:dyDescent="0.2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  <c r="AL768" s="58"/>
      <c r="AM768" s="58"/>
      <c r="AN768" s="58"/>
      <c r="AO768" s="58"/>
      <c r="AP768" s="58"/>
      <c r="AQ768" s="58"/>
      <c r="AR768" s="58"/>
      <c r="AS768" s="58"/>
      <c r="AT768" s="58"/>
      <c r="AU768" s="58"/>
      <c r="AV768" s="58"/>
      <c r="AW768" s="58"/>
      <c r="AX768" s="58"/>
      <c r="AY768" s="58"/>
      <c r="AZ768" s="58"/>
      <c r="BA768" s="58"/>
    </row>
    <row r="769" spans="1:53" ht="12.75" customHeight="1" x14ac:dyDescent="0.2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  <c r="AL769" s="58"/>
      <c r="AM769" s="58"/>
      <c r="AN769" s="58"/>
      <c r="AO769" s="58"/>
      <c r="AP769" s="58"/>
      <c r="AQ769" s="58"/>
      <c r="AR769" s="58"/>
      <c r="AS769" s="58"/>
      <c r="AT769" s="58"/>
      <c r="AU769" s="58"/>
      <c r="AV769" s="58"/>
      <c r="AW769" s="58"/>
      <c r="AX769" s="58"/>
      <c r="AY769" s="58"/>
      <c r="AZ769" s="58"/>
      <c r="BA769" s="58"/>
    </row>
    <row r="770" spans="1:53" ht="12.75" customHeight="1" x14ac:dyDescent="0.2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</row>
    <row r="771" spans="1:53" ht="12.75" customHeight="1" x14ac:dyDescent="0.2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</row>
    <row r="772" spans="1:53" ht="12.75" customHeight="1" x14ac:dyDescent="0.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</row>
    <row r="773" spans="1:53" ht="12.75" customHeight="1" x14ac:dyDescent="0.2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</row>
    <row r="774" spans="1:53" ht="12.75" customHeight="1" x14ac:dyDescent="0.2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</row>
    <row r="775" spans="1:53" ht="12.75" customHeight="1" x14ac:dyDescent="0.2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</row>
    <row r="776" spans="1:53" ht="12.75" customHeight="1" x14ac:dyDescent="0.2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</row>
    <row r="777" spans="1:53" ht="12.75" customHeight="1" x14ac:dyDescent="0.2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</row>
    <row r="778" spans="1:53" ht="12.75" customHeight="1" x14ac:dyDescent="0.2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</row>
    <row r="779" spans="1:53" ht="12.75" customHeight="1" x14ac:dyDescent="0.2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</row>
    <row r="780" spans="1:53" ht="12.75" customHeight="1" x14ac:dyDescent="0.2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  <c r="AL780" s="58"/>
      <c r="AM780" s="58"/>
      <c r="AN780" s="58"/>
      <c r="AO780" s="58"/>
      <c r="AP780" s="58"/>
      <c r="AQ780" s="58"/>
      <c r="AR780" s="58"/>
      <c r="AS780" s="58"/>
      <c r="AT780" s="58"/>
      <c r="AU780" s="58"/>
      <c r="AV780" s="58"/>
      <c r="AW780" s="58"/>
      <c r="AX780" s="58"/>
      <c r="AY780" s="58"/>
      <c r="AZ780" s="58"/>
      <c r="BA780" s="58"/>
    </row>
    <row r="781" spans="1:53" ht="12.75" customHeight="1" x14ac:dyDescent="0.2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  <c r="AL781" s="58"/>
      <c r="AM781" s="58"/>
      <c r="AN781" s="58"/>
      <c r="AO781" s="58"/>
      <c r="AP781" s="58"/>
      <c r="AQ781" s="58"/>
      <c r="AR781" s="58"/>
      <c r="AS781" s="58"/>
      <c r="AT781" s="58"/>
      <c r="AU781" s="58"/>
      <c r="AV781" s="58"/>
      <c r="AW781" s="58"/>
      <c r="AX781" s="58"/>
      <c r="AY781" s="58"/>
      <c r="AZ781" s="58"/>
      <c r="BA781" s="58"/>
    </row>
    <row r="782" spans="1:53" ht="12.75" customHeight="1" x14ac:dyDescent="0.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  <c r="AL782" s="58"/>
      <c r="AM782" s="58"/>
      <c r="AN782" s="58"/>
      <c r="AO782" s="58"/>
      <c r="AP782" s="58"/>
      <c r="AQ782" s="58"/>
      <c r="AR782" s="58"/>
      <c r="AS782" s="58"/>
      <c r="AT782" s="58"/>
      <c r="AU782" s="58"/>
      <c r="AV782" s="58"/>
      <c r="AW782" s="58"/>
      <c r="AX782" s="58"/>
      <c r="AY782" s="58"/>
      <c r="AZ782" s="58"/>
      <c r="BA782" s="58"/>
    </row>
    <row r="783" spans="1:53" ht="12.75" customHeight="1" x14ac:dyDescent="0.2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  <c r="AL783" s="58"/>
      <c r="AM783" s="58"/>
      <c r="AN783" s="58"/>
      <c r="AO783" s="58"/>
      <c r="AP783" s="58"/>
      <c r="AQ783" s="58"/>
      <c r="AR783" s="58"/>
      <c r="AS783" s="58"/>
      <c r="AT783" s="58"/>
      <c r="AU783" s="58"/>
      <c r="AV783" s="58"/>
      <c r="AW783" s="58"/>
      <c r="AX783" s="58"/>
      <c r="AY783" s="58"/>
      <c r="AZ783" s="58"/>
      <c r="BA783" s="58"/>
    </row>
    <row r="784" spans="1:53" ht="12.75" customHeight="1" x14ac:dyDescent="0.2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  <c r="AL784" s="58"/>
      <c r="AM784" s="58"/>
      <c r="AN784" s="58"/>
      <c r="AO784" s="58"/>
      <c r="AP784" s="58"/>
      <c r="AQ784" s="58"/>
      <c r="AR784" s="58"/>
      <c r="AS784" s="58"/>
      <c r="AT784" s="58"/>
      <c r="AU784" s="58"/>
      <c r="AV784" s="58"/>
      <c r="AW784" s="58"/>
      <c r="AX784" s="58"/>
      <c r="AY784" s="58"/>
      <c r="AZ784" s="58"/>
      <c r="BA784" s="58"/>
    </row>
    <row r="785" spans="1:53" ht="12.75" customHeight="1" x14ac:dyDescent="0.2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  <c r="AL785" s="58"/>
      <c r="AM785" s="58"/>
      <c r="AN785" s="58"/>
      <c r="AO785" s="58"/>
      <c r="AP785" s="58"/>
      <c r="AQ785" s="58"/>
      <c r="AR785" s="58"/>
      <c r="AS785" s="58"/>
      <c r="AT785" s="58"/>
      <c r="AU785" s="58"/>
      <c r="AV785" s="58"/>
      <c r="AW785" s="58"/>
      <c r="AX785" s="58"/>
      <c r="AY785" s="58"/>
      <c r="AZ785" s="58"/>
      <c r="BA785" s="58"/>
    </row>
    <row r="786" spans="1:53" ht="12.75" customHeight="1" x14ac:dyDescent="0.2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  <c r="AL786" s="58"/>
      <c r="AM786" s="58"/>
      <c r="AN786" s="58"/>
      <c r="AO786" s="58"/>
      <c r="AP786" s="58"/>
      <c r="AQ786" s="58"/>
      <c r="AR786" s="58"/>
      <c r="AS786" s="58"/>
      <c r="AT786" s="58"/>
      <c r="AU786" s="58"/>
      <c r="AV786" s="58"/>
      <c r="AW786" s="58"/>
      <c r="AX786" s="58"/>
      <c r="AY786" s="58"/>
      <c r="AZ786" s="58"/>
      <c r="BA786" s="58"/>
    </row>
    <row r="787" spans="1:53" ht="12.75" customHeight="1" x14ac:dyDescent="0.2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  <c r="AL787" s="58"/>
      <c r="AM787" s="58"/>
      <c r="AN787" s="58"/>
      <c r="AO787" s="58"/>
      <c r="AP787" s="58"/>
      <c r="AQ787" s="58"/>
      <c r="AR787" s="58"/>
      <c r="AS787" s="58"/>
      <c r="AT787" s="58"/>
      <c r="AU787" s="58"/>
      <c r="AV787" s="58"/>
      <c r="AW787" s="58"/>
      <c r="AX787" s="58"/>
      <c r="AY787" s="58"/>
      <c r="AZ787" s="58"/>
      <c r="BA787" s="58"/>
    </row>
    <row r="788" spans="1:53" ht="12.75" customHeight="1" x14ac:dyDescent="0.2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  <c r="AL788" s="58"/>
      <c r="AM788" s="58"/>
      <c r="AN788" s="58"/>
      <c r="AO788" s="58"/>
      <c r="AP788" s="58"/>
      <c r="AQ788" s="58"/>
      <c r="AR788" s="58"/>
      <c r="AS788" s="58"/>
      <c r="AT788" s="58"/>
      <c r="AU788" s="58"/>
      <c r="AV788" s="58"/>
      <c r="AW788" s="58"/>
      <c r="AX788" s="58"/>
      <c r="AY788" s="58"/>
      <c r="AZ788" s="58"/>
      <c r="BA788" s="58"/>
    </row>
    <row r="789" spans="1:53" ht="12.75" customHeight="1" x14ac:dyDescent="0.2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  <c r="AL789" s="58"/>
      <c r="AM789" s="58"/>
      <c r="AN789" s="58"/>
      <c r="AO789" s="58"/>
      <c r="AP789" s="58"/>
      <c r="AQ789" s="58"/>
      <c r="AR789" s="58"/>
      <c r="AS789" s="58"/>
      <c r="AT789" s="58"/>
      <c r="AU789" s="58"/>
      <c r="AV789" s="58"/>
      <c r="AW789" s="58"/>
      <c r="AX789" s="58"/>
      <c r="AY789" s="58"/>
      <c r="AZ789" s="58"/>
      <c r="BA789" s="58"/>
    </row>
    <row r="790" spans="1:53" ht="12.75" customHeight="1" x14ac:dyDescent="0.2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  <c r="AL790" s="58"/>
      <c r="AM790" s="58"/>
      <c r="AN790" s="58"/>
      <c r="AO790" s="58"/>
      <c r="AP790" s="58"/>
      <c r="AQ790" s="58"/>
      <c r="AR790" s="58"/>
      <c r="AS790" s="58"/>
      <c r="AT790" s="58"/>
      <c r="AU790" s="58"/>
      <c r="AV790" s="58"/>
      <c r="AW790" s="58"/>
      <c r="AX790" s="58"/>
      <c r="AY790" s="58"/>
      <c r="AZ790" s="58"/>
      <c r="BA790" s="58"/>
    </row>
    <row r="791" spans="1:53" ht="12.75" customHeight="1" x14ac:dyDescent="0.2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  <c r="AL791" s="58"/>
      <c r="AM791" s="58"/>
      <c r="AN791" s="58"/>
      <c r="AO791" s="58"/>
      <c r="AP791" s="58"/>
      <c r="AQ791" s="58"/>
      <c r="AR791" s="58"/>
      <c r="AS791" s="58"/>
      <c r="AT791" s="58"/>
      <c r="AU791" s="58"/>
      <c r="AV791" s="58"/>
      <c r="AW791" s="58"/>
      <c r="AX791" s="58"/>
      <c r="AY791" s="58"/>
      <c r="AZ791" s="58"/>
      <c r="BA791" s="58"/>
    </row>
    <row r="792" spans="1:53" ht="12.75" customHeight="1" x14ac:dyDescent="0.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  <c r="AL792" s="58"/>
      <c r="AM792" s="58"/>
      <c r="AN792" s="58"/>
      <c r="AO792" s="58"/>
      <c r="AP792" s="58"/>
      <c r="AQ792" s="58"/>
      <c r="AR792" s="58"/>
      <c r="AS792" s="58"/>
      <c r="AT792" s="58"/>
      <c r="AU792" s="58"/>
      <c r="AV792" s="58"/>
      <c r="AW792" s="58"/>
      <c r="AX792" s="58"/>
      <c r="AY792" s="58"/>
      <c r="AZ792" s="58"/>
      <c r="BA792" s="58"/>
    </row>
    <row r="793" spans="1:53" ht="12.75" customHeight="1" x14ac:dyDescent="0.2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  <c r="AL793" s="58"/>
      <c r="AM793" s="58"/>
      <c r="AN793" s="58"/>
      <c r="AO793" s="58"/>
      <c r="AP793" s="58"/>
      <c r="AQ793" s="58"/>
      <c r="AR793" s="58"/>
      <c r="AS793" s="58"/>
      <c r="AT793" s="58"/>
      <c r="AU793" s="58"/>
      <c r="AV793" s="58"/>
      <c r="AW793" s="58"/>
      <c r="AX793" s="58"/>
      <c r="AY793" s="58"/>
      <c r="AZ793" s="58"/>
      <c r="BA793" s="58"/>
    </row>
    <row r="794" spans="1:53" ht="12.75" customHeight="1" x14ac:dyDescent="0.2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  <c r="AL794" s="58"/>
      <c r="AM794" s="58"/>
      <c r="AN794" s="58"/>
      <c r="AO794" s="58"/>
      <c r="AP794" s="58"/>
      <c r="AQ794" s="58"/>
      <c r="AR794" s="58"/>
      <c r="AS794" s="58"/>
      <c r="AT794" s="58"/>
      <c r="AU794" s="58"/>
      <c r="AV794" s="58"/>
      <c r="AW794" s="58"/>
      <c r="AX794" s="58"/>
      <c r="AY794" s="58"/>
      <c r="AZ794" s="58"/>
      <c r="BA794" s="58"/>
    </row>
    <row r="795" spans="1:53" ht="12.75" customHeight="1" x14ac:dyDescent="0.2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  <c r="AL795" s="58"/>
      <c r="AM795" s="58"/>
      <c r="AN795" s="58"/>
      <c r="AO795" s="58"/>
      <c r="AP795" s="58"/>
      <c r="AQ795" s="58"/>
      <c r="AR795" s="58"/>
      <c r="AS795" s="58"/>
      <c r="AT795" s="58"/>
      <c r="AU795" s="58"/>
      <c r="AV795" s="58"/>
      <c r="AW795" s="58"/>
      <c r="AX795" s="58"/>
      <c r="AY795" s="58"/>
      <c r="AZ795" s="58"/>
      <c r="BA795" s="58"/>
    </row>
    <row r="796" spans="1:53" ht="12.75" customHeight="1" x14ac:dyDescent="0.2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  <c r="AL796" s="58"/>
      <c r="AM796" s="58"/>
      <c r="AN796" s="58"/>
      <c r="AO796" s="58"/>
      <c r="AP796" s="58"/>
      <c r="AQ796" s="58"/>
      <c r="AR796" s="58"/>
      <c r="AS796" s="58"/>
      <c r="AT796" s="58"/>
      <c r="AU796" s="58"/>
      <c r="AV796" s="58"/>
      <c r="AW796" s="58"/>
      <c r="AX796" s="58"/>
      <c r="AY796" s="58"/>
      <c r="AZ796" s="58"/>
      <c r="BA796" s="58"/>
    </row>
    <row r="797" spans="1:53" ht="12.75" customHeight="1" x14ac:dyDescent="0.2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  <c r="AL797" s="58"/>
      <c r="AM797" s="58"/>
      <c r="AN797" s="58"/>
      <c r="AO797" s="58"/>
      <c r="AP797" s="58"/>
      <c r="AQ797" s="58"/>
      <c r="AR797" s="58"/>
      <c r="AS797" s="58"/>
      <c r="AT797" s="58"/>
      <c r="AU797" s="58"/>
      <c r="AV797" s="58"/>
      <c r="AW797" s="58"/>
      <c r="AX797" s="58"/>
      <c r="AY797" s="58"/>
      <c r="AZ797" s="58"/>
      <c r="BA797" s="58"/>
    </row>
    <row r="798" spans="1:53" ht="12.75" customHeight="1" x14ac:dyDescent="0.2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  <c r="AL798" s="58"/>
      <c r="AM798" s="58"/>
      <c r="AN798" s="58"/>
      <c r="AO798" s="58"/>
      <c r="AP798" s="58"/>
      <c r="AQ798" s="58"/>
      <c r="AR798" s="58"/>
      <c r="AS798" s="58"/>
      <c r="AT798" s="58"/>
      <c r="AU798" s="58"/>
      <c r="AV798" s="58"/>
      <c r="AW798" s="58"/>
      <c r="AX798" s="58"/>
      <c r="AY798" s="58"/>
      <c r="AZ798" s="58"/>
      <c r="BA798" s="58"/>
    </row>
    <row r="799" spans="1:53" ht="12.75" customHeight="1" x14ac:dyDescent="0.2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  <c r="AL799" s="58"/>
      <c r="AM799" s="58"/>
      <c r="AN799" s="58"/>
      <c r="AO799" s="58"/>
      <c r="AP799" s="58"/>
      <c r="AQ799" s="58"/>
      <c r="AR799" s="58"/>
      <c r="AS799" s="58"/>
      <c r="AT799" s="58"/>
      <c r="AU799" s="58"/>
      <c r="AV799" s="58"/>
      <c r="AW799" s="58"/>
      <c r="AX799" s="58"/>
      <c r="AY799" s="58"/>
      <c r="AZ799" s="58"/>
      <c r="BA799" s="58"/>
    </row>
    <row r="800" spans="1:53" ht="12.75" customHeight="1" x14ac:dyDescent="0.2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  <c r="AL800" s="58"/>
      <c r="AM800" s="58"/>
      <c r="AN800" s="58"/>
      <c r="AO800" s="58"/>
      <c r="AP800" s="58"/>
      <c r="AQ800" s="58"/>
      <c r="AR800" s="58"/>
      <c r="AS800" s="58"/>
      <c r="AT800" s="58"/>
      <c r="AU800" s="58"/>
      <c r="AV800" s="58"/>
      <c r="AW800" s="58"/>
      <c r="AX800" s="58"/>
      <c r="AY800" s="58"/>
      <c r="AZ800" s="58"/>
      <c r="BA800" s="58"/>
    </row>
    <row r="801" spans="1:53" ht="12.75" customHeight="1" x14ac:dyDescent="0.2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  <c r="AL801" s="58"/>
      <c r="AM801" s="58"/>
      <c r="AN801" s="58"/>
      <c r="AO801" s="58"/>
      <c r="AP801" s="58"/>
      <c r="AQ801" s="58"/>
      <c r="AR801" s="58"/>
      <c r="AS801" s="58"/>
      <c r="AT801" s="58"/>
      <c r="AU801" s="58"/>
      <c r="AV801" s="58"/>
      <c r="AW801" s="58"/>
      <c r="AX801" s="58"/>
      <c r="AY801" s="58"/>
      <c r="AZ801" s="58"/>
      <c r="BA801" s="58"/>
    </row>
    <row r="802" spans="1:53" ht="12.75" customHeight="1" x14ac:dyDescent="0.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  <c r="AL802" s="58"/>
      <c r="AM802" s="58"/>
      <c r="AN802" s="58"/>
      <c r="AO802" s="58"/>
      <c r="AP802" s="58"/>
      <c r="AQ802" s="58"/>
      <c r="AR802" s="58"/>
      <c r="AS802" s="58"/>
      <c r="AT802" s="58"/>
      <c r="AU802" s="58"/>
      <c r="AV802" s="58"/>
      <c r="AW802" s="58"/>
      <c r="AX802" s="58"/>
      <c r="AY802" s="58"/>
      <c r="AZ802" s="58"/>
      <c r="BA802" s="58"/>
    </row>
    <row r="803" spans="1:53" ht="12.75" customHeight="1" x14ac:dyDescent="0.2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  <c r="AL803" s="58"/>
      <c r="AM803" s="58"/>
      <c r="AN803" s="58"/>
      <c r="AO803" s="58"/>
      <c r="AP803" s="58"/>
      <c r="AQ803" s="58"/>
      <c r="AR803" s="58"/>
      <c r="AS803" s="58"/>
      <c r="AT803" s="58"/>
      <c r="AU803" s="58"/>
      <c r="AV803" s="58"/>
      <c r="AW803" s="58"/>
      <c r="AX803" s="58"/>
      <c r="AY803" s="58"/>
      <c r="AZ803" s="58"/>
      <c r="BA803" s="58"/>
    </row>
    <row r="804" spans="1:53" ht="12.75" customHeight="1" x14ac:dyDescent="0.2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/>
      <c r="AX804" s="58"/>
      <c r="AY804" s="58"/>
      <c r="AZ804" s="58"/>
      <c r="BA804" s="58"/>
    </row>
    <row r="805" spans="1:53" ht="12.75" customHeight="1" x14ac:dyDescent="0.2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</row>
    <row r="806" spans="1:53" ht="12.75" customHeight="1" x14ac:dyDescent="0.2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  <c r="AL806" s="58"/>
      <c r="AM806" s="58"/>
      <c r="AN806" s="58"/>
      <c r="AO806" s="58"/>
      <c r="AP806" s="58"/>
      <c r="AQ806" s="58"/>
      <c r="AR806" s="58"/>
      <c r="AS806" s="58"/>
      <c r="AT806" s="58"/>
      <c r="AU806" s="58"/>
      <c r="AV806" s="58"/>
      <c r="AW806" s="58"/>
      <c r="AX806" s="58"/>
      <c r="AY806" s="58"/>
      <c r="AZ806" s="58"/>
      <c r="BA806" s="58"/>
    </row>
    <row r="807" spans="1:53" ht="12.75" customHeight="1" x14ac:dyDescent="0.2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  <c r="AL807" s="58"/>
      <c r="AM807" s="58"/>
      <c r="AN807" s="58"/>
      <c r="AO807" s="58"/>
      <c r="AP807" s="58"/>
      <c r="AQ807" s="58"/>
      <c r="AR807" s="58"/>
      <c r="AS807" s="58"/>
      <c r="AT807" s="58"/>
      <c r="AU807" s="58"/>
      <c r="AV807" s="58"/>
      <c r="AW807" s="58"/>
      <c r="AX807" s="58"/>
      <c r="AY807" s="58"/>
      <c r="AZ807" s="58"/>
      <c r="BA807" s="58"/>
    </row>
    <row r="808" spans="1:53" ht="12.75" customHeight="1" x14ac:dyDescent="0.2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</row>
    <row r="809" spans="1:53" ht="12.75" customHeight="1" x14ac:dyDescent="0.2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</row>
    <row r="810" spans="1:53" ht="12.75" customHeight="1" x14ac:dyDescent="0.2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</row>
    <row r="811" spans="1:53" ht="12.75" customHeight="1" x14ac:dyDescent="0.2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</row>
    <row r="812" spans="1:53" ht="12.75" customHeight="1" x14ac:dyDescent="0.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</row>
    <row r="813" spans="1:53" ht="12.75" customHeight="1" x14ac:dyDescent="0.2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</row>
    <row r="814" spans="1:53" ht="12.75" customHeight="1" x14ac:dyDescent="0.2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</row>
    <row r="815" spans="1:53" ht="12.75" customHeight="1" x14ac:dyDescent="0.2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</row>
    <row r="816" spans="1:53" ht="12.75" customHeight="1" x14ac:dyDescent="0.2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</row>
    <row r="817" spans="1:53" ht="12.75" customHeight="1" x14ac:dyDescent="0.2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</row>
    <row r="818" spans="1:53" ht="12.75" customHeight="1" x14ac:dyDescent="0.2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  <c r="AL818" s="58"/>
      <c r="AM818" s="58"/>
      <c r="AN818" s="58"/>
      <c r="AO818" s="58"/>
      <c r="AP818" s="58"/>
      <c r="AQ818" s="58"/>
      <c r="AR818" s="58"/>
      <c r="AS818" s="58"/>
      <c r="AT818" s="58"/>
      <c r="AU818" s="58"/>
      <c r="AV818" s="58"/>
      <c r="AW818" s="58"/>
      <c r="AX818" s="58"/>
      <c r="AY818" s="58"/>
      <c r="AZ818" s="58"/>
      <c r="BA818" s="58"/>
    </row>
    <row r="819" spans="1:53" ht="12.75" customHeight="1" x14ac:dyDescent="0.2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  <c r="AL819" s="58"/>
      <c r="AM819" s="58"/>
      <c r="AN819" s="58"/>
      <c r="AO819" s="58"/>
      <c r="AP819" s="58"/>
      <c r="AQ819" s="58"/>
      <c r="AR819" s="58"/>
      <c r="AS819" s="58"/>
      <c r="AT819" s="58"/>
      <c r="AU819" s="58"/>
      <c r="AV819" s="58"/>
      <c r="AW819" s="58"/>
      <c r="AX819" s="58"/>
      <c r="AY819" s="58"/>
      <c r="AZ819" s="58"/>
      <c r="BA819" s="58"/>
    </row>
    <row r="820" spans="1:53" ht="12.75" customHeight="1" x14ac:dyDescent="0.2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  <c r="AL820" s="58"/>
      <c r="AM820" s="58"/>
      <c r="AN820" s="58"/>
      <c r="AO820" s="58"/>
      <c r="AP820" s="58"/>
      <c r="AQ820" s="58"/>
      <c r="AR820" s="58"/>
      <c r="AS820" s="58"/>
      <c r="AT820" s="58"/>
      <c r="AU820" s="58"/>
      <c r="AV820" s="58"/>
      <c r="AW820" s="58"/>
      <c r="AX820" s="58"/>
      <c r="AY820" s="58"/>
      <c r="AZ820" s="58"/>
      <c r="BA820" s="58"/>
    </row>
    <row r="821" spans="1:53" ht="12.75" customHeight="1" x14ac:dyDescent="0.2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  <c r="AL821" s="58"/>
      <c r="AM821" s="58"/>
      <c r="AN821" s="58"/>
      <c r="AO821" s="58"/>
      <c r="AP821" s="58"/>
      <c r="AQ821" s="58"/>
      <c r="AR821" s="58"/>
      <c r="AS821" s="58"/>
      <c r="AT821" s="58"/>
      <c r="AU821" s="58"/>
      <c r="AV821" s="58"/>
      <c r="AW821" s="58"/>
      <c r="AX821" s="58"/>
      <c r="AY821" s="58"/>
      <c r="AZ821" s="58"/>
      <c r="BA821" s="58"/>
    </row>
    <row r="822" spans="1:53" ht="12.75" customHeight="1" x14ac:dyDescent="0.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  <c r="AL822" s="58"/>
      <c r="AM822" s="58"/>
      <c r="AN822" s="58"/>
      <c r="AO822" s="58"/>
      <c r="AP822" s="58"/>
      <c r="AQ822" s="58"/>
      <c r="AR822" s="58"/>
      <c r="AS822" s="58"/>
      <c r="AT822" s="58"/>
      <c r="AU822" s="58"/>
      <c r="AV822" s="58"/>
      <c r="AW822" s="58"/>
      <c r="AX822" s="58"/>
      <c r="AY822" s="58"/>
      <c r="AZ822" s="58"/>
      <c r="BA822" s="58"/>
    </row>
    <row r="823" spans="1:53" ht="12.75" customHeight="1" x14ac:dyDescent="0.2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  <c r="AL823" s="58"/>
      <c r="AM823" s="58"/>
      <c r="AN823" s="58"/>
      <c r="AO823" s="58"/>
      <c r="AP823" s="58"/>
      <c r="AQ823" s="58"/>
      <c r="AR823" s="58"/>
      <c r="AS823" s="58"/>
      <c r="AT823" s="58"/>
      <c r="AU823" s="58"/>
      <c r="AV823" s="58"/>
      <c r="AW823" s="58"/>
      <c r="AX823" s="58"/>
      <c r="AY823" s="58"/>
      <c r="AZ823" s="58"/>
      <c r="BA823" s="58"/>
    </row>
    <row r="824" spans="1:53" ht="12.75" customHeight="1" x14ac:dyDescent="0.2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  <c r="AL824" s="58"/>
      <c r="AM824" s="58"/>
      <c r="AN824" s="58"/>
      <c r="AO824" s="58"/>
      <c r="AP824" s="58"/>
      <c r="AQ824" s="58"/>
      <c r="AR824" s="58"/>
      <c r="AS824" s="58"/>
      <c r="AT824" s="58"/>
      <c r="AU824" s="58"/>
      <c r="AV824" s="58"/>
      <c r="AW824" s="58"/>
      <c r="AX824" s="58"/>
      <c r="AY824" s="58"/>
      <c r="AZ824" s="58"/>
      <c r="BA824" s="58"/>
    </row>
    <row r="825" spans="1:53" ht="12.75" customHeight="1" x14ac:dyDescent="0.2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  <c r="AL825" s="58"/>
      <c r="AM825" s="58"/>
      <c r="AN825" s="58"/>
      <c r="AO825" s="58"/>
      <c r="AP825" s="58"/>
      <c r="AQ825" s="58"/>
      <c r="AR825" s="58"/>
      <c r="AS825" s="58"/>
      <c r="AT825" s="58"/>
      <c r="AU825" s="58"/>
      <c r="AV825" s="58"/>
      <c r="AW825" s="58"/>
      <c r="AX825" s="58"/>
      <c r="AY825" s="58"/>
      <c r="AZ825" s="58"/>
      <c r="BA825" s="58"/>
    </row>
    <row r="826" spans="1:53" ht="12.75" customHeight="1" x14ac:dyDescent="0.2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  <c r="AL826" s="58"/>
      <c r="AM826" s="58"/>
      <c r="AN826" s="58"/>
      <c r="AO826" s="58"/>
      <c r="AP826" s="58"/>
      <c r="AQ826" s="58"/>
      <c r="AR826" s="58"/>
      <c r="AS826" s="58"/>
      <c r="AT826" s="58"/>
      <c r="AU826" s="58"/>
      <c r="AV826" s="58"/>
      <c r="AW826" s="58"/>
      <c r="AX826" s="58"/>
      <c r="AY826" s="58"/>
      <c r="AZ826" s="58"/>
      <c r="BA826" s="58"/>
    </row>
    <row r="827" spans="1:53" ht="12.75" customHeight="1" x14ac:dyDescent="0.2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  <c r="AL827" s="58"/>
      <c r="AM827" s="58"/>
      <c r="AN827" s="58"/>
      <c r="AO827" s="58"/>
      <c r="AP827" s="58"/>
      <c r="AQ827" s="58"/>
      <c r="AR827" s="58"/>
      <c r="AS827" s="58"/>
      <c r="AT827" s="58"/>
      <c r="AU827" s="58"/>
      <c r="AV827" s="58"/>
      <c r="AW827" s="58"/>
      <c r="AX827" s="58"/>
      <c r="AY827" s="58"/>
      <c r="AZ827" s="58"/>
      <c r="BA827" s="58"/>
    </row>
    <row r="828" spans="1:53" ht="12.75" customHeight="1" x14ac:dyDescent="0.2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  <c r="AL828" s="58"/>
      <c r="AM828" s="58"/>
      <c r="AN828" s="58"/>
      <c r="AO828" s="58"/>
      <c r="AP828" s="58"/>
      <c r="AQ828" s="58"/>
      <c r="AR828" s="58"/>
      <c r="AS828" s="58"/>
      <c r="AT828" s="58"/>
      <c r="AU828" s="58"/>
      <c r="AV828" s="58"/>
      <c r="AW828" s="58"/>
      <c r="AX828" s="58"/>
      <c r="AY828" s="58"/>
      <c r="AZ828" s="58"/>
      <c r="BA828" s="58"/>
    </row>
    <row r="829" spans="1:53" ht="12.75" customHeight="1" x14ac:dyDescent="0.2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  <c r="AL829" s="58"/>
      <c r="AM829" s="58"/>
      <c r="AN829" s="58"/>
      <c r="AO829" s="58"/>
      <c r="AP829" s="58"/>
      <c r="AQ829" s="58"/>
      <c r="AR829" s="58"/>
      <c r="AS829" s="58"/>
      <c r="AT829" s="58"/>
      <c r="AU829" s="58"/>
      <c r="AV829" s="58"/>
      <c r="AW829" s="58"/>
      <c r="AX829" s="58"/>
      <c r="AY829" s="58"/>
      <c r="AZ829" s="58"/>
      <c r="BA829" s="58"/>
    </row>
    <row r="830" spans="1:53" ht="12.75" customHeight="1" x14ac:dyDescent="0.2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  <c r="AL830" s="58"/>
      <c r="AM830" s="58"/>
      <c r="AN830" s="58"/>
      <c r="AO830" s="58"/>
      <c r="AP830" s="58"/>
      <c r="AQ830" s="58"/>
      <c r="AR830" s="58"/>
      <c r="AS830" s="58"/>
      <c r="AT830" s="58"/>
      <c r="AU830" s="58"/>
      <c r="AV830" s="58"/>
      <c r="AW830" s="58"/>
      <c r="AX830" s="58"/>
      <c r="AY830" s="58"/>
      <c r="AZ830" s="58"/>
      <c r="BA830" s="58"/>
    </row>
    <row r="831" spans="1:53" ht="12.75" customHeight="1" x14ac:dyDescent="0.2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  <c r="AL831" s="58"/>
      <c r="AM831" s="58"/>
      <c r="AN831" s="58"/>
      <c r="AO831" s="58"/>
      <c r="AP831" s="58"/>
      <c r="AQ831" s="58"/>
      <c r="AR831" s="58"/>
      <c r="AS831" s="58"/>
      <c r="AT831" s="58"/>
      <c r="AU831" s="58"/>
      <c r="AV831" s="58"/>
      <c r="AW831" s="58"/>
      <c r="AX831" s="58"/>
      <c r="AY831" s="58"/>
      <c r="AZ831" s="58"/>
      <c r="BA831" s="58"/>
    </row>
    <row r="832" spans="1:53" ht="12.75" customHeight="1" x14ac:dyDescent="0.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  <c r="AL832" s="58"/>
      <c r="AM832" s="58"/>
      <c r="AN832" s="58"/>
      <c r="AO832" s="58"/>
      <c r="AP832" s="58"/>
      <c r="AQ832" s="58"/>
      <c r="AR832" s="58"/>
      <c r="AS832" s="58"/>
      <c r="AT832" s="58"/>
      <c r="AU832" s="58"/>
      <c r="AV832" s="58"/>
      <c r="AW832" s="58"/>
      <c r="AX832" s="58"/>
      <c r="AY832" s="58"/>
      <c r="AZ832" s="58"/>
      <c r="BA832" s="58"/>
    </row>
    <row r="833" spans="1:53" ht="12.75" customHeight="1" x14ac:dyDescent="0.2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  <c r="AL833" s="58"/>
      <c r="AM833" s="58"/>
      <c r="AN833" s="58"/>
      <c r="AO833" s="58"/>
      <c r="AP833" s="58"/>
      <c r="AQ833" s="58"/>
      <c r="AR833" s="58"/>
      <c r="AS833" s="58"/>
      <c r="AT833" s="58"/>
      <c r="AU833" s="58"/>
      <c r="AV833" s="58"/>
      <c r="AW833" s="58"/>
      <c r="AX833" s="58"/>
      <c r="AY833" s="58"/>
      <c r="AZ833" s="58"/>
      <c r="BA833" s="58"/>
    </row>
    <row r="834" spans="1:53" ht="12.75" customHeight="1" x14ac:dyDescent="0.2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  <c r="AL834" s="58"/>
      <c r="AM834" s="58"/>
      <c r="AN834" s="58"/>
      <c r="AO834" s="58"/>
      <c r="AP834" s="58"/>
      <c r="AQ834" s="58"/>
      <c r="AR834" s="58"/>
      <c r="AS834" s="58"/>
      <c r="AT834" s="58"/>
      <c r="AU834" s="58"/>
      <c r="AV834" s="58"/>
      <c r="AW834" s="58"/>
      <c r="AX834" s="58"/>
      <c r="AY834" s="58"/>
      <c r="AZ834" s="58"/>
      <c r="BA834" s="58"/>
    </row>
    <row r="835" spans="1:53" ht="12.75" customHeight="1" x14ac:dyDescent="0.2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  <c r="AL835" s="58"/>
      <c r="AM835" s="58"/>
      <c r="AN835" s="58"/>
      <c r="AO835" s="58"/>
      <c r="AP835" s="58"/>
      <c r="AQ835" s="58"/>
      <c r="AR835" s="58"/>
      <c r="AS835" s="58"/>
      <c r="AT835" s="58"/>
      <c r="AU835" s="58"/>
      <c r="AV835" s="58"/>
      <c r="AW835" s="58"/>
      <c r="AX835" s="58"/>
      <c r="AY835" s="58"/>
      <c r="AZ835" s="58"/>
      <c r="BA835" s="58"/>
    </row>
    <row r="836" spans="1:53" ht="12.75" customHeight="1" x14ac:dyDescent="0.2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  <c r="AL836" s="58"/>
      <c r="AM836" s="58"/>
      <c r="AN836" s="58"/>
      <c r="AO836" s="58"/>
      <c r="AP836" s="58"/>
      <c r="AQ836" s="58"/>
      <c r="AR836" s="58"/>
      <c r="AS836" s="58"/>
      <c r="AT836" s="58"/>
      <c r="AU836" s="58"/>
      <c r="AV836" s="58"/>
      <c r="AW836" s="58"/>
      <c r="AX836" s="58"/>
      <c r="AY836" s="58"/>
      <c r="AZ836" s="58"/>
      <c r="BA836" s="58"/>
    </row>
    <row r="837" spans="1:53" ht="12.75" customHeight="1" x14ac:dyDescent="0.2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  <c r="AL837" s="58"/>
      <c r="AM837" s="58"/>
      <c r="AN837" s="58"/>
      <c r="AO837" s="58"/>
      <c r="AP837" s="58"/>
      <c r="AQ837" s="58"/>
      <c r="AR837" s="58"/>
      <c r="AS837" s="58"/>
      <c r="AT837" s="58"/>
      <c r="AU837" s="58"/>
      <c r="AV837" s="58"/>
      <c r="AW837" s="58"/>
      <c r="AX837" s="58"/>
      <c r="AY837" s="58"/>
      <c r="AZ837" s="58"/>
      <c r="BA837" s="58"/>
    </row>
    <row r="838" spans="1:53" ht="12.75" customHeight="1" x14ac:dyDescent="0.2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  <c r="AL838" s="58"/>
      <c r="AM838" s="58"/>
      <c r="AN838" s="58"/>
      <c r="AO838" s="58"/>
      <c r="AP838" s="58"/>
      <c r="AQ838" s="58"/>
      <c r="AR838" s="58"/>
      <c r="AS838" s="58"/>
      <c r="AT838" s="58"/>
      <c r="AU838" s="58"/>
      <c r="AV838" s="58"/>
      <c r="AW838" s="58"/>
      <c r="AX838" s="58"/>
      <c r="AY838" s="58"/>
      <c r="AZ838" s="58"/>
      <c r="BA838" s="58"/>
    </row>
    <row r="839" spans="1:53" ht="12.75" customHeight="1" x14ac:dyDescent="0.2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  <c r="AL839" s="58"/>
      <c r="AM839" s="58"/>
      <c r="AN839" s="58"/>
      <c r="AO839" s="58"/>
      <c r="AP839" s="58"/>
      <c r="AQ839" s="58"/>
      <c r="AR839" s="58"/>
      <c r="AS839" s="58"/>
      <c r="AT839" s="58"/>
      <c r="AU839" s="58"/>
      <c r="AV839" s="58"/>
      <c r="AW839" s="58"/>
      <c r="AX839" s="58"/>
      <c r="AY839" s="58"/>
      <c r="AZ839" s="58"/>
      <c r="BA839" s="58"/>
    </row>
    <row r="840" spans="1:53" ht="12.75" customHeight="1" x14ac:dyDescent="0.2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  <c r="AL840" s="58"/>
      <c r="AM840" s="58"/>
      <c r="AN840" s="58"/>
      <c r="AO840" s="58"/>
      <c r="AP840" s="58"/>
      <c r="AQ840" s="58"/>
      <c r="AR840" s="58"/>
      <c r="AS840" s="58"/>
      <c r="AT840" s="58"/>
      <c r="AU840" s="58"/>
      <c r="AV840" s="58"/>
      <c r="AW840" s="58"/>
      <c r="AX840" s="58"/>
      <c r="AY840" s="58"/>
      <c r="AZ840" s="58"/>
      <c r="BA840" s="58"/>
    </row>
    <row r="841" spans="1:53" ht="12.75" customHeight="1" x14ac:dyDescent="0.2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  <c r="AL841" s="58"/>
      <c r="AM841" s="58"/>
      <c r="AN841" s="58"/>
      <c r="AO841" s="58"/>
      <c r="AP841" s="58"/>
      <c r="AQ841" s="58"/>
      <c r="AR841" s="58"/>
      <c r="AS841" s="58"/>
      <c r="AT841" s="58"/>
      <c r="AU841" s="58"/>
      <c r="AV841" s="58"/>
      <c r="AW841" s="58"/>
      <c r="AX841" s="58"/>
      <c r="AY841" s="58"/>
      <c r="AZ841" s="58"/>
      <c r="BA841" s="58"/>
    </row>
    <row r="842" spans="1:53" ht="12.75" customHeight="1" x14ac:dyDescent="0.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/>
      <c r="AX842" s="58"/>
      <c r="AY842" s="58"/>
      <c r="AZ842" s="58"/>
      <c r="BA842" s="58"/>
    </row>
    <row r="843" spans="1:53" ht="12.75" customHeight="1" x14ac:dyDescent="0.2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</row>
    <row r="844" spans="1:53" ht="12.75" customHeight="1" x14ac:dyDescent="0.2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  <c r="AL844" s="58"/>
      <c r="AM844" s="58"/>
      <c r="AN844" s="58"/>
      <c r="AO844" s="58"/>
      <c r="AP844" s="58"/>
      <c r="AQ844" s="58"/>
      <c r="AR844" s="58"/>
      <c r="AS844" s="58"/>
      <c r="AT844" s="58"/>
      <c r="AU844" s="58"/>
      <c r="AV844" s="58"/>
      <c r="AW844" s="58"/>
      <c r="AX844" s="58"/>
      <c r="AY844" s="58"/>
      <c r="AZ844" s="58"/>
      <c r="BA844" s="58"/>
    </row>
    <row r="845" spans="1:53" ht="12.75" customHeight="1" x14ac:dyDescent="0.2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  <c r="AL845" s="58"/>
      <c r="AM845" s="58"/>
      <c r="AN845" s="58"/>
      <c r="AO845" s="58"/>
      <c r="AP845" s="58"/>
      <c r="AQ845" s="58"/>
      <c r="AR845" s="58"/>
      <c r="AS845" s="58"/>
      <c r="AT845" s="58"/>
      <c r="AU845" s="58"/>
      <c r="AV845" s="58"/>
      <c r="AW845" s="58"/>
      <c r="AX845" s="58"/>
      <c r="AY845" s="58"/>
      <c r="AZ845" s="58"/>
      <c r="BA845" s="58"/>
    </row>
    <row r="846" spans="1:53" ht="12.75" customHeight="1" x14ac:dyDescent="0.2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</row>
    <row r="847" spans="1:53" ht="12.75" customHeight="1" x14ac:dyDescent="0.2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</row>
    <row r="848" spans="1:53" ht="12.75" customHeight="1" x14ac:dyDescent="0.2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</row>
    <row r="849" spans="1:53" ht="12.75" customHeight="1" x14ac:dyDescent="0.2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</row>
    <row r="850" spans="1:53" ht="12.75" customHeight="1" x14ac:dyDescent="0.2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</row>
    <row r="851" spans="1:53" ht="12.75" customHeight="1" x14ac:dyDescent="0.2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</row>
    <row r="852" spans="1:53" ht="12.75" customHeight="1" x14ac:dyDescent="0.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</row>
    <row r="853" spans="1:53" ht="12.75" customHeight="1" x14ac:dyDescent="0.2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</row>
    <row r="854" spans="1:53" ht="12.75" customHeight="1" x14ac:dyDescent="0.2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</row>
    <row r="855" spans="1:53" ht="12.75" customHeight="1" x14ac:dyDescent="0.2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</row>
    <row r="856" spans="1:53" ht="12.75" customHeight="1" x14ac:dyDescent="0.2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  <c r="AL856" s="58"/>
      <c r="AM856" s="58"/>
      <c r="AN856" s="58"/>
      <c r="AO856" s="58"/>
      <c r="AP856" s="58"/>
      <c r="AQ856" s="58"/>
      <c r="AR856" s="58"/>
      <c r="AS856" s="58"/>
      <c r="AT856" s="58"/>
      <c r="AU856" s="58"/>
      <c r="AV856" s="58"/>
      <c r="AW856" s="58"/>
      <c r="AX856" s="58"/>
      <c r="AY856" s="58"/>
      <c r="AZ856" s="58"/>
      <c r="BA856" s="58"/>
    </row>
    <row r="857" spans="1:53" ht="12.75" customHeight="1" x14ac:dyDescent="0.2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  <c r="AL857" s="58"/>
      <c r="AM857" s="58"/>
      <c r="AN857" s="58"/>
      <c r="AO857" s="58"/>
      <c r="AP857" s="58"/>
      <c r="AQ857" s="58"/>
      <c r="AR857" s="58"/>
      <c r="AS857" s="58"/>
      <c r="AT857" s="58"/>
      <c r="AU857" s="58"/>
      <c r="AV857" s="58"/>
      <c r="AW857" s="58"/>
      <c r="AX857" s="58"/>
      <c r="AY857" s="58"/>
      <c r="AZ857" s="58"/>
      <c r="BA857" s="58"/>
    </row>
    <row r="858" spans="1:53" ht="12.75" customHeight="1" x14ac:dyDescent="0.2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  <c r="AL858" s="58"/>
      <c r="AM858" s="58"/>
      <c r="AN858" s="58"/>
      <c r="AO858" s="58"/>
      <c r="AP858" s="58"/>
      <c r="AQ858" s="58"/>
      <c r="AR858" s="58"/>
      <c r="AS858" s="58"/>
      <c r="AT858" s="58"/>
      <c r="AU858" s="58"/>
      <c r="AV858" s="58"/>
      <c r="AW858" s="58"/>
      <c r="AX858" s="58"/>
      <c r="AY858" s="58"/>
      <c r="AZ858" s="58"/>
      <c r="BA858" s="58"/>
    </row>
    <row r="859" spans="1:53" ht="12.75" customHeight="1" x14ac:dyDescent="0.2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  <c r="AL859" s="58"/>
      <c r="AM859" s="58"/>
      <c r="AN859" s="58"/>
      <c r="AO859" s="58"/>
      <c r="AP859" s="58"/>
      <c r="AQ859" s="58"/>
      <c r="AR859" s="58"/>
      <c r="AS859" s="58"/>
      <c r="AT859" s="58"/>
      <c r="AU859" s="58"/>
      <c r="AV859" s="58"/>
      <c r="AW859" s="58"/>
      <c r="AX859" s="58"/>
      <c r="AY859" s="58"/>
      <c r="AZ859" s="58"/>
      <c r="BA859" s="58"/>
    </row>
    <row r="860" spans="1:53" ht="12.75" customHeight="1" x14ac:dyDescent="0.2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  <c r="AL860" s="58"/>
      <c r="AM860" s="58"/>
      <c r="AN860" s="58"/>
      <c r="AO860" s="58"/>
      <c r="AP860" s="58"/>
      <c r="AQ860" s="58"/>
      <c r="AR860" s="58"/>
      <c r="AS860" s="58"/>
      <c r="AT860" s="58"/>
      <c r="AU860" s="58"/>
      <c r="AV860" s="58"/>
      <c r="AW860" s="58"/>
      <c r="AX860" s="58"/>
      <c r="AY860" s="58"/>
      <c r="AZ860" s="58"/>
      <c r="BA860" s="58"/>
    </row>
    <row r="861" spans="1:53" ht="12.75" customHeight="1" x14ac:dyDescent="0.2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  <c r="AL861" s="58"/>
      <c r="AM861" s="58"/>
      <c r="AN861" s="58"/>
      <c r="AO861" s="58"/>
      <c r="AP861" s="58"/>
      <c r="AQ861" s="58"/>
      <c r="AR861" s="58"/>
      <c r="AS861" s="58"/>
      <c r="AT861" s="58"/>
      <c r="AU861" s="58"/>
      <c r="AV861" s="58"/>
      <c r="AW861" s="58"/>
      <c r="AX861" s="58"/>
      <c r="AY861" s="58"/>
      <c r="AZ861" s="58"/>
      <c r="BA861" s="58"/>
    </row>
    <row r="862" spans="1:53" ht="12.75" customHeight="1" x14ac:dyDescent="0.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  <c r="AL862" s="58"/>
      <c r="AM862" s="58"/>
      <c r="AN862" s="58"/>
      <c r="AO862" s="58"/>
      <c r="AP862" s="58"/>
      <c r="AQ862" s="58"/>
      <c r="AR862" s="58"/>
      <c r="AS862" s="58"/>
      <c r="AT862" s="58"/>
      <c r="AU862" s="58"/>
      <c r="AV862" s="58"/>
      <c r="AW862" s="58"/>
      <c r="AX862" s="58"/>
      <c r="AY862" s="58"/>
      <c r="AZ862" s="58"/>
      <c r="BA862" s="58"/>
    </row>
    <row r="863" spans="1:53" ht="12.75" customHeight="1" x14ac:dyDescent="0.2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  <c r="AL863" s="58"/>
      <c r="AM863" s="58"/>
      <c r="AN863" s="58"/>
      <c r="AO863" s="58"/>
      <c r="AP863" s="58"/>
      <c r="AQ863" s="58"/>
      <c r="AR863" s="58"/>
      <c r="AS863" s="58"/>
      <c r="AT863" s="58"/>
      <c r="AU863" s="58"/>
      <c r="AV863" s="58"/>
      <c r="AW863" s="58"/>
      <c r="AX863" s="58"/>
      <c r="AY863" s="58"/>
      <c r="AZ863" s="58"/>
      <c r="BA863" s="58"/>
    </row>
    <row r="864" spans="1:53" ht="12.75" customHeight="1" x14ac:dyDescent="0.2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  <c r="AL864" s="58"/>
      <c r="AM864" s="58"/>
      <c r="AN864" s="58"/>
      <c r="AO864" s="58"/>
      <c r="AP864" s="58"/>
      <c r="AQ864" s="58"/>
      <c r="AR864" s="58"/>
      <c r="AS864" s="58"/>
      <c r="AT864" s="58"/>
      <c r="AU864" s="58"/>
      <c r="AV864" s="58"/>
      <c r="AW864" s="58"/>
      <c r="AX864" s="58"/>
      <c r="AY864" s="58"/>
      <c r="AZ864" s="58"/>
      <c r="BA864" s="58"/>
    </row>
    <row r="865" spans="1:53" ht="12.75" customHeight="1" x14ac:dyDescent="0.2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  <c r="AL865" s="58"/>
      <c r="AM865" s="58"/>
      <c r="AN865" s="58"/>
      <c r="AO865" s="58"/>
      <c r="AP865" s="58"/>
      <c r="AQ865" s="58"/>
      <c r="AR865" s="58"/>
      <c r="AS865" s="58"/>
      <c r="AT865" s="58"/>
      <c r="AU865" s="58"/>
      <c r="AV865" s="58"/>
      <c r="AW865" s="58"/>
      <c r="AX865" s="58"/>
      <c r="AY865" s="58"/>
      <c r="AZ865" s="58"/>
      <c r="BA865" s="58"/>
    </row>
    <row r="866" spans="1:53" ht="12.75" customHeight="1" x14ac:dyDescent="0.2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  <c r="AL866" s="58"/>
      <c r="AM866" s="58"/>
      <c r="AN866" s="58"/>
      <c r="AO866" s="58"/>
      <c r="AP866" s="58"/>
      <c r="AQ866" s="58"/>
      <c r="AR866" s="58"/>
      <c r="AS866" s="58"/>
      <c r="AT866" s="58"/>
      <c r="AU866" s="58"/>
      <c r="AV866" s="58"/>
      <c r="AW866" s="58"/>
      <c r="AX866" s="58"/>
      <c r="AY866" s="58"/>
      <c r="AZ866" s="58"/>
      <c r="BA866" s="58"/>
    </row>
    <row r="867" spans="1:53" ht="12.75" customHeight="1" x14ac:dyDescent="0.2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  <c r="AL867" s="58"/>
      <c r="AM867" s="58"/>
      <c r="AN867" s="58"/>
      <c r="AO867" s="58"/>
      <c r="AP867" s="58"/>
      <c r="AQ867" s="58"/>
      <c r="AR867" s="58"/>
      <c r="AS867" s="58"/>
      <c r="AT867" s="58"/>
      <c r="AU867" s="58"/>
      <c r="AV867" s="58"/>
      <c r="AW867" s="58"/>
      <c r="AX867" s="58"/>
      <c r="AY867" s="58"/>
      <c r="AZ867" s="58"/>
      <c r="BA867" s="58"/>
    </row>
    <row r="868" spans="1:53" ht="12.75" customHeight="1" x14ac:dyDescent="0.2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  <c r="AL868" s="58"/>
      <c r="AM868" s="58"/>
      <c r="AN868" s="58"/>
      <c r="AO868" s="58"/>
      <c r="AP868" s="58"/>
      <c r="AQ868" s="58"/>
      <c r="AR868" s="58"/>
      <c r="AS868" s="58"/>
      <c r="AT868" s="58"/>
      <c r="AU868" s="58"/>
      <c r="AV868" s="58"/>
      <c r="AW868" s="58"/>
      <c r="AX868" s="58"/>
      <c r="AY868" s="58"/>
      <c r="AZ868" s="58"/>
      <c r="BA868" s="58"/>
    </row>
    <row r="869" spans="1:53" ht="12.75" customHeight="1" x14ac:dyDescent="0.2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  <c r="AL869" s="58"/>
      <c r="AM869" s="58"/>
      <c r="AN869" s="58"/>
      <c r="AO869" s="58"/>
      <c r="AP869" s="58"/>
      <c r="AQ869" s="58"/>
      <c r="AR869" s="58"/>
      <c r="AS869" s="58"/>
      <c r="AT869" s="58"/>
      <c r="AU869" s="58"/>
      <c r="AV869" s="58"/>
      <c r="AW869" s="58"/>
      <c r="AX869" s="58"/>
      <c r="AY869" s="58"/>
      <c r="AZ869" s="58"/>
      <c r="BA869" s="58"/>
    </row>
    <row r="870" spans="1:53" ht="12.75" customHeight="1" x14ac:dyDescent="0.2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  <c r="AL870" s="58"/>
      <c r="AM870" s="58"/>
      <c r="AN870" s="58"/>
      <c r="AO870" s="58"/>
      <c r="AP870" s="58"/>
      <c r="AQ870" s="58"/>
      <c r="AR870" s="58"/>
      <c r="AS870" s="58"/>
      <c r="AT870" s="58"/>
      <c r="AU870" s="58"/>
      <c r="AV870" s="58"/>
      <c r="AW870" s="58"/>
      <c r="AX870" s="58"/>
      <c r="AY870" s="58"/>
      <c r="AZ870" s="58"/>
      <c r="BA870" s="58"/>
    </row>
    <row r="871" spans="1:53" ht="12.75" customHeight="1" x14ac:dyDescent="0.2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  <c r="AL871" s="58"/>
      <c r="AM871" s="58"/>
      <c r="AN871" s="58"/>
      <c r="AO871" s="58"/>
      <c r="AP871" s="58"/>
      <c r="AQ871" s="58"/>
      <c r="AR871" s="58"/>
      <c r="AS871" s="58"/>
      <c r="AT871" s="58"/>
      <c r="AU871" s="58"/>
      <c r="AV871" s="58"/>
      <c r="AW871" s="58"/>
      <c r="AX871" s="58"/>
      <c r="AY871" s="58"/>
      <c r="AZ871" s="58"/>
      <c r="BA871" s="58"/>
    </row>
    <row r="872" spans="1:53" ht="12.75" customHeight="1" x14ac:dyDescent="0.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  <c r="AL872" s="58"/>
      <c r="AM872" s="58"/>
      <c r="AN872" s="58"/>
      <c r="AO872" s="58"/>
      <c r="AP872" s="58"/>
      <c r="AQ872" s="58"/>
      <c r="AR872" s="58"/>
      <c r="AS872" s="58"/>
      <c r="AT872" s="58"/>
      <c r="AU872" s="58"/>
      <c r="AV872" s="58"/>
      <c r="AW872" s="58"/>
      <c r="AX872" s="58"/>
      <c r="AY872" s="58"/>
      <c r="AZ872" s="58"/>
      <c r="BA872" s="58"/>
    </row>
    <row r="873" spans="1:53" ht="12.75" customHeight="1" x14ac:dyDescent="0.2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  <c r="AL873" s="58"/>
      <c r="AM873" s="58"/>
      <c r="AN873" s="58"/>
      <c r="AO873" s="58"/>
      <c r="AP873" s="58"/>
      <c r="AQ873" s="58"/>
      <c r="AR873" s="58"/>
      <c r="AS873" s="58"/>
      <c r="AT873" s="58"/>
      <c r="AU873" s="58"/>
      <c r="AV873" s="58"/>
      <c r="AW873" s="58"/>
      <c r="AX873" s="58"/>
      <c r="AY873" s="58"/>
      <c r="AZ873" s="58"/>
      <c r="BA873" s="58"/>
    </row>
    <row r="874" spans="1:53" ht="12.75" customHeight="1" x14ac:dyDescent="0.2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  <c r="AL874" s="58"/>
      <c r="AM874" s="58"/>
      <c r="AN874" s="58"/>
      <c r="AO874" s="58"/>
      <c r="AP874" s="58"/>
      <c r="AQ874" s="58"/>
      <c r="AR874" s="58"/>
      <c r="AS874" s="58"/>
      <c r="AT874" s="58"/>
      <c r="AU874" s="58"/>
      <c r="AV874" s="58"/>
      <c r="AW874" s="58"/>
      <c r="AX874" s="58"/>
      <c r="AY874" s="58"/>
      <c r="AZ874" s="58"/>
      <c r="BA874" s="58"/>
    </row>
    <row r="875" spans="1:53" ht="12.75" customHeight="1" x14ac:dyDescent="0.2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  <c r="AL875" s="58"/>
      <c r="AM875" s="58"/>
      <c r="AN875" s="58"/>
      <c r="AO875" s="58"/>
      <c r="AP875" s="58"/>
      <c r="AQ875" s="58"/>
      <c r="AR875" s="58"/>
      <c r="AS875" s="58"/>
      <c r="AT875" s="58"/>
      <c r="AU875" s="58"/>
      <c r="AV875" s="58"/>
      <c r="AW875" s="58"/>
      <c r="AX875" s="58"/>
      <c r="AY875" s="58"/>
      <c r="AZ875" s="58"/>
      <c r="BA875" s="58"/>
    </row>
    <row r="876" spans="1:53" ht="12.75" customHeight="1" x14ac:dyDescent="0.2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  <c r="AL876" s="58"/>
      <c r="AM876" s="58"/>
      <c r="AN876" s="58"/>
      <c r="AO876" s="58"/>
      <c r="AP876" s="58"/>
      <c r="AQ876" s="58"/>
      <c r="AR876" s="58"/>
      <c r="AS876" s="58"/>
      <c r="AT876" s="58"/>
      <c r="AU876" s="58"/>
      <c r="AV876" s="58"/>
      <c r="AW876" s="58"/>
      <c r="AX876" s="58"/>
      <c r="AY876" s="58"/>
      <c r="AZ876" s="58"/>
      <c r="BA876" s="58"/>
    </row>
    <row r="877" spans="1:53" ht="12.75" customHeight="1" x14ac:dyDescent="0.2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  <c r="AL877" s="58"/>
      <c r="AM877" s="58"/>
      <c r="AN877" s="58"/>
      <c r="AO877" s="58"/>
      <c r="AP877" s="58"/>
      <c r="AQ877" s="58"/>
      <c r="AR877" s="58"/>
      <c r="AS877" s="58"/>
      <c r="AT877" s="58"/>
      <c r="AU877" s="58"/>
      <c r="AV877" s="58"/>
      <c r="AW877" s="58"/>
      <c r="AX877" s="58"/>
      <c r="AY877" s="58"/>
      <c r="AZ877" s="58"/>
      <c r="BA877" s="58"/>
    </row>
    <row r="878" spans="1:53" ht="12.75" customHeight="1" x14ac:dyDescent="0.2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  <c r="AL878" s="58"/>
      <c r="AM878" s="58"/>
      <c r="AN878" s="58"/>
      <c r="AO878" s="58"/>
      <c r="AP878" s="58"/>
      <c r="AQ878" s="58"/>
      <c r="AR878" s="58"/>
      <c r="AS878" s="58"/>
      <c r="AT878" s="58"/>
      <c r="AU878" s="58"/>
      <c r="AV878" s="58"/>
      <c r="AW878" s="58"/>
      <c r="AX878" s="58"/>
      <c r="AY878" s="58"/>
      <c r="AZ878" s="58"/>
      <c r="BA878" s="58"/>
    </row>
    <row r="879" spans="1:53" ht="12.75" customHeight="1" x14ac:dyDescent="0.2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  <c r="AL879" s="58"/>
      <c r="AM879" s="58"/>
      <c r="AN879" s="58"/>
      <c r="AO879" s="58"/>
      <c r="AP879" s="58"/>
      <c r="AQ879" s="58"/>
      <c r="AR879" s="58"/>
      <c r="AS879" s="58"/>
      <c r="AT879" s="58"/>
      <c r="AU879" s="58"/>
      <c r="AV879" s="58"/>
      <c r="AW879" s="58"/>
      <c r="AX879" s="58"/>
      <c r="AY879" s="58"/>
      <c r="AZ879" s="58"/>
      <c r="BA879" s="58"/>
    </row>
    <row r="880" spans="1:53" ht="12.75" customHeight="1" x14ac:dyDescent="0.2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/>
      <c r="AX880" s="58"/>
      <c r="AY880" s="58"/>
      <c r="AZ880" s="58"/>
      <c r="BA880" s="58"/>
    </row>
    <row r="881" spans="1:53" ht="12.75" customHeight="1" x14ac:dyDescent="0.2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  <c r="AY881" s="58"/>
      <c r="AZ881" s="58"/>
      <c r="BA881" s="58"/>
    </row>
    <row r="882" spans="1:53" ht="12.75" customHeight="1" x14ac:dyDescent="0.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  <c r="AL882" s="58"/>
      <c r="AM882" s="58"/>
      <c r="AN882" s="58"/>
      <c r="AO882" s="58"/>
      <c r="AP882" s="58"/>
      <c r="AQ882" s="58"/>
      <c r="AR882" s="58"/>
      <c r="AS882" s="58"/>
      <c r="AT882" s="58"/>
      <c r="AU882" s="58"/>
      <c r="AV882" s="58"/>
      <c r="AW882" s="58"/>
      <c r="AX882" s="58"/>
      <c r="AY882" s="58"/>
      <c r="AZ882" s="58"/>
      <c r="BA882" s="58"/>
    </row>
    <row r="883" spans="1:53" ht="12.75" customHeight="1" x14ac:dyDescent="0.2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  <c r="AL883" s="58"/>
      <c r="AM883" s="58"/>
      <c r="AN883" s="58"/>
      <c r="AO883" s="58"/>
      <c r="AP883" s="58"/>
      <c r="AQ883" s="58"/>
      <c r="AR883" s="58"/>
      <c r="AS883" s="58"/>
      <c r="AT883" s="58"/>
      <c r="AU883" s="58"/>
      <c r="AV883" s="58"/>
      <c r="AW883" s="58"/>
      <c r="AX883" s="58"/>
      <c r="AY883" s="58"/>
      <c r="AZ883" s="58"/>
      <c r="BA883" s="58"/>
    </row>
    <row r="884" spans="1:53" ht="12.75" customHeight="1" x14ac:dyDescent="0.2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  <c r="AY884" s="58"/>
      <c r="AZ884" s="58"/>
      <c r="BA884" s="58"/>
    </row>
    <row r="885" spans="1:53" ht="12.75" customHeight="1" x14ac:dyDescent="0.2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  <c r="AY885" s="58"/>
      <c r="AZ885" s="58"/>
      <c r="BA885" s="58"/>
    </row>
    <row r="886" spans="1:53" ht="12.75" customHeight="1" x14ac:dyDescent="0.2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  <c r="AY886" s="58"/>
      <c r="AZ886" s="58"/>
      <c r="BA886" s="58"/>
    </row>
    <row r="887" spans="1:53" ht="12.75" customHeight="1" x14ac:dyDescent="0.2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  <c r="AY887" s="58"/>
      <c r="AZ887" s="58"/>
      <c r="BA887" s="58"/>
    </row>
    <row r="888" spans="1:53" ht="12.75" customHeight="1" x14ac:dyDescent="0.2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</row>
    <row r="889" spans="1:53" ht="12.75" customHeight="1" x14ac:dyDescent="0.2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  <c r="AY889" s="58"/>
      <c r="AZ889" s="58"/>
      <c r="BA889" s="58"/>
    </row>
    <row r="890" spans="1:53" ht="12.75" customHeight="1" x14ac:dyDescent="0.2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  <c r="AY890" s="58"/>
      <c r="AZ890" s="58"/>
      <c r="BA890" s="58"/>
    </row>
    <row r="891" spans="1:53" ht="12.75" customHeight="1" x14ac:dyDescent="0.2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</row>
    <row r="892" spans="1:53" ht="12.75" customHeight="1" x14ac:dyDescent="0.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</row>
    <row r="893" spans="1:53" ht="12.75" customHeight="1" x14ac:dyDescent="0.2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</row>
    <row r="894" spans="1:53" ht="12.75" customHeight="1" x14ac:dyDescent="0.2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  <c r="AL894" s="58"/>
      <c r="AM894" s="58"/>
      <c r="AN894" s="58"/>
      <c r="AO894" s="58"/>
      <c r="AP894" s="58"/>
      <c r="AQ894" s="58"/>
      <c r="AR894" s="58"/>
      <c r="AS894" s="58"/>
      <c r="AT894" s="58"/>
      <c r="AU894" s="58"/>
      <c r="AV894" s="58"/>
      <c r="AW894" s="58"/>
      <c r="AX894" s="58"/>
      <c r="AY894" s="58"/>
      <c r="AZ894" s="58"/>
      <c r="BA894" s="58"/>
    </row>
    <row r="895" spans="1:53" ht="12.75" customHeight="1" x14ac:dyDescent="0.2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  <c r="AL895" s="58"/>
      <c r="AM895" s="58"/>
      <c r="AN895" s="58"/>
      <c r="AO895" s="58"/>
      <c r="AP895" s="58"/>
      <c r="AQ895" s="58"/>
      <c r="AR895" s="58"/>
      <c r="AS895" s="58"/>
      <c r="AT895" s="58"/>
      <c r="AU895" s="58"/>
      <c r="AV895" s="58"/>
      <c r="AW895" s="58"/>
      <c r="AX895" s="58"/>
      <c r="AY895" s="58"/>
      <c r="AZ895" s="58"/>
      <c r="BA895" s="58"/>
    </row>
    <row r="896" spans="1:53" ht="12.75" customHeight="1" x14ac:dyDescent="0.2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  <c r="AL896" s="58"/>
      <c r="AM896" s="58"/>
      <c r="AN896" s="58"/>
      <c r="AO896" s="58"/>
      <c r="AP896" s="58"/>
      <c r="AQ896" s="58"/>
      <c r="AR896" s="58"/>
      <c r="AS896" s="58"/>
      <c r="AT896" s="58"/>
      <c r="AU896" s="58"/>
      <c r="AV896" s="58"/>
      <c r="AW896" s="58"/>
      <c r="AX896" s="58"/>
      <c r="AY896" s="58"/>
      <c r="AZ896" s="58"/>
      <c r="BA896" s="58"/>
    </row>
    <row r="897" spans="1:53" ht="12.75" customHeight="1" x14ac:dyDescent="0.2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  <c r="AL897" s="58"/>
      <c r="AM897" s="58"/>
      <c r="AN897" s="58"/>
      <c r="AO897" s="58"/>
      <c r="AP897" s="58"/>
      <c r="AQ897" s="58"/>
      <c r="AR897" s="58"/>
      <c r="AS897" s="58"/>
      <c r="AT897" s="58"/>
      <c r="AU897" s="58"/>
      <c r="AV897" s="58"/>
      <c r="AW897" s="58"/>
      <c r="AX897" s="58"/>
      <c r="AY897" s="58"/>
      <c r="AZ897" s="58"/>
      <c r="BA897" s="58"/>
    </row>
    <row r="898" spans="1:53" ht="12.75" customHeight="1" x14ac:dyDescent="0.2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  <c r="AL898" s="58"/>
      <c r="AM898" s="58"/>
      <c r="AN898" s="58"/>
      <c r="AO898" s="58"/>
      <c r="AP898" s="58"/>
      <c r="AQ898" s="58"/>
      <c r="AR898" s="58"/>
      <c r="AS898" s="58"/>
      <c r="AT898" s="58"/>
      <c r="AU898" s="58"/>
      <c r="AV898" s="58"/>
      <c r="AW898" s="58"/>
      <c r="AX898" s="58"/>
      <c r="AY898" s="58"/>
      <c r="AZ898" s="58"/>
      <c r="BA898" s="58"/>
    </row>
    <row r="899" spans="1:53" ht="12.75" customHeight="1" x14ac:dyDescent="0.2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  <c r="AL899" s="58"/>
      <c r="AM899" s="58"/>
      <c r="AN899" s="58"/>
      <c r="AO899" s="58"/>
      <c r="AP899" s="58"/>
      <c r="AQ899" s="58"/>
      <c r="AR899" s="58"/>
      <c r="AS899" s="58"/>
      <c r="AT899" s="58"/>
      <c r="AU899" s="58"/>
      <c r="AV899" s="58"/>
      <c r="AW899" s="58"/>
      <c r="AX899" s="58"/>
      <c r="AY899" s="58"/>
      <c r="AZ899" s="58"/>
      <c r="BA899" s="58"/>
    </row>
    <row r="900" spans="1:53" ht="12.75" customHeight="1" x14ac:dyDescent="0.2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  <c r="AL900" s="58"/>
      <c r="AM900" s="58"/>
      <c r="AN900" s="58"/>
      <c r="AO900" s="58"/>
      <c r="AP900" s="58"/>
      <c r="AQ900" s="58"/>
      <c r="AR900" s="58"/>
      <c r="AS900" s="58"/>
      <c r="AT900" s="58"/>
      <c r="AU900" s="58"/>
      <c r="AV900" s="58"/>
      <c r="AW900" s="58"/>
      <c r="AX900" s="58"/>
      <c r="AY900" s="58"/>
      <c r="AZ900" s="58"/>
      <c r="BA900" s="58"/>
    </row>
    <row r="901" spans="1:53" ht="12.75" customHeight="1" x14ac:dyDescent="0.2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  <c r="AL901" s="58"/>
      <c r="AM901" s="58"/>
      <c r="AN901" s="58"/>
      <c r="AO901" s="58"/>
      <c r="AP901" s="58"/>
      <c r="AQ901" s="58"/>
      <c r="AR901" s="58"/>
      <c r="AS901" s="58"/>
      <c r="AT901" s="58"/>
      <c r="AU901" s="58"/>
      <c r="AV901" s="58"/>
      <c r="AW901" s="58"/>
      <c r="AX901" s="58"/>
      <c r="AY901" s="58"/>
      <c r="AZ901" s="58"/>
      <c r="BA901" s="58"/>
    </row>
    <row r="902" spans="1:53" ht="12.75" customHeight="1" x14ac:dyDescent="0.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  <c r="AL902" s="58"/>
      <c r="AM902" s="58"/>
      <c r="AN902" s="58"/>
      <c r="AO902" s="58"/>
      <c r="AP902" s="58"/>
      <c r="AQ902" s="58"/>
      <c r="AR902" s="58"/>
      <c r="AS902" s="58"/>
      <c r="AT902" s="58"/>
      <c r="AU902" s="58"/>
      <c r="AV902" s="58"/>
      <c r="AW902" s="58"/>
      <c r="AX902" s="58"/>
      <c r="AY902" s="58"/>
      <c r="AZ902" s="58"/>
      <c r="BA902" s="58"/>
    </row>
    <row r="903" spans="1:53" ht="12.75" customHeight="1" x14ac:dyDescent="0.2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  <c r="AL903" s="58"/>
      <c r="AM903" s="58"/>
      <c r="AN903" s="58"/>
      <c r="AO903" s="58"/>
      <c r="AP903" s="58"/>
      <c r="AQ903" s="58"/>
      <c r="AR903" s="58"/>
      <c r="AS903" s="58"/>
      <c r="AT903" s="58"/>
      <c r="AU903" s="58"/>
      <c r="AV903" s="58"/>
      <c r="AW903" s="58"/>
      <c r="AX903" s="58"/>
      <c r="AY903" s="58"/>
      <c r="AZ903" s="58"/>
      <c r="BA903" s="58"/>
    </row>
    <row r="904" spans="1:53" ht="12.75" customHeight="1" x14ac:dyDescent="0.2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  <c r="AL904" s="58"/>
      <c r="AM904" s="58"/>
      <c r="AN904" s="58"/>
      <c r="AO904" s="58"/>
      <c r="AP904" s="58"/>
      <c r="AQ904" s="58"/>
      <c r="AR904" s="58"/>
      <c r="AS904" s="58"/>
      <c r="AT904" s="58"/>
      <c r="AU904" s="58"/>
      <c r="AV904" s="58"/>
      <c r="AW904" s="58"/>
      <c r="AX904" s="58"/>
      <c r="AY904" s="58"/>
      <c r="AZ904" s="58"/>
      <c r="BA904" s="58"/>
    </row>
    <row r="905" spans="1:53" ht="12.75" customHeight="1" x14ac:dyDescent="0.2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  <c r="AL905" s="58"/>
      <c r="AM905" s="58"/>
      <c r="AN905" s="58"/>
      <c r="AO905" s="58"/>
      <c r="AP905" s="58"/>
      <c r="AQ905" s="58"/>
      <c r="AR905" s="58"/>
      <c r="AS905" s="58"/>
      <c r="AT905" s="58"/>
      <c r="AU905" s="58"/>
      <c r="AV905" s="58"/>
      <c r="AW905" s="58"/>
      <c r="AX905" s="58"/>
      <c r="AY905" s="58"/>
      <c r="AZ905" s="58"/>
      <c r="BA905" s="58"/>
    </row>
    <row r="906" spans="1:53" ht="12.75" customHeight="1" x14ac:dyDescent="0.2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  <c r="AL906" s="58"/>
      <c r="AM906" s="58"/>
      <c r="AN906" s="58"/>
      <c r="AO906" s="58"/>
      <c r="AP906" s="58"/>
      <c r="AQ906" s="58"/>
      <c r="AR906" s="58"/>
      <c r="AS906" s="58"/>
      <c r="AT906" s="58"/>
      <c r="AU906" s="58"/>
      <c r="AV906" s="58"/>
      <c r="AW906" s="58"/>
      <c r="AX906" s="58"/>
      <c r="AY906" s="58"/>
      <c r="AZ906" s="58"/>
      <c r="BA906" s="58"/>
    </row>
    <row r="907" spans="1:53" ht="12.75" customHeight="1" x14ac:dyDescent="0.2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  <c r="AL907" s="58"/>
      <c r="AM907" s="58"/>
      <c r="AN907" s="58"/>
      <c r="AO907" s="58"/>
      <c r="AP907" s="58"/>
      <c r="AQ907" s="58"/>
      <c r="AR907" s="58"/>
      <c r="AS907" s="58"/>
      <c r="AT907" s="58"/>
      <c r="AU907" s="58"/>
      <c r="AV907" s="58"/>
      <c r="AW907" s="58"/>
      <c r="AX907" s="58"/>
      <c r="AY907" s="58"/>
      <c r="AZ907" s="58"/>
      <c r="BA907" s="58"/>
    </row>
    <row r="908" spans="1:53" ht="12.75" customHeight="1" x14ac:dyDescent="0.2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  <c r="AL908" s="58"/>
      <c r="AM908" s="58"/>
      <c r="AN908" s="58"/>
      <c r="AO908" s="58"/>
      <c r="AP908" s="58"/>
      <c r="AQ908" s="58"/>
      <c r="AR908" s="58"/>
      <c r="AS908" s="58"/>
      <c r="AT908" s="58"/>
      <c r="AU908" s="58"/>
      <c r="AV908" s="58"/>
      <c r="AW908" s="58"/>
      <c r="AX908" s="58"/>
      <c r="AY908" s="58"/>
      <c r="AZ908" s="58"/>
      <c r="BA908" s="58"/>
    </row>
    <row r="909" spans="1:53" ht="12.75" customHeight="1" x14ac:dyDescent="0.2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  <c r="AL909" s="58"/>
      <c r="AM909" s="58"/>
      <c r="AN909" s="58"/>
      <c r="AO909" s="58"/>
      <c r="AP909" s="58"/>
      <c r="AQ909" s="58"/>
      <c r="AR909" s="58"/>
      <c r="AS909" s="58"/>
      <c r="AT909" s="58"/>
      <c r="AU909" s="58"/>
      <c r="AV909" s="58"/>
      <c r="AW909" s="58"/>
      <c r="AX909" s="58"/>
      <c r="AY909" s="58"/>
      <c r="AZ909" s="58"/>
      <c r="BA909" s="58"/>
    </row>
    <row r="910" spans="1:53" ht="12.75" customHeight="1" x14ac:dyDescent="0.2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  <c r="AL910" s="58"/>
      <c r="AM910" s="58"/>
      <c r="AN910" s="58"/>
      <c r="AO910" s="58"/>
      <c r="AP910" s="58"/>
      <c r="AQ910" s="58"/>
      <c r="AR910" s="58"/>
      <c r="AS910" s="58"/>
      <c r="AT910" s="58"/>
      <c r="AU910" s="58"/>
      <c r="AV910" s="58"/>
      <c r="AW910" s="58"/>
      <c r="AX910" s="58"/>
      <c r="AY910" s="58"/>
      <c r="AZ910" s="58"/>
      <c r="BA910" s="58"/>
    </row>
    <row r="911" spans="1:53" ht="12.75" customHeight="1" x14ac:dyDescent="0.2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  <c r="AL911" s="58"/>
      <c r="AM911" s="58"/>
      <c r="AN911" s="58"/>
      <c r="AO911" s="58"/>
      <c r="AP911" s="58"/>
      <c r="AQ911" s="58"/>
      <c r="AR911" s="58"/>
      <c r="AS911" s="58"/>
      <c r="AT911" s="58"/>
      <c r="AU911" s="58"/>
      <c r="AV911" s="58"/>
      <c r="AW911" s="58"/>
      <c r="AX911" s="58"/>
      <c r="AY911" s="58"/>
      <c r="AZ911" s="58"/>
      <c r="BA911" s="58"/>
    </row>
    <row r="912" spans="1:53" ht="12.75" customHeight="1" x14ac:dyDescent="0.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  <c r="AL912" s="58"/>
      <c r="AM912" s="58"/>
      <c r="AN912" s="58"/>
      <c r="AO912" s="58"/>
      <c r="AP912" s="58"/>
      <c r="AQ912" s="58"/>
      <c r="AR912" s="58"/>
      <c r="AS912" s="58"/>
      <c r="AT912" s="58"/>
      <c r="AU912" s="58"/>
      <c r="AV912" s="58"/>
      <c r="AW912" s="58"/>
      <c r="AX912" s="58"/>
      <c r="AY912" s="58"/>
      <c r="AZ912" s="58"/>
      <c r="BA912" s="58"/>
    </row>
    <row r="913" spans="1:53" ht="12.75" customHeight="1" x14ac:dyDescent="0.2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  <c r="AL913" s="58"/>
      <c r="AM913" s="58"/>
      <c r="AN913" s="58"/>
      <c r="AO913" s="58"/>
      <c r="AP913" s="58"/>
      <c r="AQ913" s="58"/>
      <c r="AR913" s="58"/>
      <c r="AS913" s="58"/>
      <c r="AT913" s="58"/>
      <c r="AU913" s="58"/>
      <c r="AV913" s="58"/>
      <c r="AW913" s="58"/>
      <c r="AX913" s="58"/>
      <c r="AY913" s="58"/>
      <c r="AZ913" s="58"/>
      <c r="BA913" s="58"/>
    </row>
    <row r="914" spans="1:53" ht="12.75" customHeight="1" x14ac:dyDescent="0.2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  <c r="AL914" s="58"/>
      <c r="AM914" s="58"/>
      <c r="AN914" s="58"/>
      <c r="AO914" s="58"/>
      <c r="AP914" s="58"/>
      <c r="AQ914" s="58"/>
      <c r="AR914" s="58"/>
      <c r="AS914" s="58"/>
      <c r="AT914" s="58"/>
      <c r="AU914" s="58"/>
      <c r="AV914" s="58"/>
      <c r="AW914" s="58"/>
      <c r="AX914" s="58"/>
      <c r="AY914" s="58"/>
      <c r="AZ914" s="58"/>
      <c r="BA914" s="58"/>
    </row>
    <row r="915" spans="1:53" ht="12.75" customHeight="1" x14ac:dyDescent="0.2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  <c r="AL915" s="58"/>
      <c r="AM915" s="58"/>
      <c r="AN915" s="58"/>
      <c r="AO915" s="58"/>
      <c r="AP915" s="58"/>
      <c r="AQ915" s="58"/>
      <c r="AR915" s="58"/>
      <c r="AS915" s="58"/>
      <c r="AT915" s="58"/>
      <c r="AU915" s="58"/>
      <c r="AV915" s="58"/>
      <c r="AW915" s="58"/>
      <c r="AX915" s="58"/>
      <c r="AY915" s="58"/>
      <c r="AZ915" s="58"/>
      <c r="BA915" s="58"/>
    </row>
    <row r="916" spans="1:53" ht="12.75" customHeight="1" x14ac:dyDescent="0.2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  <c r="AL916" s="58"/>
      <c r="AM916" s="58"/>
      <c r="AN916" s="58"/>
      <c r="AO916" s="58"/>
      <c r="AP916" s="58"/>
      <c r="AQ916" s="58"/>
      <c r="AR916" s="58"/>
      <c r="AS916" s="58"/>
      <c r="AT916" s="58"/>
      <c r="AU916" s="58"/>
      <c r="AV916" s="58"/>
      <c r="AW916" s="58"/>
      <c r="AX916" s="58"/>
      <c r="AY916" s="58"/>
      <c r="AZ916" s="58"/>
      <c r="BA916" s="58"/>
    </row>
    <row r="917" spans="1:53" ht="12.75" customHeight="1" x14ac:dyDescent="0.2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  <c r="AL917" s="58"/>
      <c r="AM917" s="58"/>
      <c r="AN917" s="58"/>
      <c r="AO917" s="58"/>
      <c r="AP917" s="58"/>
      <c r="AQ917" s="58"/>
      <c r="AR917" s="58"/>
      <c r="AS917" s="58"/>
      <c r="AT917" s="58"/>
      <c r="AU917" s="58"/>
      <c r="AV917" s="58"/>
      <c r="AW917" s="58"/>
      <c r="AX917" s="58"/>
      <c r="AY917" s="58"/>
      <c r="AZ917" s="58"/>
      <c r="BA917" s="58"/>
    </row>
    <row r="918" spans="1:53" ht="12.75" customHeight="1" x14ac:dyDescent="0.2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  <c r="AO918" s="58"/>
      <c r="AP918" s="58"/>
      <c r="AQ918" s="58"/>
      <c r="AR918" s="58"/>
      <c r="AS918" s="58"/>
      <c r="AT918" s="58"/>
      <c r="AU918" s="58"/>
      <c r="AV918" s="58"/>
      <c r="AW918" s="58"/>
      <c r="AX918" s="58"/>
      <c r="AY918" s="58"/>
      <c r="AZ918" s="58"/>
      <c r="BA918" s="58"/>
    </row>
    <row r="919" spans="1:53" ht="12.75" customHeight="1" x14ac:dyDescent="0.2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  <c r="AL919" s="58"/>
      <c r="AM919" s="58"/>
      <c r="AN919" s="58"/>
      <c r="AO919" s="58"/>
      <c r="AP919" s="58"/>
      <c r="AQ919" s="58"/>
      <c r="AR919" s="58"/>
      <c r="AS919" s="58"/>
      <c r="AT919" s="58"/>
      <c r="AU919" s="58"/>
      <c r="AV919" s="58"/>
      <c r="AW919" s="58"/>
      <c r="AX919" s="58"/>
      <c r="AY919" s="58"/>
      <c r="AZ919" s="58"/>
      <c r="BA919" s="58"/>
    </row>
    <row r="920" spans="1:53" ht="12.75" customHeight="1" x14ac:dyDescent="0.2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  <c r="AL920" s="58"/>
      <c r="AM920" s="58"/>
      <c r="AN920" s="58"/>
      <c r="AO920" s="58"/>
      <c r="AP920" s="58"/>
      <c r="AQ920" s="58"/>
      <c r="AR920" s="58"/>
      <c r="AS920" s="58"/>
      <c r="AT920" s="58"/>
      <c r="AU920" s="58"/>
      <c r="AV920" s="58"/>
      <c r="AW920" s="58"/>
      <c r="AX920" s="58"/>
      <c r="AY920" s="58"/>
      <c r="AZ920" s="58"/>
      <c r="BA920" s="58"/>
    </row>
    <row r="921" spans="1:53" ht="12.75" customHeight="1" x14ac:dyDescent="0.2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  <c r="AL921" s="58"/>
      <c r="AM921" s="58"/>
      <c r="AN921" s="58"/>
      <c r="AO921" s="58"/>
      <c r="AP921" s="58"/>
      <c r="AQ921" s="58"/>
      <c r="AR921" s="58"/>
      <c r="AS921" s="58"/>
      <c r="AT921" s="58"/>
      <c r="AU921" s="58"/>
      <c r="AV921" s="58"/>
      <c r="AW921" s="58"/>
      <c r="AX921" s="58"/>
      <c r="AY921" s="58"/>
      <c r="AZ921" s="58"/>
      <c r="BA921" s="58"/>
    </row>
    <row r="922" spans="1:53" ht="12.75" customHeight="1" x14ac:dyDescent="0.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  <c r="AR922" s="58"/>
      <c r="AS922" s="58"/>
      <c r="AT922" s="58"/>
      <c r="AU922" s="58"/>
      <c r="AV922" s="58"/>
      <c r="AW922" s="58"/>
      <c r="AX922" s="58"/>
      <c r="AY922" s="58"/>
      <c r="AZ922" s="58"/>
      <c r="BA922" s="58"/>
    </row>
    <row r="923" spans="1:53" ht="12.75" customHeight="1" x14ac:dyDescent="0.2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58"/>
      <c r="AQ923" s="58"/>
      <c r="AR923" s="58"/>
      <c r="AS923" s="58"/>
      <c r="AT923" s="58"/>
      <c r="AU923" s="58"/>
      <c r="AV923" s="58"/>
      <c r="AW923" s="58"/>
      <c r="AX923" s="58"/>
      <c r="AY923" s="58"/>
      <c r="AZ923" s="58"/>
      <c r="BA923" s="58"/>
    </row>
    <row r="924" spans="1:53" ht="12.75" customHeight="1" x14ac:dyDescent="0.2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58"/>
      <c r="AQ924" s="58"/>
      <c r="AR924" s="58"/>
      <c r="AS924" s="58"/>
      <c r="AT924" s="58"/>
      <c r="AU924" s="58"/>
      <c r="AV924" s="58"/>
      <c r="AW924" s="58"/>
      <c r="AX924" s="58"/>
      <c r="AY924" s="58"/>
      <c r="AZ924" s="58"/>
      <c r="BA924" s="58"/>
    </row>
    <row r="925" spans="1:53" ht="12.75" customHeight="1" x14ac:dyDescent="0.2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58"/>
      <c r="AQ925" s="58"/>
      <c r="AR925" s="58"/>
      <c r="AS925" s="58"/>
      <c r="AT925" s="58"/>
      <c r="AU925" s="58"/>
      <c r="AV925" s="58"/>
      <c r="AW925" s="58"/>
      <c r="AX925" s="58"/>
      <c r="AY925" s="58"/>
      <c r="AZ925" s="58"/>
      <c r="BA925" s="58"/>
    </row>
    <row r="926" spans="1:53" ht="12.75" customHeight="1" x14ac:dyDescent="0.2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58"/>
      <c r="AQ926" s="58"/>
      <c r="AR926" s="58"/>
      <c r="AS926" s="58"/>
      <c r="AT926" s="58"/>
      <c r="AU926" s="58"/>
      <c r="AV926" s="58"/>
      <c r="AW926" s="58"/>
      <c r="AX926" s="58"/>
      <c r="AY926" s="58"/>
      <c r="AZ926" s="58"/>
      <c r="BA926" s="58"/>
    </row>
    <row r="927" spans="1:53" ht="12.75" customHeight="1" x14ac:dyDescent="0.2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  <c r="AL927" s="58"/>
      <c r="AM927" s="58"/>
      <c r="AN927" s="58"/>
      <c r="AO927" s="58"/>
      <c r="AP927" s="58"/>
      <c r="AQ927" s="58"/>
      <c r="AR927" s="58"/>
      <c r="AS927" s="58"/>
      <c r="AT927" s="58"/>
      <c r="AU927" s="58"/>
      <c r="AV927" s="58"/>
      <c r="AW927" s="58"/>
      <c r="AX927" s="58"/>
      <c r="AY927" s="58"/>
      <c r="AZ927" s="58"/>
      <c r="BA927" s="58"/>
    </row>
    <row r="928" spans="1:53" ht="12.75" customHeight="1" x14ac:dyDescent="0.2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  <c r="AR928" s="58"/>
      <c r="AS928" s="58"/>
      <c r="AT928" s="58"/>
      <c r="AU928" s="58"/>
      <c r="AV928" s="58"/>
      <c r="AW928" s="58"/>
      <c r="AX928" s="58"/>
      <c r="AY928" s="58"/>
      <c r="AZ928" s="58"/>
      <c r="BA928" s="58"/>
    </row>
    <row r="929" spans="1:53" ht="12.75" customHeight="1" x14ac:dyDescent="0.2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  <c r="AL929" s="58"/>
      <c r="AM929" s="58"/>
      <c r="AN929" s="58"/>
      <c r="AO929" s="58"/>
      <c r="AP929" s="58"/>
      <c r="AQ929" s="58"/>
      <c r="AR929" s="58"/>
      <c r="AS929" s="58"/>
      <c r="AT929" s="58"/>
      <c r="AU929" s="58"/>
      <c r="AV929" s="58"/>
      <c r="AW929" s="58"/>
      <c r="AX929" s="58"/>
      <c r="AY929" s="58"/>
      <c r="AZ929" s="58"/>
      <c r="BA929" s="58"/>
    </row>
    <row r="930" spans="1:53" ht="12.75" customHeight="1" x14ac:dyDescent="0.2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  <c r="AO930" s="58"/>
      <c r="AP930" s="58"/>
      <c r="AQ930" s="58"/>
      <c r="AR930" s="58"/>
      <c r="AS930" s="58"/>
      <c r="AT930" s="58"/>
      <c r="AU930" s="58"/>
      <c r="AV930" s="58"/>
      <c r="AW930" s="58"/>
      <c r="AX930" s="58"/>
      <c r="AY930" s="58"/>
      <c r="AZ930" s="58"/>
      <c r="BA930" s="58"/>
    </row>
    <row r="931" spans="1:53" ht="12.75" customHeight="1" x14ac:dyDescent="0.2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  <c r="AL931" s="58"/>
      <c r="AM931" s="58"/>
      <c r="AN931" s="58"/>
      <c r="AO931" s="58"/>
      <c r="AP931" s="58"/>
      <c r="AQ931" s="58"/>
      <c r="AR931" s="58"/>
      <c r="AS931" s="58"/>
      <c r="AT931" s="58"/>
      <c r="AU931" s="58"/>
      <c r="AV931" s="58"/>
      <c r="AW931" s="58"/>
      <c r="AX931" s="58"/>
      <c r="AY931" s="58"/>
      <c r="AZ931" s="58"/>
      <c r="BA931" s="58"/>
    </row>
    <row r="932" spans="1:53" ht="12.75" customHeight="1" x14ac:dyDescent="0.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  <c r="AL932" s="58"/>
      <c r="AM932" s="58"/>
      <c r="AN932" s="58"/>
      <c r="AO932" s="58"/>
      <c r="AP932" s="58"/>
      <c r="AQ932" s="58"/>
      <c r="AR932" s="58"/>
      <c r="AS932" s="58"/>
      <c r="AT932" s="58"/>
      <c r="AU932" s="58"/>
      <c r="AV932" s="58"/>
      <c r="AW932" s="58"/>
      <c r="AX932" s="58"/>
      <c r="AY932" s="58"/>
      <c r="AZ932" s="58"/>
      <c r="BA932" s="58"/>
    </row>
    <row r="933" spans="1:53" ht="12.75" customHeight="1" x14ac:dyDescent="0.2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  <c r="AL933" s="58"/>
      <c r="AM933" s="58"/>
      <c r="AN933" s="58"/>
      <c r="AO933" s="58"/>
      <c r="AP933" s="58"/>
      <c r="AQ933" s="58"/>
      <c r="AR933" s="58"/>
      <c r="AS933" s="58"/>
      <c r="AT933" s="58"/>
      <c r="AU933" s="58"/>
      <c r="AV933" s="58"/>
      <c r="AW933" s="58"/>
      <c r="AX933" s="58"/>
      <c r="AY933" s="58"/>
      <c r="AZ933" s="58"/>
      <c r="BA933" s="58"/>
    </row>
    <row r="934" spans="1:53" ht="12.75" customHeight="1" x14ac:dyDescent="0.2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  <c r="AL934" s="58"/>
      <c r="AM934" s="58"/>
      <c r="AN934" s="58"/>
      <c r="AO934" s="58"/>
      <c r="AP934" s="58"/>
      <c r="AQ934" s="58"/>
      <c r="AR934" s="58"/>
      <c r="AS934" s="58"/>
      <c r="AT934" s="58"/>
      <c r="AU934" s="58"/>
      <c r="AV934" s="58"/>
      <c r="AW934" s="58"/>
      <c r="AX934" s="58"/>
      <c r="AY934" s="58"/>
      <c r="AZ934" s="58"/>
      <c r="BA934" s="58"/>
    </row>
    <row r="935" spans="1:53" ht="12.75" customHeight="1" x14ac:dyDescent="0.2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  <c r="AL935" s="58"/>
      <c r="AM935" s="58"/>
      <c r="AN935" s="58"/>
      <c r="AO935" s="58"/>
      <c r="AP935" s="58"/>
      <c r="AQ935" s="58"/>
      <c r="AR935" s="58"/>
      <c r="AS935" s="58"/>
      <c r="AT935" s="58"/>
      <c r="AU935" s="58"/>
      <c r="AV935" s="58"/>
      <c r="AW935" s="58"/>
      <c r="AX935" s="58"/>
      <c r="AY935" s="58"/>
      <c r="AZ935" s="58"/>
      <c r="BA935" s="58"/>
    </row>
    <row r="936" spans="1:53" ht="12.75" customHeight="1" x14ac:dyDescent="0.2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  <c r="AL936" s="58"/>
      <c r="AM936" s="58"/>
      <c r="AN936" s="58"/>
      <c r="AO936" s="58"/>
      <c r="AP936" s="58"/>
      <c r="AQ936" s="58"/>
      <c r="AR936" s="58"/>
      <c r="AS936" s="58"/>
      <c r="AT936" s="58"/>
      <c r="AU936" s="58"/>
      <c r="AV936" s="58"/>
      <c r="AW936" s="58"/>
      <c r="AX936" s="58"/>
      <c r="AY936" s="58"/>
      <c r="AZ936" s="58"/>
      <c r="BA936" s="58"/>
    </row>
    <row r="937" spans="1:53" ht="12.75" customHeight="1" x14ac:dyDescent="0.2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  <c r="AL937" s="58"/>
      <c r="AM937" s="58"/>
      <c r="AN937" s="58"/>
      <c r="AO937" s="58"/>
      <c r="AP937" s="58"/>
      <c r="AQ937" s="58"/>
      <c r="AR937" s="58"/>
      <c r="AS937" s="58"/>
      <c r="AT937" s="58"/>
      <c r="AU937" s="58"/>
      <c r="AV937" s="58"/>
      <c r="AW937" s="58"/>
      <c r="AX937" s="58"/>
      <c r="AY937" s="58"/>
      <c r="AZ937" s="58"/>
      <c r="BA937" s="58"/>
    </row>
    <row r="938" spans="1:53" ht="12.75" customHeight="1" x14ac:dyDescent="0.2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  <c r="AL938" s="58"/>
      <c r="AM938" s="58"/>
      <c r="AN938" s="58"/>
      <c r="AO938" s="58"/>
      <c r="AP938" s="58"/>
      <c r="AQ938" s="58"/>
      <c r="AR938" s="58"/>
      <c r="AS938" s="58"/>
      <c r="AT938" s="58"/>
      <c r="AU938" s="58"/>
      <c r="AV938" s="58"/>
      <c r="AW938" s="58"/>
      <c r="AX938" s="58"/>
      <c r="AY938" s="58"/>
      <c r="AZ938" s="58"/>
      <c r="BA938" s="58"/>
    </row>
    <row r="939" spans="1:53" ht="12.75" customHeight="1" x14ac:dyDescent="0.2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  <c r="AL939" s="58"/>
      <c r="AM939" s="58"/>
      <c r="AN939" s="58"/>
      <c r="AO939" s="58"/>
      <c r="AP939" s="58"/>
      <c r="AQ939" s="58"/>
      <c r="AR939" s="58"/>
      <c r="AS939" s="58"/>
      <c r="AT939" s="58"/>
      <c r="AU939" s="58"/>
      <c r="AV939" s="58"/>
      <c r="AW939" s="58"/>
      <c r="AX939" s="58"/>
      <c r="AY939" s="58"/>
      <c r="AZ939" s="58"/>
      <c r="BA939" s="58"/>
    </row>
    <row r="940" spans="1:53" ht="12.75" customHeight="1" x14ac:dyDescent="0.2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  <c r="AL940" s="58"/>
      <c r="AM940" s="58"/>
      <c r="AN940" s="58"/>
      <c r="AO940" s="58"/>
      <c r="AP940" s="58"/>
      <c r="AQ940" s="58"/>
      <c r="AR940" s="58"/>
      <c r="AS940" s="58"/>
      <c r="AT940" s="58"/>
      <c r="AU940" s="58"/>
      <c r="AV940" s="58"/>
      <c r="AW940" s="58"/>
      <c r="AX940" s="58"/>
      <c r="AY940" s="58"/>
      <c r="AZ940" s="58"/>
      <c r="BA940" s="58"/>
    </row>
    <row r="941" spans="1:53" ht="12.75" customHeight="1" x14ac:dyDescent="0.2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  <c r="AL941" s="58"/>
      <c r="AM941" s="58"/>
      <c r="AN941" s="58"/>
      <c r="AO941" s="58"/>
      <c r="AP941" s="58"/>
      <c r="AQ941" s="58"/>
      <c r="AR941" s="58"/>
      <c r="AS941" s="58"/>
      <c r="AT941" s="58"/>
      <c r="AU941" s="58"/>
      <c r="AV941" s="58"/>
      <c r="AW941" s="58"/>
      <c r="AX941" s="58"/>
      <c r="AY941" s="58"/>
      <c r="AZ941" s="58"/>
      <c r="BA941" s="58"/>
    </row>
    <row r="942" spans="1:53" ht="12.75" customHeight="1" x14ac:dyDescent="0.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  <c r="AL942" s="58"/>
      <c r="AM942" s="58"/>
      <c r="AN942" s="58"/>
      <c r="AO942" s="58"/>
      <c r="AP942" s="58"/>
      <c r="AQ942" s="58"/>
      <c r="AR942" s="58"/>
      <c r="AS942" s="58"/>
      <c r="AT942" s="58"/>
      <c r="AU942" s="58"/>
      <c r="AV942" s="58"/>
      <c r="AW942" s="58"/>
      <c r="AX942" s="58"/>
      <c r="AY942" s="58"/>
      <c r="AZ942" s="58"/>
      <c r="BA942" s="58"/>
    </row>
    <row r="943" spans="1:53" ht="12.75" customHeight="1" x14ac:dyDescent="0.2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  <c r="AL943" s="58"/>
      <c r="AM943" s="58"/>
      <c r="AN943" s="58"/>
      <c r="AO943" s="58"/>
      <c r="AP943" s="58"/>
      <c r="AQ943" s="58"/>
      <c r="AR943" s="58"/>
      <c r="AS943" s="58"/>
      <c r="AT943" s="58"/>
      <c r="AU943" s="58"/>
      <c r="AV943" s="58"/>
      <c r="AW943" s="58"/>
      <c r="AX943" s="58"/>
      <c r="AY943" s="58"/>
      <c r="AZ943" s="58"/>
      <c r="BA943" s="58"/>
    </row>
    <row r="944" spans="1:53" ht="12.75" customHeight="1" x14ac:dyDescent="0.2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  <c r="AL944" s="58"/>
      <c r="AM944" s="58"/>
      <c r="AN944" s="58"/>
      <c r="AO944" s="58"/>
      <c r="AP944" s="58"/>
      <c r="AQ944" s="58"/>
      <c r="AR944" s="58"/>
      <c r="AS944" s="58"/>
      <c r="AT944" s="58"/>
      <c r="AU944" s="58"/>
      <c r="AV944" s="58"/>
      <c r="AW944" s="58"/>
      <c r="AX944" s="58"/>
      <c r="AY944" s="58"/>
      <c r="AZ944" s="58"/>
      <c r="BA944" s="58"/>
    </row>
    <row r="945" spans="1:53" ht="12.75" customHeight="1" x14ac:dyDescent="0.2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  <c r="AL945" s="58"/>
      <c r="AM945" s="58"/>
      <c r="AN945" s="58"/>
      <c r="AO945" s="58"/>
      <c r="AP945" s="58"/>
      <c r="AQ945" s="58"/>
      <c r="AR945" s="58"/>
      <c r="AS945" s="58"/>
      <c r="AT945" s="58"/>
      <c r="AU945" s="58"/>
      <c r="AV945" s="58"/>
      <c r="AW945" s="58"/>
      <c r="AX945" s="58"/>
      <c r="AY945" s="58"/>
      <c r="AZ945" s="58"/>
      <c r="BA945" s="58"/>
    </row>
    <row r="946" spans="1:53" ht="12.75" customHeight="1" x14ac:dyDescent="0.2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  <c r="AL946" s="58"/>
      <c r="AM946" s="58"/>
      <c r="AN946" s="58"/>
      <c r="AO946" s="58"/>
      <c r="AP946" s="58"/>
      <c r="AQ946" s="58"/>
      <c r="AR946" s="58"/>
      <c r="AS946" s="58"/>
      <c r="AT946" s="58"/>
      <c r="AU946" s="58"/>
      <c r="AV946" s="58"/>
      <c r="AW946" s="58"/>
      <c r="AX946" s="58"/>
      <c r="AY946" s="58"/>
      <c r="AZ946" s="58"/>
      <c r="BA946" s="58"/>
    </row>
    <row r="947" spans="1:53" ht="12.75" customHeight="1" x14ac:dyDescent="0.2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  <c r="AL947" s="58"/>
      <c r="AM947" s="58"/>
      <c r="AN947" s="58"/>
      <c r="AO947" s="58"/>
      <c r="AP947" s="58"/>
      <c r="AQ947" s="58"/>
      <c r="AR947" s="58"/>
      <c r="AS947" s="58"/>
      <c r="AT947" s="58"/>
      <c r="AU947" s="58"/>
      <c r="AV947" s="58"/>
      <c r="AW947" s="58"/>
      <c r="AX947" s="58"/>
      <c r="AY947" s="58"/>
      <c r="AZ947" s="58"/>
      <c r="BA947" s="58"/>
    </row>
    <row r="948" spans="1:53" ht="12.75" customHeight="1" x14ac:dyDescent="0.2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  <c r="AL948" s="58"/>
      <c r="AM948" s="58"/>
      <c r="AN948" s="58"/>
      <c r="AO948" s="58"/>
      <c r="AP948" s="58"/>
      <c r="AQ948" s="58"/>
      <c r="AR948" s="58"/>
      <c r="AS948" s="58"/>
      <c r="AT948" s="58"/>
      <c r="AU948" s="58"/>
      <c r="AV948" s="58"/>
      <c r="AW948" s="58"/>
      <c r="AX948" s="58"/>
      <c r="AY948" s="58"/>
      <c r="AZ948" s="58"/>
      <c r="BA948" s="58"/>
    </row>
    <row r="949" spans="1:53" ht="12.75" customHeight="1" x14ac:dyDescent="0.2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  <c r="AL949" s="58"/>
      <c r="AM949" s="58"/>
      <c r="AN949" s="58"/>
      <c r="AO949" s="58"/>
      <c r="AP949" s="58"/>
      <c r="AQ949" s="58"/>
      <c r="AR949" s="58"/>
      <c r="AS949" s="58"/>
      <c r="AT949" s="58"/>
      <c r="AU949" s="58"/>
      <c r="AV949" s="58"/>
      <c r="AW949" s="58"/>
      <c r="AX949" s="58"/>
      <c r="AY949" s="58"/>
      <c r="AZ949" s="58"/>
      <c r="BA949" s="58"/>
    </row>
    <row r="950" spans="1:53" ht="12.75" customHeight="1" x14ac:dyDescent="0.2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  <c r="AL950" s="58"/>
      <c r="AM950" s="58"/>
      <c r="AN950" s="58"/>
      <c r="AO950" s="58"/>
      <c r="AP950" s="58"/>
      <c r="AQ950" s="58"/>
      <c r="AR950" s="58"/>
      <c r="AS950" s="58"/>
      <c r="AT950" s="58"/>
      <c r="AU950" s="58"/>
      <c r="AV950" s="58"/>
      <c r="AW950" s="58"/>
      <c r="AX950" s="58"/>
      <c r="AY950" s="58"/>
      <c r="AZ950" s="58"/>
      <c r="BA950" s="58"/>
    </row>
    <row r="951" spans="1:53" ht="12.75" customHeight="1" x14ac:dyDescent="0.2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  <c r="AL951" s="58"/>
      <c r="AM951" s="58"/>
      <c r="AN951" s="58"/>
      <c r="AO951" s="58"/>
      <c r="AP951" s="58"/>
      <c r="AQ951" s="58"/>
      <c r="AR951" s="58"/>
      <c r="AS951" s="58"/>
      <c r="AT951" s="58"/>
      <c r="AU951" s="58"/>
      <c r="AV951" s="58"/>
      <c r="AW951" s="58"/>
      <c r="AX951" s="58"/>
      <c r="AY951" s="58"/>
      <c r="AZ951" s="58"/>
      <c r="BA951" s="58"/>
    </row>
    <row r="952" spans="1:53" ht="12.75" customHeight="1" x14ac:dyDescent="0.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  <c r="AL952" s="58"/>
      <c r="AM952" s="58"/>
      <c r="AN952" s="58"/>
      <c r="AO952" s="58"/>
      <c r="AP952" s="58"/>
      <c r="AQ952" s="58"/>
      <c r="AR952" s="58"/>
      <c r="AS952" s="58"/>
      <c r="AT952" s="58"/>
      <c r="AU952" s="58"/>
      <c r="AV952" s="58"/>
      <c r="AW952" s="58"/>
      <c r="AX952" s="58"/>
      <c r="AY952" s="58"/>
      <c r="AZ952" s="58"/>
      <c r="BA952" s="58"/>
    </row>
    <row r="953" spans="1:53" ht="12.75" customHeight="1" x14ac:dyDescent="0.2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  <c r="AL953" s="58"/>
      <c r="AM953" s="58"/>
      <c r="AN953" s="58"/>
      <c r="AO953" s="58"/>
      <c r="AP953" s="58"/>
      <c r="AQ953" s="58"/>
      <c r="AR953" s="58"/>
      <c r="AS953" s="58"/>
      <c r="AT953" s="58"/>
      <c r="AU953" s="58"/>
      <c r="AV953" s="58"/>
      <c r="AW953" s="58"/>
      <c r="AX953" s="58"/>
      <c r="AY953" s="58"/>
      <c r="AZ953" s="58"/>
      <c r="BA953" s="58"/>
    </row>
    <row r="954" spans="1:53" ht="12.75" customHeight="1" x14ac:dyDescent="0.2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  <c r="AL954" s="58"/>
      <c r="AM954" s="58"/>
      <c r="AN954" s="58"/>
      <c r="AO954" s="58"/>
      <c r="AP954" s="58"/>
      <c r="AQ954" s="58"/>
      <c r="AR954" s="58"/>
      <c r="AS954" s="58"/>
      <c r="AT954" s="58"/>
      <c r="AU954" s="58"/>
      <c r="AV954" s="58"/>
      <c r="AW954" s="58"/>
      <c r="AX954" s="58"/>
      <c r="AY954" s="58"/>
      <c r="AZ954" s="58"/>
      <c r="BA954" s="58"/>
    </row>
    <row r="955" spans="1:53" ht="12.75" customHeight="1" x14ac:dyDescent="0.2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  <c r="AL955" s="58"/>
      <c r="AM955" s="58"/>
      <c r="AN955" s="58"/>
      <c r="AO955" s="58"/>
      <c r="AP955" s="58"/>
      <c r="AQ955" s="58"/>
      <c r="AR955" s="58"/>
      <c r="AS955" s="58"/>
      <c r="AT955" s="58"/>
      <c r="AU955" s="58"/>
      <c r="AV955" s="58"/>
      <c r="AW955" s="58"/>
      <c r="AX955" s="58"/>
      <c r="AY955" s="58"/>
      <c r="AZ955" s="58"/>
      <c r="BA955" s="58"/>
    </row>
    <row r="956" spans="1:53" ht="12.75" customHeight="1" x14ac:dyDescent="0.2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  <c r="AO956" s="58"/>
      <c r="AP956" s="58"/>
      <c r="AQ956" s="58"/>
      <c r="AR956" s="58"/>
      <c r="AS956" s="58"/>
      <c r="AT956" s="58"/>
      <c r="AU956" s="58"/>
      <c r="AV956" s="58"/>
      <c r="AW956" s="58"/>
      <c r="AX956" s="58"/>
      <c r="AY956" s="58"/>
      <c r="AZ956" s="58"/>
      <c r="BA956" s="58"/>
    </row>
    <row r="957" spans="1:53" ht="12.75" customHeight="1" x14ac:dyDescent="0.2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  <c r="AL957" s="58"/>
      <c r="AM957" s="58"/>
      <c r="AN957" s="58"/>
      <c r="AO957" s="58"/>
      <c r="AP957" s="58"/>
      <c r="AQ957" s="58"/>
      <c r="AR957" s="58"/>
      <c r="AS957" s="58"/>
      <c r="AT957" s="58"/>
      <c r="AU957" s="58"/>
      <c r="AV957" s="58"/>
      <c r="AW957" s="58"/>
      <c r="AX957" s="58"/>
      <c r="AY957" s="58"/>
      <c r="AZ957" s="58"/>
      <c r="BA957" s="58"/>
    </row>
    <row r="958" spans="1:53" ht="12.75" customHeight="1" x14ac:dyDescent="0.2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  <c r="AL958" s="58"/>
      <c r="AM958" s="58"/>
      <c r="AN958" s="58"/>
      <c r="AO958" s="58"/>
      <c r="AP958" s="58"/>
      <c r="AQ958" s="58"/>
      <c r="AR958" s="58"/>
      <c r="AS958" s="58"/>
      <c r="AT958" s="58"/>
      <c r="AU958" s="58"/>
      <c r="AV958" s="58"/>
      <c r="AW958" s="58"/>
      <c r="AX958" s="58"/>
      <c r="AY958" s="58"/>
      <c r="AZ958" s="58"/>
      <c r="BA958" s="58"/>
    </row>
    <row r="959" spans="1:53" ht="12.75" customHeight="1" x14ac:dyDescent="0.2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  <c r="AL959" s="58"/>
      <c r="AM959" s="58"/>
      <c r="AN959" s="58"/>
      <c r="AO959" s="58"/>
      <c r="AP959" s="58"/>
      <c r="AQ959" s="58"/>
      <c r="AR959" s="58"/>
      <c r="AS959" s="58"/>
      <c r="AT959" s="58"/>
      <c r="AU959" s="58"/>
      <c r="AV959" s="58"/>
      <c r="AW959" s="58"/>
      <c r="AX959" s="58"/>
      <c r="AY959" s="58"/>
      <c r="AZ959" s="58"/>
      <c r="BA959" s="58"/>
    </row>
    <row r="960" spans="1:53" ht="12.75" customHeight="1" x14ac:dyDescent="0.2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  <c r="AL960" s="58"/>
      <c r="AM960" s="58"/>
      <c r="AN960" s="58"/>
      <c r="AO960" s="58"/>
      <c r="AP960" s="58"/>
      <c r="AQ960" s="58"/>
      <c r="AR960" s="58"/>
      <c r="AS960" s="58"/>
      <c r="AT960" s="58"/>
      <c r="AU960" s="58"/>
      <c r="AV960" s="58"/>
      <c r="AW960" s="58"/>
      <c r="AX960" s="58"/>
      <c r="AY960" s="58"/>
      <c r="AZ960" s="58"/>
      <c r="BA960" s="58"/>
    </row>
    <row r="961" spans="1:53" ht="12.75" customHeight="1" x14ac:dyDescent="0.2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  <c r="AL961" s="58"/>
      <c r="AM961" s="58"/>
      <c r="AN961" s="58"/>
      <c r="AO961" s="58"/>
      <c r="AP961" s="58"/>
      <c r="AQ961" s="58"/>
      <c r="AR961" s="58"/>
      <c r="AS961" s="58"/>
      <c r="AT961" s="58"/>
      <c r="AU961" s="58"/>
      <c r="AV961" s="58"/>
      <c r="AW961" s="58"/>
      <c r="AX961" s="58"/>
      <c r="AY961" s="58"/>
      <c r="AZ961" s="58"/>
      <c r="BA961" s="58"/>
    </row>
    <row r="962" spans="1:53" ht="12.75" customHeight="1" x14ac:dyDescent="0.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  <c r="AL962" s="58"/>
      <c r="AM962" s="58"/>
      <c r="AN962" s="58"/>
      <c r="AO962" s="58"/>
      <c r="AP962" s="58"/>
      <c r="AQ962" s="58"/>
      <c r="AR962" s="58"/>
      <c r="AS962" s="58"/>
      <c r="AT962" s="58"/>
      <c r="AU962" s="58"/>
      <c r="AV962" s="58"/>
      <c r="AW962" s="58"/>
      <c r="AX962" s="58"/>
      <c r="AY962" s="58"/>
      <c r="AZ962" s="58"/>
      <c r="BA962" s="58"/>
    </row>
    <row r="963" spans="1:53" ht="12.75" customHeight="1" x14ac:dyDescent="0.2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  <c r="AL963" s="58"/>
      <c r="AM963" s="58"/>
      <c r="AN963" s="58"/>
      <c r="AO963" s="58"/>
      <c r="AP963" s="58"/>
      <c r="AQ963" s="58"/>
      <c r="AR963" s="58"/>
      <c r="AS963" s="58"/>
      <c r="AT963" s="58"/>
      <c r="AU963" s="58"/>
      <c r="AV963" s="58"/>
      <c r="AW963" s="58"/>
      <c r="AX963" s="58"/>
      <c r="AY963" s="58"/>
      <c r="AZ963" s="58"/>
      <c r="BA963" s="58"/>
    </row>
    <row r="964" spans="1:53" ht="12.75" customHeight="1" x14ac:dyDescent="0.2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  <c r="AL964" s="58"/>
      <c r="AM964" s="58"/>
      <c r="AN964" s="58"/>
      <c r="AO964" s="58"/>
      <c r="AP964" s="58"/>
      <c r="AQ964" s="58"/>
      <c r="AR964" s="58"/>
      <c r="AS964" s="58"/>
      <c r="AT964" s="58"/>
      <c r="AU964" s="58"/>
      <c r="AV964" s="58"/>
      <c r="AW964" s="58"/>
      <c r="AX964" s="58"/>
      <c r="AY964" s="58"/>
      <c r="AZ964" s="58"/>
      <c r="BA964" s="58"/>
    </row>
    <row r="965" spans="1:53" ht="12.75" customHeight="1" x14ac:dyDescent="0.2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  <c r="AL965" s="58"/>
      <c r="AM965" s="58"/>
      <c r="AN965" s="58"/>
      <c r="AO965" s="58"/>
      <c r="AP965" s="58"/>
      <c r="AQ965" s="58"/>
      <c r="AR965" s="58"/>
      <c r="AS965" s="58"/>
      <c r="AT965" s="58"/>
      <c r="AU965" s="58"/>
      <c r="AV965" s="58"/>
      <c r="AW965" s="58"/>
      <c r="AX965" s="58"/>
      <c r="AY965" s="58"/>
      <c r="AZ965" s="58"/>
      <c r="BA965" s="58"/>
    </row>
    <row r="966" spans="1:53" ht="12.75" customHeight="1" x14ac:dyDescent="0.2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  <c r="AL966" s="58"/>
      <c r="AM966" s="58"/>
      <c r="AN966" s="58"/>
      <c r="AO966" s="58"/>
      <c r="AP966" s="58"/>
      <c r="AQ966" s="58"/>
      <c r="AR966" s="58"/>
      <c r="AS966" s="58"/>
      <c r="AT966" s="58"/>
      <c r="AU966" s="58"/>
      <c r="AV966" s="58"/>
      <c r="AW966" s="58"/>
      <c r="AX966" s="58"/>
      <c r="AY966" s="58"/>
      <c r="AZ966" s="58"/>
      <c r="BA966" s="58"/>
    </row>
    <row r="967" spans="1:53" ht="12.75" customHeight="1" x14ac:dyDescent="0.2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  <c r="AL967" s="58"/>
      <c r="AM967" s="58"/>
      <c r="AN967" s="58"/>
      <c r="AO967" s="58"/>
      <c r="AP967" s="58"/>
      <c r="AQ967" s="58"/>
      <c r="AR967" s="58"/>
      <c r="AS967" s="58"/>
      <c r="AT967" s="58"/>
      <c r="AU967" s="58"/>
      <c r="AV967" s="58"/>
      <c r="AW967" s="58"/>
      <c r="AX967" s="58"/>
      <c r="AY967" s="58"/>
      <c r="AZ967" s="58"/>
      <c r="BA967" s="58"/>
    </row>
    <row r="968" spans="1:53" ht="12.75" customHeight="1" x14ac:dyDescent="0.2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  <c r="AL968" s="58"/>
      <c r="AM968" s="58"/>
      <c r="AN968" s="58"/>
      <c r="AO968" s="58"/>
      <c r="AP968" s="58"/>
      <c r="AQ968" s="58"/>
      <c r="AR968" s="58"/>
      <c r="AS968" s="58"/>
      <c r="AT968" s="58"/>
      <c r="AU968" s="58"/>
      <c r="AV968" s="58"/>
      <c r="AW968" s="58"/>
      <c r="AX968" s="58"/>
      <c r="AY968" s="58"/>
      <c r="AZ968" s="58"/>
      <c r="BA968" s="58"/>
    </row>
    <row r="969" spans="1:53" ht="12.75" customHeight="1" x14ac:dyDescent="0.2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  <c r="AL969" s="58"/>
      <c r="AM969" s="58"/>
      <c r="AN969" s="58"/>
      <c r="AO969" s="58"/>
      <c r="AP969" s="58"/>
      <c r="AQ969" s="58"/>
      <c r="AR969" s="58"/>
      <c r="AS969" s="58"/>
      <c r="AT969" s="58"/>
      <c r="AU969" s="58"/>
      <c r="AV969" s="58"/>
      <c r="AW969" s="58"/>
      <c r="AX969" s="58"/>
      <c r="AY969" s="58"/>
      <c r="AZ969" s="58"/>
      <c r="BA969" s="58"/>
    </row>
    <row r="970" spans="1:53" ht="12.75" customHeight="1" x14ac:dyDescent="0.2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  <c r="AL970" s="58"/>
      <c r="AM970" s="58"/>
      <c r="AN970" s="58"/>
      <c r="AO970" s="58"/>
      <c r="AP970" s="58"/>
      <c r="AQ970" s="58"/>
      <c r="AR970" s="58"/>
      <c r="AS970" s="58"/>
      <c r="AT970" s="58"/>
      <c r="AU970" s="58"/>
      <c r="AV970" s="58"/>
      <c r="AW970" s="58"/>
      <c r="AX970" s="58"/>
      <c r="AY970" s="58"/>
      <c r="AZ970" s="58"/>
      <c r="BA970" s="58"/>
    </row>
    <row r="971" spans="1:53" ht="12.75" customHeight="1" x14ac:dyDescent="0.2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  <c r="AL971" s="58"/>
      <c r="AM971" s="58"/>
      <c r="AN971" s="58"/>
      <c r="AO971" s="58"/>
      <c r="AP971" s="58"/>
      <c r="AQ971" s="58"/>
      <c r="AR971" s="58"/>
      <c r="AS971" s="58"/>
      <c r="AT971" s="58"/>
      <c r="AU971" s="58"/>
      <c r="AV971" s="58"/>
      <c r="AW971" s="58"/>
      <c r="AX971" s="58"/>
      <c r="AY971" s="58"/>
      <c r="AZ971" s="58"/>
      <c r="BA971" s="58"/>
    </row>
    <row r="972" spans="1:53" ht="12.75" customHeight="1" x14ac:dyDescent="0.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  <c r="AL972" s="58"/>
      <c r="AM972" s="58"/>
      <c r="AN972" s="58"/>
      <c r="AO972" s="58"/>
      <c r="AP972" s="58"/>
      <c r="AQ972" s="58"/>
      <c r="AR972" s="58"/>
      <c r="AS972" s="58"/>
      <c r="AT972" s="58"/>
      <c r="AU972" s="58"/>
      <c r="AV972" s="58"/>
      <c r="AW972" s="58"/>
      <c r="AX972" s="58"/>
      <c r="AY972" s="58"/>
      <c r="AZ972" s="58"/>
      <c r="BA972" s="58"/>
    </row>
    <row r="973" spans="1:53" ht="12.75" customHeight="1" x14ac:dyDescent="0.2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  <c r="AL973" s="58"/>
      <c r="AM973" s="58"/>
      <c r="AN973" s="58"/>
      <c r="AO973" s="58"/>
      <c r="AP973" s="58"/>
      <c r="AQ973" s="58"/>
      <c r="AR973" s="58"/>
      <c r="AS973" s="58"/>
      <c r="AT973" s="58"/>
      <c r="AU973" s="58"/>
      <c r="AV973" s="58"/>
      <c r="AW973" s="58"/>
      <c r="AX973" s="58"/>
      <c r="AY973" s="58"/>
      <c r="AZ973" s="58"/>
      <c r="BA973" s="58"/>
    </row>
    <row r="974" spans="1:53" ht="12.75" customHeight="1" x14ac:dyDescent="0.2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  <c r="AL974" s="58"/>
      <c r="AM974" s="58"/>
      <c r="AN974" s="58"/>
      <c r="AO974" s="58"/>
      <c r="AP974" s="58"/>
      <c r="AQ974" s="58"/>
      <c r="AR974" s="58"/>
      <c r="AS974" s="58"/>
      <c r="AT974" s="58"/>
      <c r="AU974" s="58"/>
      <c r="AV974" s="58"/>
      <c r="AW974" s="58"/>
      <c r="AX974" s="58"/>
      <c r="AY974" s="58"/>
      <c r="AZ974" s="58"/>
      <c r="BA974" s="58"/>
    </row>
    <row r="975" spans="1:53" ht="12.75" customHeight="1" x14ac:dyDescent="0.2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  <c r="AL975" s="58"/>
      <c r="AM975" s="58"/>
      <c r="AN975" s="58"/>
      <c r="AO975" s="58"/>
      <c r="AP975" s="58"/>
      <c r="AQ975" s="58"/>
      <c r="AR975" s="58"/>
      <c r="AS975" s="58"/>
      <c r="AT975" s="58"/>
      <c r="AU975" s="58"/>
      <c r="AV975" s="58"/>
      <c r="AW975" s="58"/>
      <c r="AX975" s="58"/>
      <c r="AY975" s="58"/>
      <c r="AZ975" s="58"/>
      <c r="BA975" s="58"/>
    </row>
    <row r="976" spans="1:53" ht="12.75" customHeight="1" x14ac:dyDescent="0.2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  <c r="AL976" s="58"/>
      <c r="AM976" s="58"/>
      <c r="AN976" s="58"/>
      <c r="AO976" s="58"/>
      <c r="AP976" s="58"/>
      <c r="AQ976" s="58"/>
      <c r="AR976" s="58"/>
      <c r="AS976" s="58"/>
      <c r="AT976" s="58"/>
      <c r="AU976" s="58"/>
      <c r="AV976" s="58"/>
      <c r="AW976" s="58"/>
      <c r="AX976" s="58"/>
      <c r="AY976" s="58"/>
      <c r="AZ976" s="58"/>
      <c r="BA976" s="58"/>
    </row>
    <row r="977" spans="1:53" ht="12.75" customHeight="1" x14ac:dyDescent="0.2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  <c r="AL977" s="58"/>
      <c r="AM977" s="58"/>
      <c r="AN977" s="58"/>
      <c r="AO977" s="58"/>
      <c r="AP977" s="58"/>
      <c r="AQ977" s="58"/>
      <c r="AR977" s="58"/>
      <c r="AS977" s="58"/>
      <c r="AT977" s="58"/>
      <c r="AU977" s="58"/>
      <c r="AV977" s="58"/>
      <c r="AW977" s="58"/>
      <c r="AX977" s="58"/>
      <c r="AY977" s="58"/>
      <c r="AZ977" s="58"/>
      <c r="BA977" s="58"/>
    </row>
    <row r="978" spans="1:53" ht="12.75" customHeight="1" x14ac:dyDescent="0.2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  <c r="AL978" s="58"/>
      <c r="AM978" s="58"/>
      <c r="AN978" s="58"/>
      <c r="AO978" s="58"/>
      <c r="AP978" s="58"/>
      <c r="AQ978" s="58"/>
      <c r="AR978" s="58"/>
      <c r="AS978" s="58"/>
      <c r="AT978" s="58"/>
      <c r="AU978" s="58"/>
      <c r="AV978" s="58"/>
      <c r="AW978" s="58"/>
      <c r="AX978" s="58"/>
      <c r="AY978" s="58"/>
      <c r="AZ978" s="58"/>
      <c r="BA978" s="58"/>
    </row>
    <row r="979" spans="1:53" ht="12.75" customHeight="1" x14ac:dyDescent="0.2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  <c r="AL979" s="58"/>
      <c r="AM979" s="58"/>
      <c r="AN979" s="58"/>
      <c r="AO979" s="58"/>
      <c r="AP979" s="58"/>
      <c r="AQ979" s="58"/>
      <c r="AR979" s="58"/>
      <c r="AS979" s="58"/>
      <c r="AT979" s="58"/>
      <c r="AU979" s="58"/>
      <c r="AV979" s="58"/>
      <c r="AW979" s="58"/>
      <c r="AX979" s="58"/>
      <c r="AY979" s="58"/>
      <c r="AZ979" s="58"/>
      <c r="BA979" s="58"/>
    </row>
    <row r="980" spans="1:53" ht="12.75" customHeight="1" x14ac:dyDescent="0.2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  <c r="AL980" s="58"/>
      <c r="AM980" s="58"/>
      <c r="AN980" s="58"/>
      <c r="AO980" s="58"/>
      <c r="AP980" s="58"/>
      <c r="AQ980" s="58"/>
      <c r="AR980" s="58"/>
      <c r="AS980" s="58"/>
      <c r="AT980" s="58"/>
      <c r="AU980" s="58"/>
      <c r="AV980" s="58"/>
      <c r="AW980" s="58"/>
      <c r="AX980" s="58"/>
      <c r="AY980" s="58"/>
      <c r="AZ980" s="58"/>
      <c r="BA980" s="58"/>
    </row>
    <row r="981" spans="1:53" ht="12.75" customHeight="1" x14ac:dyDescent="0.2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  <c r="AL981" s="58"/>
      <c r="AM981" s="58"/>
      <c r="AN981" s="58"/>
      <c r="AO981" s="58"/>
      <c r="AP981" s="58"/>
      <c r="AQ981" s="58"/>
      <c r="AR981" s="58"/>
      <c r="AS981" s="58"/>
      <c r="AT981" s="58"/>
      <c r="AU981" s="58"/>
      <c r="AV981" s="58"/>
      <c r="AW981" s="58"/>
      <c r="AX981" s="58"/>
      <c r="AY981" s="58"/>
      <c r="AZ981" s="58"/>
      <c r="BA981" s="58"/>
    </row>
    <row r="982" spans="1:53" ht="12.75" customHeight="1" x14ac:dyDescent="0.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  <c r="AL982" s="58"/>
      <c r="AM982" s="58"/>
      <c r="AN982" s="58"/>
      <c r="AO982" s="58"/>
      <c r="AP982" s="58"/>
      <c r="AQ982" s="58"/>
      <c r="AR982" s="58"/>
      <c r="AS982" s="58"/>
      <c r="AT982" s="58"/>
      <c r="AU982" s="58"/>
      <c r="AV982" s="58"/>
      <c r="AW982" s="58"/>
      <c r="AX982" s="58"/>
      <c r="AY982" s="58"/>
      <c r="AZ982" s="58"/>
      <c r="BA982" s="58"/>
    </row>
    <row r="983" spans="1:53" ht="12.75" customHeight="1" x14ac:dyDescent="0.2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  <c r="AL983" s="58"/>
      <c r="AM983" s="58"/>
      <c r="AN983" s="58"/>
      <c r="AO983" s="58"/>
      <c r="AP983" s="58"/>
      <c r="AQ983" s="58"/>
      <c r="AR983" s="58"/>
      <c r="AS983" s="58"/>
      <c r="AT983" s="58"/>
      <c r="AU983" s="58"/>
      <c r="AV983" s="58"/>
      <c r="AW983" s="58"/>
      <c r="AX983" s="58"/>
      <c r="AY983" s="58"/>
      <c r="AZ983" s="58"/>
      <c r="BA983" s="58"/>
    </row>
    <row r="984" spans="1:53" ht="12.75" customHeight="1" x14ac:dyDescent="0.2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  <c r="AL984" s="58"/>
      <c r="AM984" s="58"/>
      <c r="AN984" s="58"/>
      <c r="AO984" s="58"/>
      <c r="AP984" s="58"/>
      <c r="AQ984" s="58"/>
      <c r="AR984" s="58"/>
      <c r="AS984" s="58"/>
      <c r="AT984" s="58"/>
      <c r="AU984" s="58"/>
      <c r="AV984" s="58"/>
      <c r="AW984" s="58"/>
      <c r="AX984" s="58"/>
      <c r="AY984" s="58"/>
      <c r="AZ984" s="58"/>
      <c r="BA984" s="58"/>
    </row>
    <row r="985" spans="1:53" ht="12.75" customHeight="1" x14ac:dyDescent="0.2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  <c r="AL985" s="58"/>
      <c r="AM985" s="58"/>
      <c r="AN985" s="58"/>
      <c r="AO985" s="58"/>
      <c r="AP985" s="58"/>
      <c r="AQ985" s="58"/>
      <c r="AR985" s="58"/>
      <c r="AS985" s="58"/>
      <c r="AT985" s="58"/>
      <c r="AU985" s="58"/>
      <c r="AV985" s="58"/>
      <c r="AW985" s="58"/>
      <c r="AX985" s="58"/>
      <c r="AY985" s="58"/>
      <c r="AZ985" s="58"/>
      <c r="BA985" s="58"/>
    </row>
    <row r="986" spans="1:53" ht="12.75" customHeight="1" x14ac:dyDescent="0.2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  <c r="AL986" s="58"/>
      <c r="AM986" s="58"/>
      <c r="AN986" s="58"/>
      <c r="AO986" s="58"/>
      <c r="AP986" s="58"/>
      <c r="AQ986" s="58"/>
      <c r="AR986" s="58"/>
      <c r="AS986" s="58"/>
      <c r="AT986" s="58"/>
      <c r="AU986" s="58"/>
      <c r="AV986" s="58"/>
      <c r="AW986" s="58"/>
      <c r="AX986" s="58"/>
      <c r="AY986" s="58"/>
      <c r="AZ986" s="58"/>
      <c r="BA986" s="58"/>
    </row>
    <row r="987" spans="1:53" ht="12.75" customHeight="1" x14ac:dyDescent="0.2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  <c r="AL987" s="58"/>
      <c r="AM987" s="58"/>
      <c r="AN987" s="58"/>
      <c r="AO987" s="58"/>
      <c r="AP987" s="58"/>
      <c r="AQ987" s="58"/>
      <c r="AR987" s="58"/>
      <c r="AS987" s="58"/>
      <c r="AT987" s="58"/>
      <c r="AU987" s="58"/>
      <c r="AV987" s="58"/>
      <c r="AW987" s="58"/>
      <c r="AX987" s="58"/>
      <c r="AY987" s="58"/>
      <c r="AZ987" s="58"/>
      <c r="BA987" s="58"/>
    </row>
    <row r="988" spans="1:53" ht="12.75" customHeight="1" x14ac:dyDescent="0.2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  <c r="AL988" s="58"/>
      <c r="AM988" s="58"/>
      <c r="AN988" s="58"/>
      <c r="AO988" s="58"/>
      <c r="AP988" s="58"/>
      <c r="AQ988" s="58"/>
      <c r="AR988" s="58"/>
      <c r="AS988" s="58"/>
      <c r="AT988" s="58"/>
      <c r="AU988" s="58"/>
      <c r="AV988" s="58"/>
      <c r="AW988" s="58"/>
      <c r="AX988" s="58"/>
      <c r="AY988" s="58"/>
      <c r="AZ988" s="58"/>
      <c r="BA988" s="58"/>
    </row>
    <row r="989" spans="1:53" ht="12.75" customHeight="1" x14ac:dyDescent="0.2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  <c r="AL989" s="58"/>
      <c r="AM989" s="58"/>
      <c r="AN989" s="58"/>
      <c r="AO989" s="58"/>
      <c r="AP989" s="58"/>
      <c r="AQ989" s="58"/>
      <c r="AR989" s="58"/>
      <c r="AS989" s="58"/>
      <c r="AT989" s="58"/>
      <c r="AU989" s="58"/>
      <c r="AV989" s="58"/>
      <c r="AW989" s="58"/>
      <c r="AX989" s="58"/>
      <c r="AY989" s="58"/>
      <c r="AZ989" s="58"/>
      <c r="BA989" s="58"/>
    </row>
    <row r="990" spans="1:53" ht="12.75" customHeight="1" x14ac:dyDescent="0.2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  <c r="AL990" s="58"/>
      <c r="AM990" s="58"/>
      <c r="AN990" s="58"/>
      <c r="AO990" s="58"/>
      <c r="AP990" s="58"/>
      <c r="AQ990" s="58"/>
      <c r="AR990" s="58"/>
      <c r="AS990" s="58"/>
      <c r="AT990" s="58"/>
      <c r="AU990" s="58"/>
      <c r="AV990" s="58"/>
      <c r="AW990" s="58"/>
      <c r="AX990" s="58"/>
      <c r="AY990" s="58"/>
      <c r="AZ990" s="58"/>
      <c r="BA990" s="58"/>
    </row>
    <row r="991" spans="1:53" ht="12.75" customHeight="1" x14ac:dyDescent="0.2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  <c r="AL991" s="58"/>
      <c r="AM991" s="58"/>
      <c r="AN991" s="58"/>
      <c r="AO991" s="58"/>
      <c r="AP991" s="58"/>
      <c r="AQ991" s="58"/>
      <c r="AR991" s="58"/>
      <c r="AS991" s="58"/>
      <c r="AT991" s="58"/>
      <c r="AU991" s="58"/>
      <c r="AV991" s="58"/>
      <c r="AW991" s="58"/>
      <c r="AX991" s="58"/>
      <c r="AY991" s="58"/>
      <c r="AZ991" s="58"/>
      <c r="BA991" s="58"/>
    </row>
    <row r="992" spans="1:53" ht="12.75" customHeight="1" x14ac:dyDescent="0.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  <c r="AL992" s="58"/>
      <c r="AM992" s="58"/>
      <c r="AN992" s="58"/>
      <c r="AO992" s="58"/>
      <c r="AP992" s="58"/>
      <c r="AQ992" s="58"/>
      <c r="AR992" s="58"/>
      <c r="AS992" s="58"/>
      <c r="AT992" s="58"/>
      <c r="AU992" s="58"/>
      <c r="AV992" s="58"/>
      <c r="AW992" s="58"/>
      <c r="AX992" s="58"/>
      <c r="AY992" s="58"/>
      <c r="AZ992" s="58"/>
      <c r="BA992" s="58"/>
    </row>
    <row r="993" spans="1:53" ht="12.75" customHeight="1" x14ac:dyDescent="0.2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  <c r="AL993" s="58"/>
      <c r="AM993" s="58"/>
      <c r="AN993" s="58"/>
      <c r="AO993" s="58"/>
      <c r="AP993" s="58"/>
      <c r="AQ993" s="58"/>
      <c r="AR993" s="58"/>
      <c r="AS993" s="58"/>
      <c r="AT993" s="58"/>
      <c r="AU993" s="58"/>
      <c r="AV993" s="58"/>
      <c r="AW993" s="58"/>
      <c r="AX993" s="58"/>
      <c r="AY993" s="58"/>
      <c r="AZ993" s="58"/>
      <c r="BA993" s="58"/>
    </row>
    <row r="994" spans="1:53" ht="12.75" customHeight="1" x14ac:dyDescent="0.2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  <c r="AL994" s="58"/>
      <c r="AM994" s="58"/>
      <c r="AN994" s="58"/>
      <c r="AO994" s="58"/>
      <c r="AP994" s="58"/>
      <c r="AQ994" s="58"/>
      <c r="AR994" s="58"/>
      <c r="AS994" s="58"/>
      <c r="AT994" s="58"/>
      <c r="AU994" s="58"/>
      <c r="AV994" s="58"/>
      <c r="AW994" s="58"/>
      <c r="AX994" s="58"/>
      <c r="AY994" s="58"/>
      <c r="AZ994" s="58"/>
      <c r="BA994" s="58"/>
    </row>
    <row r="995" spans="1:53" ht="12.75" customHeight="1" x14ac:dyDescent="0.2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  <c r="AL995" s="58"/>
      <c r="AM995" s="58"/>
      <c r="AN995" s="58"/>
      <c r="AO995" s="58"/>
      <c r="AP995" s="58"/>
      <c r="AQ995" s="58"/>
      <c r="AR995" s="58"/>
      <c r="AS995" s="58"/>
      <c r="AT995" s="58"/>
      <c r="AU995" s="58"/>
      <c r="AV995" s="58"/>
      <c r="AW995" s="58"/>
      <c r="AX995" s="58"/>
      <c r="AY995" s="58"/>
      <c r="AZ995" s="58"/>
      <c r="BA995" s="58"/>
    </row>
    <row r="996" spans="1:53" ht="12.75" customHeight="1" x14ac:dyDescent="0.2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  <c r="AL996" s="58"/>
      <c r="AM996" s="58"/>
      <c r="AN996" s="58"/>
      <c r="AO996" s="58"/>
      <c r="AP996" s="58"/>
      <c r="AQ996" s="58"/>
      <c r="AR996" s="58"/>
      <c r="AS996" s="58"/>
      <c r="AT996" s="58"/>
      <c r="AU996" s="58"/>
      <c r="AV996" s="58"/>
      <c r="AW996" s="58"/>
      <c r="AX996" s="58"/>
      <c r="AY996" s="58"/>
      <c r="AZ996" s="58"/>
      <c r="BA996" s="58"/>
    </row>
    <row r="997" spans="1:53" ht="12.75" customHeight="1" x14ac:dyDescent="0.2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  <c r="AL997" s="58"/>
      <c r="AM997" s="58"/>
      <c r="AN997" s="58"/>
      <c r="AO997" s="58"/>
      <c r="AP997" s="58"/>
      <c r="AQ997" s="58"/>
      <c r="AR997" s="58"/>
      <c r="AS997" s="58"/>
      <c r="AT997" s="58"/>
      <c r="AU997" s="58"/>
      <c r="AV997" s="58"/>
      <c r="AW997" s="58"/>
      <c r="AX997" s="58"/>
      <c r="AY997" s="58"/>
      <c r="AZ997" s="58"/>
      <c r="BA997" s="58"/>
    </row>
    <row r="998" spans="1:53" ht="12.75" customHeight="1" x14ac:dyDescent="0.2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  <c r="AL998" s="58"/>
      <c r="AM998" s="58"/>
      <c r="AN998" s="58"/>
      <c r="AO998" s="58"/>
      <c r="AP998" s="58"/>
      <c r="AQ998" s="58"/>
      <c r="AR998" s="58"/>
      <c r="AS998" s="58"/>
      <c r="AT998" s="58"/>
      <c r="AU998" s="58"/>
      <c r="AV998" s="58"/>
      <c r="AW998" s="58"/>
      <c r="AX998" s="58"/>
      <c r="AY998" s="58"/>
      <c r="AZ998" s="58"/>
      <c r="BA998" s="58"/>
    </row>
    <row r="999" spans="1:53" ht="12.75" customHeight="1" x14ac:dyDescent="0.2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  <c r="AL999" s="58"/>
      <c r="AM999" s="58"/>
      <c r="AN999" s="58"/>
      <c r="AO999" s="58"/>
      <c r="AP999" s="58"/>
      <c r="AQ999" s="58"/>
      <c r="AR999" s="58"/>
      <c r="AS999" s="58"/>
      <c r="AT999" s="58"/>
      <c r="AU999" s="58"/>
      <c r="AV999" s="58"/>
      <c r="AW999" s="58"/>
      <c r="AX999" s="58"/>
      <c r="AY999" s="58"/>
      <c r="AZ999" s="58"/>
      <c r="BA999" s="58"/>
    </row>
    <row r="1000" spans="1:53" ht="12.75" customHeight="1" x14ac:dyDescent="0.2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  <c r="AL1000" s="58"/>
      <c r="AM1000" s="58"/>
      <c r="AN1000" s="58"/>
      <c r="AO1000" s="58"/>
      <c r="AP1000" s="58"/>
      <c r="AQ1000" s="58"/>
      <c r="AR1000" s="58"/>
      <c r="AS1000" s="58"/>
      <c r="AT1000" s="58"/>
      <c r="AU1000" s="58"/>
      <c r="AV1000" s="58"/>
      <c r="AW1000" s="58"/>
      <c r="AX1000" s="58"/>
      <c r="AY1000" s="58"/>
      <c r="AZ1000" s="58"/>
      <c r="BA1000" s="58"/>
    </row>
  </sheetData>
  <mergeCells count="1">
    <mergeCell ref="A1:T1"/>
  </mergeCells>
  <pageMargins left="0.75" right="0.75" top="1" bottom="1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00"/>
  <sheetViews>
    <sheetView showGridLines="0" workbookViewId="0"/>
  </sheetViews>
  <sheetFormatPr baseColWidth="10" defaultColWidth="14.5" defaultRowHeight="15" customHeight="1" x14ac:dyDescent="0.2"/>
  <cols>
    <col min="1" max="1" width="50" customWidth="1"/>
    <col min="2" max="13" width="14" customWidth="1"/>
    <col min="14" max="33" width="8.6640625" customWidth="1"/>
  </cols>
  <sheetData>
    <row r="1" spans="1:14" ht="15" customHeight="1" x14ac:dyDescent="0.2">
      <c r="A1" s="193" t="s">
        <v>707</v>
      </c>
    </row>
    <row r="2" spans="1:14" ht="15" customHeight="1" x14ac:dyDescent="0.2">
      <c r="A2" s="48" t="s">
        <v>708</v>
      </c>
    </row>
    <row r="4" spans="1:14" ht="15" customHeight="1" x14ac:dyDescent="0.2">
      <c r="A4" s="42" t="s">
        <v>625</v>
      </c>
    </row>
    <row r="5" spans="1:14" ht="15" customHeight="1" x14ac:dyDescent="0.2">
      <c r="A5" s="42" t="s">
        <v>102</v>
      </c>
      <c r="B5" s="118">
        <v>2026</v>
      </c>
      <c r="C5" s="118">
        <v>2027</v>
      </c>
      <c r="D5" s="118">
        <v>2028</v>
      </c>
      <c r="E5" s="118">
        <v>2029</v>
      </c>
      <c r="F5" s="118">
        <v>2030</v>
      </c>
      <c r="G5" s="118">
        <v>2031</v>
      </c>
      <c r="H5" s="118">
        <v>2032</v>
      </c>
      <c r="I5" s="118">
        <v>2033</v>
      </c>
      <c r="J5" s="118">
        <v>2034</v>
      </c>
      <c r="K5" s="118">
        <v>2035</v>
      </c>
      <c r="L5" s="118">
        <v>2036</v>
      </c>
      <c r="M5" s="42" t="s">
        <v>555</v>
      </c>
    </row>
    <row r="6" spans="1:14" ht="15" customHeight="1" x14ac:dyDescent="0.2">
      <c r="A6" s="48" t="s">
        <v>592</v>
      </c>
      <c r="B6" s="116">
        <f>'FLUJO 11 AÑOS'!B44</f>
        <v>3000000</v>
      </c>
      <c r="C6" s="116">
        <f>'FLUJO 11 AÑOS'!C44</f>
        <v>8276858.8731527096</v>
      </c>
      <c r="D6" s="116">
        <f>'FLUJO 11 AÑOS'!D44</f>
        <v>13582178.780604161</v>
      </c>
      <c r="E6" s="116">
        <f>'FLUJO 11 AÑOS'!E44</f>
        <v>19097054.036225777</v>
      </c>
      <c r="F6" s="116">
        <f>'FLUJO 11 AÑOS'!F44</f>
        <v>27830407.798961092</v>
      </c>
      <c r="G6" s="116">
        <f>'FLUJO 11 AÑOS'!G44</f>
        <v>36929753.333956137</v>
      </c>
      <c r="H6" s="116">
        <f>'FLUJO 11 AÑOS'!H44</f>
        <v>46390088.77003099</v>
      </c>
      <c r="I6" s="116">
        <f>'FLUJO 11 AÑOS'!I44</f>
        <v>56225244.962845005</v>
      </c>
      <c r="J6" s="116">
        <f>'FLUJO 11 AÑOS'!J44</f>
        <v>58450060.553173013</v>
      </c>
      <c r="K6" s="116">
        <f>'FLUJO 11 AÑOS'!K44</f>
        <v>60709726.878653318</v>
      </c>
      <c r="L6" s="116">
        <f>'FLUJO 11 AÑOS'!L44</f>
        <v>63057631.254633501</v>
      </c>
      <c r="M6" s="117">
        <f t="shared" ref="M6:M8" si="0">SUM(B6:L6)</f>
        <v>393549005.24223572</v>
      </c>
    </row>
    <row r="7" spans="1:14" ht="15" customHeight="1" x14ac:dyDescent="0.2">
      <c r="A7" s="48" t="s">
        <v>626</v>
      </c>
      <c r="B7" s="116">
        <f>'FLUJO 11 AÑOS'!B26</f>
        <v>0</v>
      </c>
      <c r="C7" s="116">
        <f>'FLUJO 11 AÑOS'!C26</f>
        <v>0</v>
      </c>
      <c r="D7" s="116">
        <f>'FLUJO 11 AÑOS'!D26</f>
        <v>0</v>
      </c>
      <c r="E7" s="116">
        <f>'FLUJO 11 AÑOS'!E26</f>
        <v>0</v>
      </c>
      <c r="F7" s="116">
        <f>'FLUJO 11 AÑOS'!F26</f>
        <v>0</v>
      </c>
      <c r="G7" s="116">
        <f>'FLUJO 11 AÑOS'!G26</f>
        <v>0</v>
      </c>
      <c r="H7" s="116">
        <f>'FLUJO 11 AÑOS'!H26</f>
        <v>0</v>
      </c>
      <c r="I7" s="116">
        <f>'FLUJO 11 AÑOS'!I26</f>
        <v>0</v>
      </c>
      <c r="J7" s="116">
        <f>'FLUJO 11 AÑOS'!J26</f>
        <v>0</v>
      </c>
      <c r="K7" s="116">
        <f>'FLUJO 11 AÑOS'!K26</f>
        <v>0</v>
      </c>
      <c r="L7" s="116">
        <f>'FLUJO 11 AÑOS'!L26</f>
        <v>0</v>
      </c>
      <c r="M7" s="117">
        <f t="shared" si="0"/>
        <v>0</v>
      </c>
    </row>
    <row r="8" spans="1:14" ht="15" customHeight="1" x14ac:dyDescent="0.2">
      <c r="A8" s="48" t="s">
        <v>709</v>
      </c>
      <c r="B8" s="116">
        <f>'FLUJO 11 AÑOS'!B27</f>
        <v>49548.491379310348</v>
      </c>
      <c r="C8" s="116">
        <f>'FLUJO 11 AÑOS'!C27</f>
        <v>102293.10174696366</v>
      </c>
      <c r="D8" s="116">
        <f>'FLUJO 11 AÑOS'!D27</f>
        <v>124860.37289747142</v>
      </c>
      <c r="E8" s="116">
        <f>'FLUJO 11 AÑOS'!E27</f>
        <v>151250.82878245026</v>
      </c>
      <c r="F8" s="116">
        <f>'FLUJO 11 AÑOS'!F27</f>
        <v>229125.57634005818</v>
      </c>
      <c r="G8" s="116">
        <f>'FLUJO 11 AÑOS'!G27</f>
        <v>272921.7904544904</v>
      </c>
      <c r="H8" s="116">
        <f>'FLUJO 11 AÑOS'!H27</f>
        <v>318211.47213210375</v>
      </c>
      <c r="I8" s="116">
        <f>'FLUJO 11 AÑOS'!I27</f>
        <v>365289.64621554158</v>
      </c>
      <c r="J8" s="116">
        <f>'FLUJO 11 AÑOS'!J27</f>
        <v>279750.11105656996</v>
      </c>
      <c r="K8" s="116">
        <f>'FLUJO 11 AÑOS'!K27</f>
        <v>289925.68630407844</v>
      </c>
      <c r="L8" s="116">
        <f>'FLUJO 11 AÑOS'!L27</f>
        <v>29348.804699752294</v>
      </c>
      <c r="M8" s="117">
        <f t="shared" si="0"/>
        <v>2212525.88200879</v>
      </c>
    </row>
    <row r="9" spans="1:14" ht="15" customHeight="1" x14ac:dyDescent="0.2">
      <c r="A9" s="42" t="s">
        <v>628</v>
      </c>
      <c r="B9" s="117">
        <f t="shared" ref="B9:M9" si="1">B7+B8</f>
        <v>49548.491379310348</v>
      </c>
      <c r="C9" s="117">
        <f t="shared" si="1"/>
        <v>102293.10174696366</v>
      </c>
      <c r="D9" s="117">
        <f t="shared" si="1"/>
        <v>124860.37289747142</v>
      </c>
      <c r="E9" s="117">
        <f t="shared" si="1"/>
        <v>151250.82878245026</v>
      </c>
      <c r="F9" s="117">
        <f t="shared" si="1"/>
        <v>229125.57634005818</v>
      </c>
      <c r="G9" s="117">
        <f t="shared" si="1"/>
        <v>272921.7904544904</v>
      </c>
      <c r="H9" s="117">
        <f t="shared" si="1"/>
        <v>318211.47213210375</v>
      </c>
      <c r="I9" s="117">
        <f t="shared" si="1"/>
        <v>365289.64621554158</v>
      </c>
      <c r="J9" s="117">
        <f t="shared" si="1"/>
        <v>279750.11105656996</v>
      </c>
      <c r="K9" s="117">
        <f t="shared" si="1"/>
        <v>289925.68630407844</v>
      </c>
      <c r="L9" s="117">
        <f t="shared" si="1"/>
        <v>29348.804699752294</v>
      </c>
      <c r="M9" s="117">
        <f t="shared" si="1"/>
        <v>2212525.88200879</v>
      </c>
    </row>
    <row r="10" spans="1:14" ht="15" customHeight="1" x14ac:dyDescent="0.2">
      <c r="B10" s="194">
        <f t="shared" ref="B10:I10" si="2">B8/B6</f>
        <v>1.6516163793103448E-2</v>
      </c>
      <c r="C10" s="194">
        <f t="shared" si="2"/>
        <v>1.2358927863173719E-2</v>
      </c>
      <c r="D10" s="194">
        <f t="shared" si="2"/>
        <v>9.1929560723921933E-3</v>
      </c>
      <c r="E10" s="194">
        <f t="shared" si="2"/>
        <v>7.9201131491557809E-3</v>
      </c>
      <c r="F10" s="194">
        <f t="shared" si="2"/>
        <v>8.232921989328932E-3</v>
      </c>
      <c r="G10" s="194">
        <f t="shared" si="2"/>
        <v>7.3902955155550551E-3</v>
      </c>
      <c r="H10" s="194">
        <f t="shared" si="2"/>
        <v>6.8594710760216376E-3</v>
      </c>
      <c r="I10" s="194">
        <f t="shared" si="2"/>
        <v>6.4968973715798621E-3</v>
      </c>
    </row>
    <row r="11" spans="1:14" ht="15" customHeight="1" x14ac:dyDescent="0.2">
      <c r="A11" s="73" t="s">
        <v>629</v>
      </c>
    </row>
    <row r="12" spans="1:14" ht="15" customHeight="1" x14ac:dyDescent="0.2">
      <c r="A12" s="42" t="s">
        <v>102</v>
      </c>
      <c r="B12" s="118">
        <v>2026</v>
      </c>
      <c r="C12" s="118">
        <v>2027</v>
      </c>
      <c r="D12" s="118">
        <v>2028</v>
      </c>
      <c r="E12" s="118">
        <v>2029</v>
      </c>
      <c r="F12" s="118">
        <v>2030</v>
      </c>
      <c r="G12" s="118">
        <v>2031</v>
      </c>
      <c r="H12" s="118">
        <v>2032</v>
      </c>
      <c r="I12" s="118">
        <v>2033</v>
      </c>
      <c r="J12" s="118">
        <v>2034</v>
      </c>
      <c r="K12" s="118">
        <v>2035</v>
      </c>
      <c r="L12" s="118">
        <v>2036</v>
      </c>
      <c r="M12" s="42" t="s">
        <v>555</v>
      </c>
    </row>
    <row r="13" spans="1:14" ht="15" customHeight="1" x14ac:dyDescent="0.2">
      <c r="A13" s="48" t="s">
        <v>630</v>
      </c>
      <c r="B13" s="116">
        <f>'FLUJO 11 AÑOS'!B21-'FLUJO 11 AÑOS'!B24-'FLUJO 11 AÑOS'!B25-'FLUJO 11 AÑOS'!B26-'FLUJO 11 AÑOS'!B27-'FLUJO 11 AÑOS'!B28-'FLUJO 11 AÑOS'!B29-'FLUJO 11 AÑOS'!B30-'FLUJO 11 AÑOS'!B31</f>
        <v>276858.87315270928</v>
      </c>
      <c r="C13" s="116">
        <f>'FLUJO 11 AÑOS'!C21-'FLUJO 11 AÑOS'!C24-'FLUJO 11 AÑOS'!C25-'FLUJO 11 AÑOS'!C26-'FLUJO 11 AÑOS'!C27-'FLUJO 11 AÑOS'!C28-'FLUJO 11 AÑOS'!C29-'FLUJO 11 AÑOS'!C30-'FLUJO 11 AÑOS'!C31</f>
        <v>967468.6173036684</v>
      </c>
      <c r="D13" s="116">
        <f>'FLUJO 11 AÑOS'!D21-'FLUJO 11 AÑOS'!D24-'FLUJO 11 AÑOS'!D25-'FLUJO 11 AÑOS'!D26-'FLUJO 11 AÑOS'!D27-'FLUJO 11 AÑOS'!D28-'FLUJO 11 AÑOS'!D29-'FLUJO 11 AÑOS'!D30-'FLUJO 11 AÑOS'!D31</f>
        <v>1601449.5580699481</v>
      </c>
      <c r="E13" s="116">
        <f>'FLUJO 11 AÑOS'!E21-'FLUJO 11 AÑOS'!E24-'FLUJO 11 AÑOS'!E25-'FLUJO 11 AÑOS'!E26-'FLUJO 11 AÑOS'!E27-'FLUJO 11 AÑOS'!E28-'FLUJO 11 AÑOS'!E29-'FLUJO 11 AÑOS'!E30-'FLUJO 11 AÑOS'!E31</f>
        <v>2261118.085633378</v>
      </c>
      <c r="F13" s="116">
        <f>'FLUJO 11 AÑOS'!F21-'FLUJO 11 AÑOS'!F24-'FLUJO 11 AÑOS'!F25-'FLUJO 11 AÑOS'!F26-'FLUJO 11 AÑOS'!F27-'FLUJO 11 AÑOS'!F28-'FLUJO 11 AÑOS'!F29-'FLUJO 11 AÑOS'!F30-'FLUJO 11 AÑOS'!F31</f>
        <v>3325778.1589119327</v>
      </c>
      <c r="G13" s="116">
        <f>'FLUJO 11 AÑOS'!G21-'FLUJO 11 AÑOS'!G24-'FLUJO 11 AÑOS'!G25-'FLUJO 11 AÑOS'!G26-'FLUJO 11 AÑOS'!G27-'FLUJO 11 AÑOS'!G28-'FLUJO 11 AÑOS'!G29-'FLUJO 11 AÑOS'!G30-'FLUJO 11 AÑOS'!G31</f>
        <v>4414715.7027913425</v>
      </c>
      <c r="H13" s="116">
        <f>'FLUJO 11 AÑOS'!H21-'FLUJO 11 AÑOS'!H24-'FLUJO 11 AÑOS'!H25-'FLUJO 11 AÑOS'!H26-'FLUJO 11 AÑOS'!H27-'FLUJO 11 AÑOS'!H28-'FLUJO 11 AÑOS'!H29-'FLUJO 11 AÑOS'!H30-'FLUJO 11 AÑOS'!H31</f>
        <v>5546363.2944164937</v>
      </c>
      <c r="I13" s="116">
        <f>'FLUJO 11 AÑOS'!I21-'FLUJO 11 AÑOS'!I24-'FLUJO 11 AÑOS'!I25-'FLUJO 11 AÑOS'!I26-'FLUJO 11 AÑOS'!I27-'FLUJO 11 AÑOS'!I28-'FLUJO 11 AÑOS'!I29-'FLUJO 11 AÑOS'!I30-'FLUJO 11 AÑOS'!I31</f>
        <v>6722835.1873556115</v>
      </c>
      <c r="J13" s="116">
        <f>'FLUJO 11 AÑOS'!J21-'FLUJO 11 AÑOS'!J24-'FLUJO 11 AÑOS'!J25-'FLUJO 11 AÑOS'!J26-'FLUJO 11 AÑOS'!J27-'FLUJO 11 AÑOS'!J28-'FLUJO 11 AÑOS'!J29-'FLUJO 11 AÑOS'!J30-'FLUJO 11 AÑOS'!J31</f>
        <v>6935671.1697341399</v>
      </c>
      <c r="K13" s="116">
        <f>'FLUJO 11 AÑOS'!K21-'FLUJO 11 AÑOS'!K24-'FLUJO 11 AÑOS'!K25-'FLUJO 11 AÑOS'!K26-'FLUJO 11 AÑOS'!K27-'FLUJO 11 AÑOS'!K28-'FLUJO 11 AÑOS'!K29-'FLUJO 11 AÑOS'!K30-'FLUJO 11 AÑOS'!K31</f>
        <v>7204682.5262724431</v>
      </c>
      <c r="L13" s="116">
        <f>'FLUJO 11 AÑOS'!L21-'FLUJO 11 AÑOS'!L24-'FLUJO 11 AÑOS'!L25-'FLUJO 11 AÑOS'!L26-'FLUJO 11 AÑOS'!L27-'FLUJO 11 AÑOS'!L28-'FLUJO 11 AÑOS'!L29-'FLUJO 11 AÑOS'!L30-'FLUJO 11 AÑOS'!L31</f>
        <v>3029743.4220476244</v>
      </c>
      <c r="M13" s="117">
        <f t="shared" ref="M13:M14" si="3">SUM(B13:L13)</f>
        <v>42286684.595689289</v>
      </c>
    </row>
    <row r="14" spans="1:14" ht="15" customHeight="1" x14ac:dyDescent="0.2">
      <c r="A14" s="48" t="s">
        <v>631</v>
      </c>
      <c r="B14" s="117">
        <f>MAX(0,B13-'FLUJO 11 AÑOS'!B44*SUPUESTOS!$B$34)*SUPUESTOS!$B$33</f>
        <v>9685.8873152709275</v>
      </c>
      <c r="C14" s="117">
        <f>MAX(0,C13-'FLUJO 11 AÑOS'!C44*SUPUESTOS!$B$34)*SUPUESTOS!$B$33</f>
        <v>47085.708491450583</v>
      </c>
      <c r="D14" s="117">
        <f>MAX(0,D13-'FLUJO 11 AÑOS'!D44*SUPUESTOS!$B$34)*SUPUESTOS!$B$33</f>
        <v>78651.883123369844</v>
      </c>
      <c r="E14" s="117">
        <f>MAX(0,E13-'FLUJO 11 AÑOS'!E44*SUPUESTOS!$B$34)*SUPUESTOS!$B$33</f>
        <v>111529.48434598313</v>
      </c>
      <c r="F14" s="117">
        <f>MAX(0,F13-'FLUJO 11 AÑOS'!F44*SUPUESTOS!$B$34)*SUPUESTOS!$B$33</f>
        <v>165595.36909742674</v>
      </c>
      <c r="G14" s="117">
        <f>MAX(0,G13-'FLUJO 11 AÑOS'!G44*SUPUESTOS!$B$34)*SUPUESTOS!$B$33</f>
        <v>219893.05027539746</v>
      </c>
      <c r="H14" s="117">
        <f>MAX(0,H13-'FLUJO 11 AÑOS'!H44*SUPUESTOS!$B$34)*SUPUESTOS!$B$33</f>
        <v>276295.79682146345</v>
      </c>
      <c r="I14" s="117">
        <f>MAX(0,I13-'FLUJO 11 AÑOS'!I44*SUPUESTOS!$B$34)*SUPUESTOS!$B$33</f>
        <v>334932.04895849113</v>
      </c>
      <c r="J14" s="117">
        <f>MAX(0,J13-'FLUJO 11 AÑOS'!J44*SUPUESTOS!$B$34)*SUPUESTOS!$B$33</f>
        <v>342866.75365437591</v>
      </c>
      <c r="K14" s="117">
        <f>MAX(0,K13-'FLUJO 11 AÑOS'!K44*SUPUESTOS!$B$34)*SUPUESTOS!$B$33</f>
        <v>356209.89135532442</v>
      </c>
      <c r="L14" s="117">
        <f>MAX(0,L13-'FLUJO 11 AÑOS'!L44*SUPUESTOS!$B$34)*SUPUESTOS!$B$33</f>
        <v>0</v>
      </c>
      <c r="M14" s="117">
        <f t="shared" si="3"/>
        <v>1942745.8734385534</v>
      </c>
    </row>
    <row r="15" spans="1:14" ht="15" customHeight="1" x14ac:dyDescent="0.2">
      <c r="A15" s="48" t="s">
        <v>632</v>
      </c>
      <c r="B15" s="116">
        <v>0</v>
      </c>
      <c r="C15" s="116">
        <f t="shared" ref="C15:L15" si="4">B19</f>
        <v>9685.8873152709275</v>
      </c>
      <c r="D15" s="116">
        <f t="shared" si="4"/>
        <v>56771.595806721511</v>
      </c>
      <c r="E15" s="116">
        <f t="shared" si="4"/>
        <v>135423.47893009137</v>
      </c>
      <c r="F15" s="116">
        <f t="shared" si="4"/>
        <v>246952.9632760745</v>
      </c>
      <c r="G15" s="116">
        <f t="shared" si="4"/>
        <v>412548.33237350127</v>
      </c>
      <c r="H15" s="116">
        <f t="shared" si="4"/>
        <v>632441.38264889875</v>
      </c>
      <c r="I15" s="116">
        <f t="shared" si="4"/>
        <v>908737.17947036214</v>
      </c>
      <c r="J15" s="116">
        <f t="shared" si="4"/>
        <v>1243669.2284288532</v>
      </c>
      <c r="K15" s="116">
        <f t="shared" si="4"/>
        <v>1586535.9820832291</v>
      </c>
      <c r="L15" s="116">
        <f t="shared" si="4"/>
        <v>1942745.8734385534</v>
      </c>
      <c r="M15" s="117"/>
    </row>
    <row r="16" spans="1:14" ht="15" customHeight="1" x14ac:dyDescent="0.2">
      <c r="A16" s="48" t="s">
        <v>633</v>
      </c>
      <c r="B16" s="117">
        <f t="shared" ref="B16:L16" si="5">B14+B15</f>
        <v>9685.8873152709275</v>
      </c>
      <c r="C16" s="117">
        <f t="shared" si="5"/>
        <v>56771.595806721511</v>
      </c>
      <c r="D16" s="117">
        <f t="shared" si="5"/>
        <v>135423.47893009137</v>
      </c>
      <c r="E16" s="117">
        <f t="shared" si="5"/>
        <v>246952.9632760745</v>
      </c>
      <c r="F16" s="117">
        <f t="shared" si="5"/>
        <v>412548.33237350127</v>
      </c>
      <c r="G16" s="117">
        <f t="shared" si="5"/>
        <v>632441.38264889875</v>
      </c>
      <c r="H16" s="117">
        <f t="shared" si="5"/>
        <v>908737.17947036214</v>
      </c>
      <c r="I16" s="117">
        <f t="shared" si="5"/>
        <v>1243669.2284288532</v>
      </c>
      <c r="J16" s="117">
        <f t="shared" si="5"/>
        <v>1586535.9820832291</v>
      </c>
      <c r="K16" s="117">
        <f t="shared" si="5"/>
        <v>1942745.8734385534</v>
      </c>
      <c r="L16" s="117">
        <f t="shared" si="5"/>
        <v>1942745.8734385534</v>
      </c>
      <c r="M16" s="117">
        <f>SUM(B14:L14)+B15</f>
        <v>1942745.8734385534</v>
      </c>
      <c r="N16" s="117"/>
    </row>
    <row r="17" spans="1:13" ht="15" customHeight="1" x14ac:dyDescent="0.2">
      <c r="A17" s="48" t="s">
        <v>634</v>
      </c>
      <c r="B17" s="117">
        <f>MAX(0, SUPUESTOS!$B$35*'FLUJO 11 AÑOS'!B44-('FLUJO 11 AÑOS'!B24+'FLUJO 11 AÑOS'!B25+'FLUJO 11 AÑOS'!B26+'FLUJO 11 AÑOS'!B27+'FLUJO 11 AÑOS'!B28))</f>
        <v>0</v>
      </c>
      <c r="C17" s="117">
        <f>MAX(0, SUPUESTOS!$B$35*'FLUJO 11 AÑOS'!C44-('FLUJO 11 AÑOS'!C24+'FLUJO 11 AÑOS'!C25+'FLUJO 11 AÑOS'!C26+'FLUJO 11 AÑOS'!C27+'FLUJO 11 AÑOS'!C28))</f>
        <v>167734.97092545015</v>
      </c>
      <c r="D17" s="117">
        <f>MAX(0, SUPUESTOS!$B$35*'FLUJO 11 AÑOS'!D44-('FLUJO 11 AÑOS'!D24+'FLUJO 11 AÑOS'!D25+'FLUJO 11 AÑOS'!D26+'FLUJO 11 AÑOS'!D27+'FLUJO 11 AÑOS'!D28))</f>
        <v>362426.77832669497</v>
      </c>
      <c r="E17" s="117">
        <f>MAX(0, SUPUESTOS!$B$35*'FLUJO 11 AÑOS'!E44-('FLUJO 11 AÑOS'!E24+'FLUJO 11 AÑOS'!E25+'FLUJO 11 AÑOS'!E26+'FLUJO 11 AÑOS'!E27+'FLUJO 11 AÑOS'!E28))</f>
        <v>556631.3326665808</v>
      </c>
      <c r="F17" s="117">
        <f>MAX(0, SUPUESTOS!$B$35*'FLUJO 11 AÑOS'!F44-('FLUJO 11 AÑOS'!F24+'FLUJO 11 AÑOS'!F25+'FLUJO 11 AÑOS'!F26+'FLUJO 11 AÑOS'!F27+'FLUJO 11 AÑOS'!F28))</f>
        <v>828090.73561838537</v>
      </c>
      <c r="G17" s="117">
        <f>MAX(0, SUPUESTOS!$B$35*'FLUJO 11 AÑOS'!G44-('FLUJO 11 AÑOS'!G24+'FLUJO 11 AÑOS'!G25+'FLUJO 11 AÑOS'!G26+'FLUJO 11 AÑOS'!G27+'FLUJO 11 AÑOS'!G28))</f>
        <v>1148268.3429037551</v>
      </c>
      <c r="H17" s="117">
        <f>MAX(0, SUPUESTOS!$B$35*'FLUJO 11 AÑOS'!H44-('FLUJO 11 AÑOS'!H24+'FLUJO 11 AÑOS'!H25+'FLUJO 11 AÑOS'!H26+'FLUJO 11 AÑOS'!H27+'FLUJO 11 AÑOS'!H28))</f>
        <v>1481392.0786691359</v>
      </c>
      <c r="I17" s="117">
        <f>MAX(0, SUPUESTOS!$B$35*'FLUJO 11 AÑOS'!I44-('FLUJO 11 AÑOS'!I24+'FLUJO 11 AÑOS'!I25+'FLUJO 11 AÑOS'!I26+'FLUJO 11 AÑOS'!I27+'FLUJO 11 AÑOS'!I28))</f>
        <v>1827720.1522982586</v>
      </c>
      <c r="J17" s="117">
        <f>MAX(0, SUPUESTOS!$B$35*'FLUJO 11 AÑOS'!J44-('FLUJO 11 AÑOS'!J24+'FLUJO 11 AÑOS'!J25+'FLUJO 11 AÑOS'!J26+'FLUJO 11 AÑOS'!J27+'FLUJO 11 AÑOS'!J28))</f>
        <v>2002252.3110703505</v>
      </c>
      <c r="K17" s="117">
        <f>MAX(0, SUPUESTOS!$B$35*'FLUJO 11 AÑOS'!K44-('FLUJO 11 AÑOS'!K24+'FLUJO 11 AÑOS'!K25+'FLUJO 11 AÑOS'!K26+'FLUJO 11 AÑOS'!K27+'FLUJO 11 AÑOS'!K28))</f>
        <v>2082463.3888420542</v>
      </c>
      <c r="L17" s="117">
        <f>MAX(0, SUPUESTOS!$B$35*'FLUJO 11 AÑOS'!L44-('FLUJO 11 AÑOS'!L24+'FLUJO 11 AÑOS'!L25+'FLUJO 11 AÑOS'!L26+'FLUJO 11 AÑOS'!L27+'FLUJO 11 AÑOS'!L28))</f>
        <v>2436956.4454855877</v>
      </c>
      <c r="M17" s="117">
        <f t="shared" ref="M17:M18" si="6">SUM(B17:L17)</f>
        <v>12893936.536806254</v>
      </c>
    </row>
    <row r="18" spans="1:13" ht="15" customHeight="1" x14ac:dyDescent="0.2">
      <c r="A18" s="42" t="s">
        <v>635</v>
      </c>
      <c r="B18" s="119">
        <v>0</v>
      </c>
      <c r="C18" s="119">
        <v>0</v>
      </c>
      <c r="D18" s="119">
        <v>0</v>
      </c>
      <c r="E18" s="119">
        <v>0</v>
      </c>
      <c r="F18" s="119">
        <v>0</v>
      </c>
      <c r="G18" s="119">
        <v>0</v>
      </c>
      <c r="H18" s="119">
        <v>0</v>
      </c>
      <c r="I18" s="119">
        <v>0</v>
      </c>
      <c r="J18" s="119">
        <v>0</v>
      </c>
      <c r="K18" s="119">
        <v>0</v>
      </c>
      <c r="L18" s="119">
        <f>MIN(L16,L17)</f>
        <v>1942745.8734385534</v>
      </c>
      <c r="M18" s="119">
        <f t="shared" si="6"/>
        <v>1942745.8734385534</v>
      </c>
    </row>
    <row r="19" spans="1:13" ht="15" customHeight="1" x14ac:dyDescent="0.2">
      <c r="A19" s="48" t="s">
        <v>636</v>
      </c>
      <c r="B19" s="117">
        <f t="shared" ref="B19:L19" si="7">B16-B18</f>
        <v>9685.8873152709275</v>
      </c>
      <c r="C19" s="117">
        <f t="shared" si="7"/>
        <v>56771.595806721511</v>
      </c>
      <c r="D19" s="117">
        <f t="shared" si="7"/>
        <v>135423.47893009137</v>
      </c>
      <c r="E19" s="117">
        <f t="shared" si="7"/>
        <v>246952.9632760745</v>
      </c>
      <c r="F19" s="117">
        <f t="shared" si="7"/>
        <v>412548.33237350127</v>
      </c>
      <c r="G19" s="117">
        <f t="shared" si="7"/>
        <v>632441.38264889875</v>
      </c>
      <c r="H19" s="117">
        <f t="shared" si="7"/>
        <v>908737.17947036214</v>
      </c>
      <c r="I19" s="117">
        <f t="shared" si="7"/>
        <v>1243669.2284288532</v>
      </c>
      <c r="J19" s="117">
        <f t="shared" si="7"/>
        <v>1586535.9820832291</v>
      </c>
      <c r="K19" s="117">
        <f t="shared" si="7"/>
        <v>1942745.8734385534</v>
      </c>
      <c r="L19" s="117">
        <f t="shared" si="7"/>
        <v>0</v>
      </c>
      <c r="M19" s="117">
        <f>L19</f>
        <v>0</v>
      </c>
    </row>
    <row r="20" spans="1:13" ht="15" customHeight="1" x14ac:dyDescent="0.2">
      <c r="A20" s="120" t="s">
        <v>637</v>
      </c>
    </row>
    <row r="21" spans="1:13" ht="15" customHeight="1" x14ac:dyDescent="0.2">
      <c r="A21" s="42" t="s">
        <v>638</v>
      </c>
    </row>
    <row r="22" spans="1:13" ht="15" customHeight="1" x14ac:dyDescent="0.2">
      <c r="A22" s="42" t="s">
        <v>102</v>
      </c>
      <c r="B22" s="118">
        <v>2026</v>
      </c>
      <c r="C22" s="118">
        <v>2027</v>
      </c>
      <c r="D22" s="118">
        <v>2028</v>
      </c>
      <c r="E22" s="118">
        <v>2029</v>
      </c>
      <c r="F22" s="118">
        <v>2030</v>
      </c>
      <c r="G22" s="118">
        <v>2031</v>
      </c>
      <c r="H22" s="118">
        <v>2032</v>
      </c>
      <c r="I22" s="118">
        <v>2033</v>
      </c>
      <c r="J22" s="118">
        <v>2034</v>
      </c>
      <c r="K22" s="118">
        <v>2035</v>
      </c>
      <c r="L22" s="118">
        <v>2036</v>
      </c>
      <c r="M22" s="42" t="s">
        <v>555</v>
      </c>
    </row>
    <row r="23" spans="1:13" ht="15" customHeight="1" x14ac:dyDescent="0.2">
      <c r="A23" s="48" t="s">
        <v>562</v>
      </c>
      <c r="B23" s="116">
        <f>'FLUJO 11 AÑOS'!B10</f>
        <v>3963879.3103448274</v>
      </c>
      <c r="C23" s="116">
        <f>'FLUJO 11 AÑOS'!C10</f>
        <v>8183448.1397570921</v>
      </c>
      <c r="D23" s="116">
        <f>'FLUJO 11 AÑOS'!D10</f>
        <v>9988829.8317977134</v>
      </c>
      <c r="E23" s="116">
        <f>'FLUJO 11 AÑOS'!E10</f>
        <v>12100066.302596021</v>
      </c>
      <c r="F23" s="116">
        <f>'FLUJO 11 AÑOS'!F10</f>
        <v>18330046.107204653</v>
      </c>
      <c r="G23" s="116">
        <f>'FLUJO 11 AÑOS'!G10</f>
        <v>21833743.236359231</v>
      </c>
      <c r="H23" s="116">
        <f>'FLUJO 11 AÑOS'!H10</f>
        <v>25456917.770568296</v>
      </c>
      <c r="I23" s="116">
        <f>'FLUJO 11 AÑOS'!I10</f>
        <v>29223171.697243325</v>
      </c>
      <c r="J23" s="116">
        <f>'FLUJO 11 AÑOS'!J10</f>
        <v>22380008.884525597</v>
      </c>
      <c r="K23" s="116">
        <f>'FLUJO 11 AÑOS'!K10</f>
        <v>23194054.904326275</v>
      </c>
      <c r="L23" s="116">
        <f>'FLUJO 11 AÑOS'!L10</f>
        <v>2347904.3759801835</v>
      </c>
      <c r="M23" s="117">
        <f t="shared" ref="M23:M27" si="8">SUM(B23:L23)</f>
        <v>177002070.56070322</v>
      </c>
    </row>
    <row r="24" spans="1:13" ht="15" customHeight="1" x14ac:dyDescent="0.2">
      <c r="A24" s="48" t="s">
        <v>639</v>
      </c>
      <c r="B24" s="117">
        <f>(B23/(1+SUPUESTOS!$B$73))*SUPUESTOS!$B$73</f>
        <v>188756.15763546797</v>
      </c>
      <c r="C24" s="117">
        <f>(C23/(1+SUPUESTOS!$B$73))*SUPUESTOS!$B$73</f>
        <v>389688.00665509963</v>
      </c>
      <c r="D24" s="117">
        <f>(D23/(1+SUPUESTOS!$B$73))*SUPUESTOS!$B$73</f>
        <v>475658.56341893872</v>
      </c>
      <c r="E24" s="117">
        <f>(E23/(1+SUPUESTOS!$B$73))*SUPUESTOS!$B$73</f>
        <v>576193.63345695334</v>
      </c>
      <c r="F24" s="117">
        <f>(F23/(1+SUPUESTOS!$B$73))*SUPUESTOS!$B$73</f>
        <v>872859.33843831683</v>
      </c>
      <c r="G24" s="117">
        <f>(G23/(1+SUPUESTOS!$B$73))*SUPUESTOS!$B$73</f>
        <v>1039702.0588742491</v>
      </c>
      <c r="H24" s="117">
        <f>(H23/(1+SUPUESTOS!$B$73))*SUPUESTOS!$B$73</f>
        <v>1212234.1795508713</v>
      </c>
      <c r="I24" s="117">
        <f>(I23/(1+SUPUESTOS!$B$73))*SUPUESTOS!$B$73</f>
        <v>1391579.6046306347</v>
      </c>
      <c r="J24" s="117">
        <f>(J23/(1+SUPUESTOS!$B$73))*SUPUESTOS!$B$73</f>
        <v>1065714.7087869332</v>
      </c>
      <c r="K24" s="117">
        <f>(K23/(1+SUPUESTOS!$B$73))*SUPUESTOS!$B$73</f>
        <v>1104478.804967918</v>
      </c>
      <c r="L24" s="117">
        <f>(L23/(1+SUPUESTOS!$B$73))*SUPUESTOS!$B$73</f>
        <v>111804.97028477065</v>
      </c>
      <c r="M24" s="117">
        <f t="shared" si="8"/>
        <v>8428670.0267001521</v>
      </c>
    </row>
    <row r="25" spans="1:13" ht="15" customHeight="1" x14ac:dyDescent="0.2">
      <c r="A25" s="48" t="s">
        <v>640</v>
      </c>
      <c r="B25" s="117">
        <f>(B23/(1+SUPUESTOS!$B$73))*SUPUESTOS!$B$74</f>
        <v>188756.15763546797</v>
      </c>
      <c r="C25" s="117">
        <f>(C23/(1+SUPUESTOS!$B$73))*SUPUESTOS!$B$74</f>
        <v>389688.00665509963</v>
      </c>
      <c r="D25" s="117">
        <f>(D23/(1+SUPUESTOS!$B$73))*SUPUESTOS!$B$74</f>
        <v>475658.56341893872</v>
      </c>
      <c r="E25" s="117">
        <f>(E23/(1+SUPUESTOS!$B$73))*SUPUESTOS!$B$74</f>
        <v>576193.63345695334</v>
      </c>
      <c r="F25" s="117">
        <f>(F23/(1+SUPUESTOS!$B$73))*SUPUESTOS!$B$74</f>
        <v>872859.33843831683</v>
      </c>
      <c r="G25" s="117">
        <f>(G23/(1+SUPUESTOS!$B$73))*SUPUESTOS!$B$74</f>
        <v>1039702.0588742491</v>
      </c>
      <c r="H25" s="117">
        <f>(H23/(1+SUPUESTOS!$B$73))*SUPUESTOS!$B$74</f>
        <v>1212234.1795508713</v>
      </c>
      <c r="I25" s="117">
        <f>(I23/(1+SUPUESTOS!$B$73))*SUPUESTOS!$B$74</f>
        <v>1391579.6046306347</v>
      </c>
      <c r="J25" s="117">
        <f>(J23/(1+SUPUESTOS!$B$73))*SUPUESTOS!$B$74</f>
        <v>1065714.7087869332</v>
      </c>
      <c r="K25" s="117">
        <f>(K23/(1+SUPUESTOS!$B$73))*SUPUESTOS!$B$74</f>
        <v>1104478.804967918</v>
      </c>
      <c r="L25" s="117">
        <f>(L23/(1+SUPUESTOS!$B$73))*SUPUESTOS!$B$74</f>
        <v>111804.97028477065</v>
      </c>
      <c r="M25" s="117">
        <f t="shared" si="8"/>
        <v>8428670.0267001521</v>
      </c>
    </row>
    <row r="26" spans="1:13" ht="15" customHeight="1" x14ac:dyDescent="0.2">
      <c r="A26" s="42" t="s">
        <v>641</v>
      </c>
      <c r="B26" s="117">
        <f>(B23/(1+SUPUESTOS!$B$73))*SUPUESTOS!$B$75</f>
        <v>0</v>
      </c>
      <c r="C26" s="117">
        <f>(C23/(1+SUPUESTOS!$B$73))*SUPUESTOS!$B$75</f>
        <v>0</v>
      </c>
      <c r="D26" s="117">
        <f>(D23/(1+SUPUESTOS!$B$73))*SUPUESTOS!$B$75</f>
        <v>0</v>
      </c>
      <c r="E26" s="117">
        <f>(E23/(1+SUPUESTOS!$B$73))*SUPUESTOS!$B$75</f>
        <v>0</v>
      </c>
      <c r="F26" s="117">
        <f>(F23/(1+SUPUESTOS!$B$73))*SUPUESTOS!$B$75</f>
        <v>0</v>
      </c>
      <c r="G26" s="117">
        <f>(G23/(1+SUPUESTOS!$B$73))*SUPUESTOS!$B$75</f>
        <v>0</v>
      </c>
      <c r="H26" s="117">
        <f>(H23/(1+SUPUESTOS!$B$73))*SUPUESTOS!$B$75</f>
        <v>0</v>
      </c>
      <c r="I26" s="117">
        <f>(I23/(1+SUPUESTOS!$B$73))*SUPUESTOS!$B$75</f>
        <v>0</v>
      </c>
      <c r="J26" s="117">
        <f>(J23/(1+SUPUESTOS!$B$73))*SUPUESTOS!$B$75</f>
        <v>0</v>
      </c>
      <c r="K26" s="117">
        <f>(K23/(1+SUPUESTOS!$B$73))*SUPUESTOS!$B$75</f>
        <v>0</v>
      </c>
      <c r="L26" s="117">
        <f>(L23/(1+SUPUESTOS!$B$73))*SUPUESTOS!$B$75</f>
        <v>0</v>
      </c>
      <c r="M26" s="117">
        <f t="shared" si="8"/>
        <v>0</v>
      </c>
    </row>
    <row r="27" spans="1:13" ht="15" customHeight="1" x14ac:dyDescent="0.2">
      <c r="A27" s="48" t="s">
        <v>642</v>
      </c>
      <c r="B27" s="117">
        <f>B26*SUPUESTOS!$B$76</f>
        <v>0</v>
      </c>
      <c r="C27" s="117">
        <f>C26*SUPUESTOS!$B$76</f>
        <v>0</v>
      </c>
      <c r="D27" s="117">
        <f>D26*SUPUESTOS!$B$76</f>
        <v>0</v>
      </c>
      <c r="E27" s="117">
        <f>E26*SUPUESTOS!$B$76</f>
        <v>0</v>
      </c>
      <c r="F27" s="117">
        <f>F26*SUPUESTOS!$B$76</f>
        <v>0</v>
      </c>
      <c r="G27" s="117">
        <f>G26*SUPUESTOS!$B$76</f>
        <v>0</v>
      </c>
      <c r="H27" s="117">
        <f>H26*SUPUESTOS!$B$76</f>
        <v>0</v>
      </c>
      <c r="I27" s="117">
        <f>I26*SUPUESTOS!$B$76</f>
        <v>0</v>
      </c>
      <c r="J27" s="117">
        <f>J26*SUPUESTOS!$B$76</f>
        <v>0</v>
      </c>
      <c r="K27" s="117">
        <f>K26*SUPUESTOS!$B$76</f>
        <v>0</v>
      </c>
      <c r="L27" s="117">
        <f>L26*SUPUESTOS!$B$76</f>
        <v>0</v>
      </c>
      <c r="M27" s="117">
        <f t="shared" si="8"/>
        <v>0</v>
      </c>
    </row>
    <row r="28" spans="1:13" ht="15" customHeight="1" x14ac:dyDescent="0.2">
      <c r="A28" s="48" t="s">
        <v>643</v>
      </c>
      <c r="B28" s="117">
        <f t="shared" ref="B28:M28" si="9">B26</f>
        <v>0</v>
      </c>
      <c r="C28" s="117">
        <f t="shared" si="9"/>
        <v>0</v>
      </c>
      <c r="D28" s="117">
        <f t="shared" si="9"/>
        <v>0</v>
      </c>
      <c r="E28" s="117">
        <f t="shared" si="9"/>
        <v>0</v>
      </c>
      <c r="F28" s="117">
        <f t="shared" si="9"/>
        <v>0</v>
      </c>
      <c r="G28" s="117">
        <f t="shared" si="9"/>
        <v>0</v>
      </c>
      <c r="H28" s="117">
        <f t="shared" si="9"/>
        <v>0</v>
      </c>
      <c r="I28" s="117">
        <f t="shared" si="9"/>
        <v>0</v>
      </c>
      <c r="J28" s="117">
        <f t="shared" si="9"/>
        <v>0</v>
      </c>
      <c r="K28" s="117">
        <f t="shared" si="9"/>
        <v>0</v>
      </c>
      <c r="L28" s="117">
        <f t="shared" si="9"/>
        <v>0</v>
      </c>
      <c r="M28" s="117">
        <f t="shared" si="9"/>
        <v>0</v>
      </c>
    </row>
    <row r="29" spans="1:13" ht="15" customHeight="1" x14ac:dyDescent="0.2">
      <c r="A29" s="121" t="s">
        <v>644</v>
      </c>
      <c r="B29" s="122">
        <f>'FLUJO 11 AÑOS'!B78</f>
        <v>0</v>
      </c>
      <c r="C29" s="122">
        <f>'FLUJO 11 AÑOS'!C78</f>
        <v>0</v>
      </c>
      <c r="D29" s="122">
        <f>'FLUJO 11 AÑOS'!D78</f>
        <v>0</v>
      </c>
      <c r="E29" s="122">
        <f>'FLUJO 11 AÑOS'!E78</f>
        <v>0</v>
      </c>
      <c r="F29" s="122">
        <f>'FLUJO 11 AÑOS'!F78</f>
        <v>0</v>
      </c>
      <c r="G29" s="122">
        <f>'FLUJO 11 AÑOS'!G78</f>
        <v>0</v>
      </c>
      <c r="H29" s="122">
        <f>'FLUJO 11 AÑOS'!H78</f>
        <v>0</v>
      </c>
      <c r="I29" s="122">
        <f>'FLUJO 11 AÑOS'!I78</f>
        <v>0</v>
      </c>
      <c r="J29" s="122">
        <f>'FLUJO 11 AÑOS'!J78</f>
        <v>0</v>
      </c>
      <c r="K29" s="122">
        <f>'FLUJO 11 AÑOS'!K78</f>
        <v>0</v>
      </c>
      <c r="L29" s="122">
        <f>'FLUJO 11 AÑOS'!L78</f>
        <v>0</v>
      </c>
      <c r="M29" s="123">
        <f t="shared" ref="M29:M30" si="10">SUM(B29:L29)</f>
        <v>0</v>
      </c>
    </row>
    <row r="30" spans="1:13" ht="15" customHeight="1" x14ac:dyDescent="0.2">
      <c r="A30" s="124" t="s">
        <v>645</v>
      </c>
      <c r="B30" s="125">
        <f t="shared" ref="B30:L30" si="11">B9+B18+B28+B29</f>
        <v>49548.491379310348</v>
      </c>
      <c r="C30" s="125">
        <f t="shared" si="11"/>
        <v>102293.10174696366</v>
      </c>
      <c r="D30" s="125">
        <f t="shared" si="11"/>
        <v>124860.37289747142</v>
      </c>
      <c r="E30" s="125">
        <f t="shared" si="11"/>
        <v>151250.82878245026</v>
      </c>
      <c r="F30" s="125">
        <f t="shared" si="11"/>
        <v>229125.57634005818</v>
      </c>
      <c r="G30" s="125">
        <f t="shared" si="11"/>
        <v>272921.7904544904</v>
      </c>
      <c r="H30" s="125">
        <f t="shared" si="11"/>
        <v>318211.47213210375</v>
      </c>
      <c r="I30" s="125">
        <f t="shared" si="11"/>
        <v>365289.64621554158</v>
      </c>
      <c r="J30" s="125">
        <f t="shared" si="11"/>
        <v>279750.11105656996</v>
      </c>
      <c r="K30" s="125">
        <f t="shared" si="11"/>
        <v>289925.68630407844</v>
      </c>
      <c r="L30" s="125">
        <f t="shared" si="11"/>
        <v>1972094.6781383057</v>
      </c>
      <c r="M30" s="125">
        <f t="shared" si="10"/>
        <v>4155271.755447343</v>
      </c>
    </row>
    <row r="31" spans="1:13" ht="15" customHeight="1" x14ac:dyDescent="0.2">
      <c r="A31" s="124" t="s">
        <v>646</v>
      </c>
      <c r="B31" s="126">
        <f>B30</f>
        <v>49548.491379310348</v>
      </c>
      <c r="C31" s="126">
        <f t="shared" ref="C31:L31" si="12">B31+C30</f>
        <v>151841.59312627401</v>
      </c>
      <c r="D31" s="126">
        <f t="shared" si="12"/>
        <v>276701.96602374542</v>
      </c>
      <c r="E31" s="126">
        <f t="shared" si="12"/>
        <v>427952.79480619566</v>
      </c>
      <c r="F31" s="126">
        <f t="shared" si="12"/>
        <v>657078.37114625378</v>
      </c>
      <c r="G31" s="126">
        <f t="shared" si="12"/>
        <v>930000.16160074412</v>
      </c>
      <c r="H31" s="126">
        <f t="shared" si="12"/>
        <v>1248211.6337328479</v>
      </c>
      <c r="I31" s="126">
        <f t="shared" si="12"/>
        <v>1613501.2799483894</v>
      </c>
      <c r="J31" s="126">
        <f t="shared" si="12"/>
        <v>1893251.3910049594</v>
      </c>
      <c r="K31" s="126">
        <f t="shared" si="12"/>
        <v>2183177.0773090376</v>
      </c>
      <c r="L31" s="126">
        <f t="shared" si="12"/>
        <v>4155271.755447343</v>
      </c>
    </row>
    <row r="32" spans="1:13" ht="15" customHeight="1" x14ac:dyDescent="0.2">
      <c r="A32" s="127" t="s">
        <v>647</v>
      </c>
      <c r="B32" s="128">
        <f>MAX(0, ('FLUJO 11 AÑOS'!B24+'FLUJO 11 AÑOS'!B25+'FLUJO 11 AÑOS'!B26+'FLUJO 11 AÑOS'!B27+'FLUJO 11 AÑOS'!B28) - SUPUESTOS!$B$35*'FLUJO 11 AÑOS'!B44)</f>
        <v>23248.491379310348</v>
      </c>
      <c r="C32" s="128">
        <f>MAX(0, ('FLUJO 11 AÑOS'!C24+'FLUJO 11 AÑOS'!C25+'FLUJO 11 AÑOS'!C26+'FLUJO 11 AÑOS'!C27+'FLUJO 11 AÑOS'!C28) - SUPUESTOS!$B$35*'FLUJO 11 AÑOS'!C44)</f>
        <v>0</v>
      </c>
      <c r="D32" s="128">
        <f>MAX(0, ('FLUJO 11 AÑOS'!D24+'FLUJO 11 AÑOS'!D25+'FLUJO 11 AÑOS'!D26+'FLUJO 11 AÑOS'!D27+'FLUJO 11 AÑOS'!D28) - SUPUESTOS!$B$35*'FLUJO 11 AÑOS'!D44)</f>
        <v>0</v>
      </c>
      <c r="E32" s="128">
        <f>MAX(0, ('FLUJO 11 AÑOS'!E24+'FLUJO 11 AÑOS'!E25+'FLUJO 11 AÑOS'!E26+'FLUJO 11 AÑOS'!E27+'FLUJO 11 AÑOS'!E28) - SUPUESTOS!$B$35*'FLUJO 11 AÑOS'!E44)</f>
        <v>0</v>
      </c>
      <c r="F32" s="128">
        <f>MAX(0, ('FLUJO 11 AÑOS'!F24+'FLUJO 11 AÑOS'!F25+'FLUJO 11 AÑOS'!F26+'FLUJO 11 AÑOS'!F27+'FLUJO 11 AÑOS'!F28) - SUPUESTOS!$B$35*'FLUJO 11 AÑOS'!F44)</f>
        <v>0</v>
      </c>
      <c r="G32" s="128">
        <f>MAX(0, ('FLUJO 11 AÑOS'!G24+'FLUJO 11 AÑOS'!G25+'FLUJO 11 AÑOS'!G26+'FLUJO 11 AÑOS'!G27+'FLUJO 11 AÑOS'!G28) - SUPUESTOS!$B$35*'FLUJO 11 AÑOS'!G44)</f>
        <v>0</v>
      </c>
      <c r="H32" s="128">
        <f>MAX(0, ('FLUJO 11 AÑOS'!H24+'FLUJO 11 AÑOS'!H25+'FLUJO 11 AÑOS'!H26+'FLUJO 11 AÑOS'!H27+'FLUJO 11 AÑOS'!H28) - SUPUESTOS!$B$35*'FLUJO 11 AÑOS'!H44)</f>
        <v>0</v>
      </c>
      <c r="I32" s="128">
        <f>MAX(0, ('FLUJO 11 AÑOS'!I24+'FLUJO 11 AÑOS'!I25+'FLUJO 11 AÑOS'!I26+'FLUJO 11 AÑOS'!I27+'FLUJO 11 AÑOS'!I28) - SUPUESTOS!$B$35*'FLUJO 11 AÑOS'!I44)</f>
        <v>0</v>
      </c>
      <c r="J32" s="128">
        <f>MAX(0, ('FLUJO 11 AÑOS'!J24+'FLUJO 11 AÑOS'!J25+'FLUJO 11 AÑOS'!J26+'FLUJO 11 AÑOS'!J27+'FLUJO 11 AÑOS'!J28) - SUPUESTOS!$B$35*'FLUJO 11 AÑOS'!J44)</f>
        <v>0</v>
      </c>
      <c r="K32" s="128">
        <f>MAX(0, ('FLUJO 11 AÑOS'!K24+'FLUJO 11 AÑOS'!K25+'FLUJO 11 AÑOS'!K26+'FLUJO 11 AÑOS'!K27+'FLUJO 11 AÑOS'!K28) - SUPUESTOS!$B$35*'FLUJO 11 AÑOS'!K44)</f>
        <v>0</v>
      </c>
      <c r="L32" s="128">
        <f>MAX(0, ('FLUJO 11 AÑOS'!L24+'FLUJO 11 AÑOS'!L25+'FLUJO 11 AÑOS'!L26+'FLUJO 11 AÑOS'!L27+'FLUJO 11 AÑOS'!L28) - SUPUESTOS!$B$35*'FLUJO 11 AÑOS'!L44)</f>
        <v>0</v>
      </c>
      <c r="M32" s="129">
        <f>SUM(B32:L32)</f>
        <v>23248.491379310348</v>
      </c>
    </row>
    <row r="33" spans="1:5" ht="15" customHeight="1" x14ac:dyDescent="0.2">
      <c r="A33" s="42" t="s">
        <v>649</v>
      </c>
    </row>
    <row r="34" spans="1:5" ht="15.75" customHeight="1" x14ac:dyDescent="0.2"/>
    <row r="35" spans="1:5" ht="15" customHeight="1" x14ac:dyDescent="0.2">
      <c r="A35" s="42" t="s">
        <v>650</v>
      </c>
      <c r="B35" s="42" t="s">
        <v>710</v>
      </c>
      <c r="C35" s="42" t="s">
        <v>652</v>
      </c>
      <c r="D35" s="42"/>
    </row>
    <row r="36" spans="1:5" ht="15" customHeight="1" x14ac:dyDescent="0.2">
      <c r="A36" s="48" t="s">
        <v>653</v>
      </c>
      <c r="B36" s="117">
        <f>M8</f>
        <v>2212525.88200879</v>
      </c>
      <c r="C36" s="117">
        <f t="shared" ref="C36:C39" si="13">B36/11</f>
        <v>201138.71654625365</v>
      </c>
      <c r="D36" s="131"/>
    </row>
    <row r="37" spans="1:5" ht="15" customHeight="1" x14ac:dyDescent="0.2">
      <c r="A37" s="48" t="s">
        <v>654</v>
      </c>
      <c r="B37" s="117">
        <f>M8+M18</f>
        <v>4155271.7554473435</v>
      </c>
      <c r="C37" s="117">
        <f t="shared" si="13"/>
        <v>377751.97776794032</v>
      </c>
      <c r="D37" s="131"/>
      <c r="E37" s="131"/>
    </row>
    <row r="38" spans="1:5" ht="15" customHeight="1" x14ac:dyDescent="0.2">
      <c r="A38" s="48" t="s">
        <v>655</v>
      </c>
      <c r="B38" s="117">
        <f>M8+M18+M26</f>
        <v>4155271.7554473435</v>
      </c>
      <c r="C38" s="117">
        <f t="shared" si="13"/>
        <v>377751.97776794032</v>
      </c>
      <c r="D38" s="131"/>
      <c r="E38" s="131"/>
    </row>
    <row r="39" spans="1:5" ht="15" customHeight="1" x14ac:dyDescent="0.2">
      <c r="A39" s="48" t="s">
        <v>656</v>
      </c>
      <c r="B39" s="117">
        <f>M8+M18+M26+M29</f>
        <v>4155271.7554473435</v>
      </c>
      <c r="C39" s="117">
        <f t="shared" si="13"/>
        <v>377751.97776794032</v>
      </c>
      <c r="D39" s="131"/>
    </row>
    <row r="40" spans="1:5" ht="15.75" customHeight="1" x14ac:dyDescent="0.2"/>
    <row r="41" spans="1:5" ht="15" customHeight="1" x14ac:dyDescent="0.2">
      <c r="A41" s="42" t="s">
        <v>657</v>
      </c>
    </row>
    <row r="42" spans="1:5" ht="15" customHeight="1" x14ac:dyDescent="0.2">
      <c r="A42" s="48" t="s">
        <v>658</v>
      </c>
      <c r="B42" s="132">
        <f>'FLUJO 11 AÑOS'!B62</f>
        <v>0.13181270190016892</v>
      </c>
    </row>
    <row r="43" spans="1:5" ht="15" customHeight="1" x14ac:dyDescent="0.2">
      <c r="A43" s="48" t="s">
        <v>659</v>
      </c>
      <c r="B43" s="133">
        <f>'FLUJO 11 AÑOS'!B63</f>
        <v>1.7169144960793359</v>
      </c>
    </row>
    <row r="44" spans="1:5" ht="15" customHeight="1" x14ac:dyDescent="0.2">
      <c r="A44" s="48" t="s">
        <v>711</v>
      </c>
      <c r="B44" s="117">
        <f t="shared" ref="B44:B45" si="14">M13</f>
        <v>42286684.595689289</v>
      </c>
    </row>
    <row r="45" spans="1:5" ht="15" customHeight="1" x14ac:dyDescent="0.2">
      <c r="A45" s="48" t="s">
        <v>712</v>
      </c>
      <c r="B45" s="117">
        <f t="shared" si="14"/>
        <v>1942745.8734385534</v>
      </c>
    </row>
    <row r="46" spans="1:5" ht="15" customHeight="1" x14ac:dyDescent="0.2">
      <c r="A46" s="48" t="s">
        <v>713</v>
      </c>
      <c r="B46" s="117">
        <f>M18</f>
        <v>1942745.8734385534</v>
      </c>
    </row>
    <row r="47" spans="1:5" ht="15" customHeight="1" x14ac:dyDescent="0.2">
      <c r="A47" s="48" t="s">
        <v>663</v>
      </c>
      <c r="B47" s="195">
        <f>L19</f>
        <v>0</v>
      </c>
    </row>
    <row r="48" spans="1:5" ht="15" customHeight="1" x14ac:dyDescent="0.2">
      <c r="A48" s="48" t="s">
        <v>664</v>
      </c>
      <c r="B48" s="135">
        <f>SUPUESTOS!B30</f>
        <v>0</v>
      </c>
    </row>
    <row r="49" spans="1:1" ht="15.75" customHeight="1" x14ac:dyDescent="0.2"/>
    <row r="50" spans="1:1" ht="15" customHeight="1" x14ac:dyDescent="0.2">
      <c r="A50" s="42" t="s">
        <v>665</v>
      </c>
    </row>
    <row r="51" spans="1:1" ht="15" customHeight="1" x14ac:dyDescent="0.2">
      <c r="A51" s="48" t="s">
        <v>714</v>
      </c>
    </row>
    <row r="52" spans="1:1" ht="15" customHeight="1" x14ac:dyDescent="0.2">
      <c r="A52" s="48" t="s">
        <v>667</v>
      </c>
    </row>
    <row r="53" spans="1:1" ht="15" customHeight="1" x14ac:dyDescent="0.2">
      <c r="A53" s="48" t="s">
        <v>668</v>
      </c>
    </row>
    <row r="54" spans="1:1" ht="15" customHeight="1" x14ac:dyDescent="0.2">
      <c r="A54" s="48" t="s">
        <v>669</v>
      </c>
    </row>
    <row r="55" spans="1:1" ht="15" customHeight="1" x14ac:dyDescent="0.2">
      <c r="A55" s="48" t="s">
        <v>715</v>
      </c>
    </row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18:L18">
    <cfRule type="cellIs" dxfId="2" priority="1" operator="lessThan">
      <formula>B14</formula>
    </cfRule>
    <cfRule type="cellIs" dxfId="1" priority="2" operator="greaterThanOrEqual">
      <formula>B16</formula>
    </cfRule>
  </conditionalFormatting>
  <conditionalFormatting sqref="B19:L19">
    <cfRule type="cellIs" dxfId="0" priority="3" operator="greaterThan">
      <formula>0</formula>
    </cfRule>
  </conditionalFormatting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5:B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66.1640625" customWidth="1"/>
    <col min="3" max="26" width="10.6640625" customWidth="1"/>
  </cols>
  <sheetData>
    <row r="5" spans="2:2" ht="15" customHeight="1" x14ac:dyDescent="0.2">
      <c r="B5" s="50" t="s">
        <v>716</v>
      </c>
    </row>
    <row r="6" spans="2:2" ht="15" customHeight="1" x14ac:dyDescent="0.2">
      <c r="B6" s="50" t="s">
        <v>717</v>
      </c>
    </row>
    <row r="7" spans="2:2" ht="15" customHeight="1" x14ac:dyDescent="0.2">
      <c r="B7" s="50" t="s">
        <v>718</v>
      </c>
    </row>
    <row r="8" spans="2:2" ht="15" customHeight="1" x14ac:dyDescent="0.2">
      <c r="B8" s="196" t="s">
        <v>719</v>
      </c>
    </row>
    <row r="9" spans="2:2" ht="15" customHeight="1" x14ac:dyDescent="0.2">
      <c r="B9" s="50" t="s">
        <v>720</v>
      </c>
    </row>
    <row r="10" spans="2:2" ht="15" customHeight="1" x14ac:dyDescent="0.2">
      <c r="B10" s="50" t="s">
        <v>721</v>
      </c>
    </row>
    <row r="11" spans="2:2" ht="15" customHeight="1" x14ac:dyDescent="0.2">
      <c r="B11" s="50" t="s">
        <v>722</v>
      </c>
    </row>
    <row r="12" spans="2:2" ht="15" customHeight="1" x14ac:dyDescent="0.2">
      <c r="B12" s="196" t="s">
        <v>723</v>
      </c>
    </row>
    <row r="13" spans="2:2" ht="15" customHeight="1" x14ac:dyDescent="0.2">
      <c r="B13" s="50" t="s">
        <v>724</v>
      </c>
    </row>
    <row r="14" spans="2:2" ht="15" customHeight="1" x14ac:dyDescent="0.2">
      <c r="B14" s="50" t="s">
        <v>725</v>
      </c>
    </row>
    <row r="15" spans="2:2" ht="15" customHeight="1" x14ac:dyDescent="0.2">
      <c r="B15" s="196" t="s">
        <v>726</v>
      </c>
    </row>
    <row r="16" spans="2:2" ht="15" customHeight="1" x14ac:dyDescent="0.2">
      <c r="B16" s="50" t="s">
        <v>727</v>
      </c>
    </row>
    <row r="17" spans="2:2" ht="15" customHeight="1" x14ac:dyDescent="0.2">
      <c r="B17" s="50" t="s">
        <v>728</v>
      </c>
    </row>
    <row r="18" spans="2:2" ht="15" customHeight="1" x14ac:dyDescent="0.2">
      <c r="B18" s="50" t="s">
        <v>729</v>
      </c>
    </row>
    <row r="19" spans="2:2" ht="15" customHeight="1" x14ac:dyDescent="0.2">
      <c r="B19" s="50" t="s">
        <v>730</v>
      </c>
    </row>
    <row r="20" spans="2:2" ht="15" customHeight="1" x14ac:dyDescent="0.2">
      <c r="B20" s="50" t="s">
        <v>731</v>
      </c>
    </row>
    <row r="21" spans="2:2" ht="15" customHeight="1" x14ac:dyDescent="0.2">
      <c r="B21" s="50" t="s">
        <v>732</v>
      </c>
    </row>
    <row r="22" spans="2:2" ht="15.75" customHeight="1" x14ac:dyDescent="0.2"/>
    <row r="23" spans="2:2" ht="15.75" customHeight="1" x14ac:dyDescent="0.2"/>
    <row r="24" spans="2:2" ht="15" customHeight="1" x14ac:dyDescent="0.2">
      <c r="B24" s="197" t="s">
        <v>733</v>
      </c>
    </row>
    <row r="25" spans="2:2" ht="15" customHeight="1" x14ac:dyDescent="0.2">
      <c r="B25" s="197" t="s">
        <v>734</v>
      </c>
    </row>
    <row r="26" spans="2:2" ht="15" customHeight="1" x14ac:dyDescent="0.2">
      <c r="B26" s="50" t="s">
        <v>735</v>
      </c>
    </row>
    <row r="27" spans="2:2" ht="15" customHeight="1" x14ac:dyDescent="0.2">
      <c r="B27" s="50" t="s">
        <v>736</v>
      </c>
    </row>
    <row r="28" spans="2:2" ht="15" customHeight="1" x14ac:dyDescent="0.2">
      <c r="B28" s="50" t="s">
        <v>737</v>
      </c>
    </row>
    <row r="29" spans="2:2" ht="15" customHeight="1" x14ac:dyDescent="0.2">
      <c r="B29" s="50" t="s">
        <v>738</v>
      </c>
    </row>
    <row r="30" spans="2:2" ht="15" customHeight="1" x14ac:dyDescent="0.2">
      <c r="B30" s="50" t="s">
        <v>739</v>
      </c>
    </row>
    <row r="31" spans="2:2" ht="15" customHeight="1" x14ac:dyDescent="0.2">
      <c r="B31" s="50" t="s">
        <v>740</v>
      </c>
    </row>
    <row r="32" spans="2:2" ht="15" customHeight="1" x14ac:dyDescent="0.2">
      <c r="B32" s="50" t="s">
        <v>741</v>
      </c>
    </row>
    <row r="33" spans="2:2" ht="15" customHeight="1" x14ac:dyDescent="0.2">
      <c r="B33" s="50" t="s">
        <v>742</v>
      </c>
    </row>
    <row r="34" spans="2:2" ht="15" customHeight="1" x14ac:dyDescent="0.2">
      <c r="B34" s="50" t="s">
        <v>743</v>
      </c>
    </row>
    <row r="35" spans="2:2" ht="15.75" customHeight="1" x14ac:dyDescent="0.2"/>
    <row r="36" spans="2:2" ht="15.75" customHeight="1" x14ac:dyDescent="0.2"/>
    <row r="37" spans="2:2" ht="15" customHeight="1" x14ac:dyDescent="0.2">
      <c r="B37" s="50" t="s">
        <v>744</v>
      </c>
    </row>
    <row r="38" spans="2:2" ht="15" customHeight="1" x14ac:dyDescent="0.2">
      <c r="B38" s="50" t="s">
        <v>745</v>
      </c>
    </row>
    <row r="39" spans="2:2" ht="15" customHeight="1" x14ac:dyDescent="0.2">
      <c r="B39" s="50" t="s">
        <v>746</v>
      </c>
    </row>
    <row r="40" spans="2:2" ht="15.75" customHeight="1" x14ac:dyDescent="0.2"/>
    <row r="41" spans="2:2" ht="15" customHeight="1" x14ac:dyDescent="0.2">
      <c r="B41" s="197" t="s">
        <v>747</v>
      </c>
    </row>
    <row r="42" spans="2:2" ht="15" customHeight="1" x14ac:dyDescent="0.2">
      <c r="B42" s="50" t="s">
        <v>748</v>
      </c>
    </row>
    <row r="43" spans="2:2" ht="15" customHeight="1" x14ac:dyDescent="0.2">
      <c r="B43" s="50" t="s">
        <v>749</v>
      </c>
    </row>
    <row r="44" spans="2:2" ht="15" customHeight="1" x14ac:dyDescent="0.2">
      <c r="B44" s="50" t="s">
        <v>750</v>
      </c>
    </row>
    <row r="45" spans="2:2" ht="15" customHeight="1" x14ac:dyDescent="0.2">
      <c r="B45" s="198" t="s">
        <v>751</v>
      </c>
    </row>
    <row r="46" spans="2:2" ht="15.75" customHeight="1" x14ac:dyDescent="0.2"/>
    <row r="47" spans="2:2" ht="15.75" customHeight="1" x14ac:dyDescent="0.2"/>
    <row r="48" spans="2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TCA</vt:lpstr>
      <vt:lpstr>TODO LIST</vt:lpstr>
      <vt:lpstr>SUPUESTOS</vt:lpstr>
      <vt:lpstr>FLUJO 5 AÑOS (5Y)</vt:lpstr>
      <vt:lpstr>Copia de FLUJO 5 AÑOS (5Y)</vt:lpstr>
      <vt:lpstr>RESULTADOS ASESOR TCMC (5Y)</vt:lpstr>
      <vt:lpstr>FLUJO 11 AÑOS</vt:lpstr>
      <vt:lpstr>CUOTAS TOMADOR</vt:lpstr>
      <vt:lpstr>RESULTADOS ASESOR TCMC</vt:lpstr>
      <vt:lpstr>Datos extras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Benegas</cp:lastModifiedBy>
  <dcterms:created xsi:type="dcterms:W3CDTF">2026-03-13T18:09:47Z</dcterms:created>
  <dcterms:modified xsi:type="dcterms:W3CDTF">2026-05-11T21:10:13Z</dcterms:modified>
</cp:coreProperties>
</file>