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0" yWindow="0" windowWidth="23040" windowHeight="9300" activeTab="2"/>
  </bookViews>
  <sheets>
    <sheet name="Problem #1" sheetId="2" r:id="rId1"/>
    <sheet name="Problem #2" sheetId="3" r:id="rId2"/>
    <sheet name="Problem #3" sheetId="4" r:id="rId3"/>
    <sheet name="Data Table" sheetId="1" r:id="rId4"/>
  </sheets>
  <definedNames>
    <definedName name="_xlnm.Criteria" localSheetId="2">'Problem #3'!#REF!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24" i="2"/>
  <c r="B9" i="4"/>
  <c r="E9" i="4"/>
  <c r="E16" i="4"/>
  <c r="F11" i="4"/>
  <c r="F9" i="3"/>
  <c r="E16" i="3" s="1"/>
  <c r="F9" i="4"/>
  <c r="H22" i="2"/>
  <c r="B9" i="3" l="1"/>
  <c r="G22" i="2"/>
  <c r="F11" i="3"/>
  <c r="F24" i="2"/>
  <c r="F22" i="2"/>
  <c r="B24" i="2" l="1"/>
  <c r="B22" i="2"/>
  <c r="E22" i="2" s="1"/>
  <c r="C22" i="2"/>
  <c r="AA2" i="4" l="1"/>
  <c r="D22" i="2" l="1"/>
  <c r="D24" i="2" s="1"/>
  <c r="E24" i="2" s="1"/>
  <c r="D9" i="2"/>
  <c r="C9" i="2"/>
  <c r="D9" i="4" l="1"/>
  <c r="C9" i="4"/>
  <c r="D9" i="3"/>
  <c r="C9" i="3"/>
  <c r="B11" i="4" l="1"/>
  <c r="C16" i="4" s="1"/>
  <c r="B11" i="3"/>
  <c r="B9" i="2"/>
  <c r="E9" i="2" s="1"/>
  <c r="B11" i="2"/>
  <c r="C16" i="3" l="1"/>
  <c r="D16" i="3"/>
  <c r="F17" i="3" s="1"/>
  <c r="D17" i="3" s="1"/>
  <c r="E17" i="3" s="1"/>
  <c r="C11" i="2"/>
  <c r="D11" i="2" s="1"/>
  <c r="E11" i="2" s="1"/>
  <c r="F9" i="2" s="1"/>
  <c r="F18" i="3" l="1"/>
  <c r="D11" i="3" l="1"/>
  <c r="D18" i="3"/>
  <c r="E18" i="3" l="1"/>
  <c r="E9" i="3" s="1"/>
  <c r="G9" i="3" s="1"/>
  <c r="E11" i="3"/>
  <c r="F17" i="4" l="1"/>
  <c r="D17" i="4" s="1"/>
  <c r="E17" i="4" l="1"/>
  <c r="F18" i="4" s="1"/>
  <c r="C11" i="4" s="1"/>
  <c r="D11" i="4" s="1"/>
  <c r="D18" i="4" l="1"/>
  <c r="E18" i="4" s="1"/>
  <c r="F19" i="4" l="1"/>
  <c r="D19" i="4" s="1"/>
  <c r="E19" i="4" s="1"/>
  <c r="E11" i="4"/>
  <c r="F20" i="4" l="1"/>
  <c r="D20" i="4"/>
  <c r="E20" i="4" s="1"/>
  <c r="G9" i="4" s="1"/>
  <c r="Y4" i="4" s="1"/>
  <c r="Z4" i="4" l="1"/>
  <c r="AA4" i="4" s="1"/>
  <c r="Y5" i="4"/>
  <c r="Z5" i="4" l="1"/>
  <c r="AA5" i="4" s="1"/>
  <c r="Y6" i="4"/>
  <c r="Z6" i="4" l="1"/>
  <c r="AA6" i="4" s="1"/>
  <c r="Y7" i="4"/>
  <c r="Z7" i="4" l="1"/>
  <c r="AA7" i="4" s="1"/>
  <c r="Y8" i="4"/>
  <c r="Z8" i="4" l="1"/>
  <c r="AA8" i="4" s="1"/>
  <c r="Y9" i="4"/>
  <c r="Z9" i="4" l="1"/>
  <c r="AA9" i="4" s="1"/>
  <c r="Y10" i="4"/>
  <c r="Z10" i="4" l="1"/>
  <c r="AA10" i="4" s="1"/>
  <c r="Y11" i="4"/>
  <c r="Z11" i="4" l="1"/>
  <c r="AA11" i="4" s="1"/>
  <c r="Y12" i="4"/>
  <c r="Z12" i="4" l="1"/>
  <c r="AA12" i="4" s="1"/>
  <c r="Y13" i="4"/>
  <c r="Z13" i="4" l="1"/>
  <c r="AA13" i="4" s="1"/>
  <c r="Y14" i="4"/>
  <c r="Z14" i="4" l="1"/>
  <c r="AA14" i="4" s="1"/>
  <c r="Y15" i="4"/>
  <c r="Z15" i="4" l="1"/>
  <c r="AA15" i="4" s="1"/>
  <c r="Y16" i="4"/>
  <c r="Z16" i="4" l="1"/>
  <c r="AA16" i="4" s="1"/>
  <c r="Y17" i="4"/>
  <c r="Z17" i="4" l="1"/>
  <c r="AA17" i="4" s="1"/>
  <c r="Y18" i="4"/>
  <c r="Z18" i="4" l="1"/>
  <c r="AA18" i="4" s="1"/>
  <c r="Y19" i="4"/>
  <c r="Z19" i="4" l="1"/>
  <c r="AA19" i="4" s="1"/>
  <c r="Y20" i="4"/>
  <c r="Z20" i="4" l="1"/>
  <c r="AA20" i="4" s="1"/>
  <c r="Y21" i="4"/>
  <c r="Z21" i="4" l="1"/>
  <c r="AA21" i="4" s="1"/>
  <c r="Y22" i="4"/>
  <c r="Z22" i="4" l="1"/>
  <c r="AA22" i="4" s="1"/>
  <c r="Y23" i="4"/>
  <c r="Z23" i="4" s="1"/>
  <c r="AA23" i="4" s="1"/>
  <c r="AB3" i="4" s="1"/>
  <c r="AB5" i="4" s="1"/>
  <c r="AB7" i="4" s="1"/>
  <c r="H9" i="4" s="1"/>
</calcChain>
</file>

<file path=xl/sharedStrings.xml><?xml version="1.0" encoding="utf-8"?>
<sst xmlns="http://schemas.openxmlformats.org/spreadsheetml/2006/main" count="238" uniqueCount="149">
  <si>
    <t>Commercial steel</t>
    <phoneticPr fontId="1" type="noConversion"/>
  </si>
  <si>
    <t>Corrugated steel</t>
    <phoneticPr fontId="1" type="noConversion"/>
  </si>
  <si>
    <t>Riveted steel</t>
    <phoneticPr fontId="1" type="noConversion"/>
  </si>
  <si>
    <t>Galvanized steel</t>
    <phoneticPr fontId="1" type="noConversion"/>
  </si>
  <si>
    <t>Brick sewer</t>
    <phoneticPr fontId="1" type="noConversion"/>
  </si>
  <si>
    <t>Cement-asbestos</t>
    <phoneticPr fontId="1" type="noConversion"/>
  </si>
  <si>
    <t>Clays</t>
    <phoneticPr fontId="1" type="noConversion"/>
  </si>
  <si>
    <t>Concrete</t>
    <phoneticPr fontId="1" type="noConversion"/>
  </si>
  <si>
    <t>Wood stave</t>
    <phoneticPr fontId="1" type="noConversion"/>
  </si>
  <si>
    <t>Asphalt coated cast iron</t>
  </si>
  <si>
    <t>Asphalt coated cast iron</t>
    <phoneticPr fontId="1" type="noConversion"/>
  </si>
  <si>
    <t>Bituminous lined cast iron</t>
    <phoneticPr fontId="1" type="noConversion"/>
  </si>
  <si>
    <t>Cement lined cast iron</t>
    <phoneticPr fontId="1" type="noConversion"/>
  </si>
  <si>
    <t>Centrifugally spun cast iron</t>
    <phoneticPr fontId="1" type="noConversion"/>
  </si>
  <si>
    <t>Drawn tubing</t>
    <phoneticPr fontId="1" type="noConversion"/>
  </si>
  <si>
    <t>Brass</t>
    <phoneticPr fontId="1" type="noConversion"/>
  </si>
  <si>
    <t>Copper</t>
    <phoneticPr fontId="1" type="noConversion"/>
  </si>
  <si>
    <t>Glass</t>
    <phoneticPr fontId="1" type="noConversion"/>
  </si>
  <si>
    <t>Lead</t>
    <phoneticPr fontId="1" type="noConversion"/>
  </si>
  <si>
    <t>Plastic</t>
    <phoneticPr fontId="1" type="noConversion"/>
  </si>
  <si>
    <t>Tin</t>
    <phoneticPr fontId="1" type="noConversion"/>
  </si>
  <si>
    <t>Galvanized</t>
    <phoneticPr fontId="1" type="noConversion"/>
  </si>
  <si>
    <t>Wrought iron</t>
    <phoneticPr fontId="1" type="noConversion"/>
  </si>
  <si>
    <t>PVC</t>
    <phoneticPr fontId="1" type="noConversion"/>
  </si>
  <si>
    <t>Pipe Material</t>
    <phoneticPr fontId="1" type="noConversion"/>
  </si>
  <si>
    <t>Cast iron</t>
    <phoneticPr fontId="1" type="noConversion"/>
  </si>
  <si>
    <t>density(kg/(m^3))</t>
  </si>
  <si>
    <t>viscosity(pa*s)</t>
    <phoneticPr fontId="1" type="noConversion"/>
  </si>
  <si>
    <t>liquid type</t>
    <phoneticPr fontId="1" type="noConversion"/>
  </si>
  <si>
    <t>Reynolds number</t>
    <phoneticPr fontId="1" type="noConversion"/>
  </si>
  <si>
    <t>Liquid type</t>
    <phoneticPr fontId="1" type="noConversion"/>
  </si>
  <si>
    <t>Pipe material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</si>
  <si>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diameter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</si>
  <si>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length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</si>
  <si>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Roughness factor (ɛ)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</si>
  <si>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Velocity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(m/s)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</si>
  <si>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Viscosity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(pa*s)</t>
    </r>
    <phoneticPr fontId="1" type="noConversion"/>
  </si>
  <si>
    <t>Flow type</t>
    <phoneticPr fontId="1" type="noConversion"/>
  </si>
  <si>
    <t>Friction factor</t>
    <phoneticPr fontId="1" type="noConversion"/>
  </si>
  <si>
    <t>Input Data</t>
    <phoneticPr fontId="1" type="noConversion"/>
  </si>
  <si>
    <t>Calculated Data</t>
    <phoneticPr fontId="1" type="noConversion"/>
  </si>
  <si>
    <t>Output Data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</si>
  <si>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Pressure drop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(Pa)</t>
    </r>
    <phoneticPr fontId="1" type="noConversion"/>
  </si>
  <si>
    <t>1st trial</t>
    <phoneticPr fontId="1" type="noConversion"/>
  </si>
  <si>
    <t>2nd trial</t>
    <phoneticPr fontId="1" type="noConversion"/>
  </si>
  <si>
    <t>3rd trial</t>
    <phoneticPr fontId="1" type="noConversion"/>
  </si>
  <si>
    <t>ɛ/D</t>
    <phoneticPr fontId="1" type="noConversion"/>
  </si>
  <si>
    <t>Trial &amp; error</t>
    <phoneticPr fontId="1" type="noConversion"/>
  </si>
  <si>
    <t>f</t>
    <phoneticPr fontId="1" type="noConversion"/>
  </si>
  <si>
    <t>Re</t>
    <phoneticPr fontId="1" type="noConversion"/>
  </si>
  <si>
    <r>
      <t xml:space="preserve">Pressure drop
</t>
    </r>
    <r>
      <rPr>
        <sz val="9"/>
        <color theme="1"/>
        <rFont val="맑은 고딕"/>
        <family val="3"/>
        <charset val="129"/>
        <scheme val="minor"/>
      </rPr>
      <t>(Pa)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</si>
  <si>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length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</si>
  <si>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Velocity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(m/s)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</si>
  <si>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Pressure drop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(Pa)</t>
    </r>
    <phoneticPr fontId="1" type="noConversion"/>
  </si>
  <si>
    <t>D</t>
    <phoneticPr fontId="1" type="noConversion"/>
  </si>
  <si>
    <t>Acetone</t>
    <phoneticPr fontId="1" type="noConversion"/>
  </si>
  <si>
    <t>Benzene</t>
    <phoneticPr fontId="1" type="noConversion"/>
  </si>
  <si>
    <t>Carbon disulfide</t>
    <phoneticPr fontId="1" type="noConversion"/>
  </si>
  <si>
    <t>Carbon tetrachloride</t>
    <phoneticPr fontId="1" type="noConversion"/>
  </si>
  <si>
    <t>Castor oil</t>
    <phoneticPr fontId="1" type="noConversion"/>
  </si>
  <si>
    <t>Chloroform</t>
    <phoneticPr fontId="1" type="noConversion"/>
  </si>
  <si>
    <t>Decane</t>
    <phoneticPr fontId="1" type="noConversion"/>
  </si>
  <si>
    <t>Ether</t>
    <phoneticPr fontId="1" type="noConversion"/>
  </si>
  <si>
    <t>Ethyl alcohol</t>
    <phoneticPr fontId="1" type="noConversion"/>
  </si>
  <si>
    <t>Ethylene glycol</t>
  </si>
  <si>
    <t>Ethylene glycol</t>
    <phoneticPr fontId="1" type="noConversion"/>
  </si>
  <si>
    <t>Glycerine</t>
    <phoneticPr fontId="1" type="noConversion"/>
  </si>
  <si>
    <t>Heptane</t>
    <phoneticPr fontId="1" type="noConversion"/>
  </si>
  <si>
    <t>Hexane</t>
    <phoneticPr fontId="1" type="noConversion"/>
  </si>
  <si>
    <t>Kerosene</t>
    <phoneticPr fontId="1" type="noConversion"/>
  </si>
  <si>
    <t>Linseed oil</t>
    <phoneticPr fontId="1" type="noConversion"/>
  </si>
  <si>
    <t>Mercury</t>
    <phoneticPr fontId="1" type="noConversion"/>
  </si>
  <si>
    <t>Methyl alcohol</t>
    <phoneticPr fontId="1" type="noConversion"/>
  </si>
  <si>
    <t>Octane</t>
    <phoneticPr fontId="1" type="noConversion"/>
  </si>
  <si>
    <t>Propane</t>
    <phoneticPr fontId="1" type="noConversion"/>
  </si>
  <si>
    <t>Propyl alcohol</t>
    <phoneticPr fontId="1" type="noConversion"/>
  </si>
  <si>
    <t>Propylene</t>
    <phoneticPr fontId="1" type="noConversion"/>
  </si>
  <si>
    <t>Propylene glycol</t>
    <phoneticPr fontId="1" type="noConversion"/>
  </si>
  <si>
    <t>Turpentine</t>
    <phoneticPr fontId="1" type="noConversion"/>
  </si>
  <si>
    <t>Water</t>
  </si>
  <si>
    <t>Water</t>
    <phoneticPr fontId="1" type="noConversion"/>
  </si>
  <si>
    <t>PVC</t>
  </si>
  <si>
    <t>ID</t>
    <phoneticPr fontId="1" type="noConversion"/>
  </si>
  <si>
    <t>Nominal</t>
    <phoneticPr fontId="1" type="noConversion"/>
  </si>
  <si>
    <t>Sch 20</t>
    <phoneticPr fontId="1" type="noConversion"/>
  </si>
  <si>
    <t>Sch 30</t>
    <phoneticPr fontId="1" type="noConversion"/>
  </si>
  <si>
    <t>Sch 40</t>
    <phoneticPr fontId="1" type="noConversion"/>
  </si>
  <si>
    <t>Sch 90</t>
    <phoneticPr fontId="1" type="noConversion"/>
  </si>
  <si>
    <t>Sch 120</t>
    <phoneticPr fontId="1" type="noConversion"/>
  </si>
  <si>
    <t>Sch 160</t>
    <phoneticPr fontId="1" type="noConversion"/>
  </si>
  <si>
    <t>Chloroform</t>
  </si>
  <si>
    <t>Wrought iron</t>
  </si>
  <si>
    <t>Schedule</t>
    <phoneticPr fontId="1" type="noConversion"/>
  </si>
  <si>
    <t>nominal</t>
    <phoneticPr fontId="1" type="noConversion"/>
  </si>
  <si>
    <t>Sch 40</t>
  </si>
  <si>
    <r>
      <rPr>
        <b/>
        <sz val="14"/>
        <color rgb="FF000000"/>
        <rFont val="맑은 고딕"/>
        <family val="3"/>
        <charset val="129"/>
        <scheme val="minor"/>
      </rPr>
      <t>ɛ</t>
    </r>
    <r>
      <rPr>
        <b/>
        <sz val="10"/>
        <color rgb="FF000000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</si>
  <si>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Density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(kg/m³)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</si>
  <si>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area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</t>
    </r>
    <r>
      <rPr>
        <sz val="9"/>
        <color theme="1"/>
        <rFont val="맑은 고딕"/>
        <family val="3"/>
        <charset val="129"/>
      </rPr>
      <t>²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</si>
  <si>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Volume flow rate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(m³/s)</t>
    </r>
    <phoneticPr fontId="1" type="noConversion"/>
  </si>
  <si>
    <t>Schedule</t>
    <phoneticPr fontId="1" type="noConversion"/>
  </si>
  <si>
    <t>공칭지수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</si>
  <si>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Density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(kg/m³)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</si>
  <si>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area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(m²)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</si>
  <si>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area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(m²)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</si>
  <si>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Density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(kg/m³)</t>
    </r>
    <phoneticPr fontId="1" type="noConversion"/>
  </si>
  <si>
    <r>
      <t xml:space="preserve">Volume flow rate
</t>
    </r>
    <r>
      <rPr>
        <sz val="9"/>
        <color theme="1"/>
        <rFont val="맑은 고딕"/>
        <family val="3"/>
        <charset val="129"/>
        <scheme val="minor"/>
      </rPr>
      <t>(m³/s)</t>
    </r>
    <phoneticPr fontId="1" type="noConversion"/>
  </si>
  <si>
    <t>Square edged inlet</t>
    <phoneticPr fontId="1" type="noConversion"/>
  </si>
  <si>
    <t>Re-entrant inlet</t>
    <phoneticPr fontId="1" type="noConversion"/>
  </si>
  <si>
    <t>Well rounded inlet</t>
    <phoneticPr fontId="1" type="noConversion"/>
  </si>
  <si>
    <t>Exit</t>
    <phoneticPr fontId="1" type="noConversion"/>
  </si>
  <si>
    <t>Fitting type</t>
    <phoneticPr fontId="1" type="noConversion"/>
  </si>
  <si>
    <t>threaded</t>
    <phoneticPr fontId="1" type="noConversion"/>
  </si>
  <si>
    <t>flanged</t>
    <phoneticPr fontId="1" type="noConversion"/>
  </si>
  <si>
    <r>
      <rPr>
        <sz val="11"/>
        <color theme="1"/>
        <rFont val="맑은 고딕"/>
        <family val="2"/>
        <charset val="129"/>
      </rPr>
      <t>45</t>
    </r>
    <r>
      <rPr>
        <sz val="11"/>
        <color theme="1"/>
        <rFont val="맑은 고딕"/>
        <family val="3"/>
        <charset val="129"/>
      </rPr>
      <t>˚</t>
    </r>
    <r>
      <rPr>
        <sz val="11"/>
        <color theme="1"/>
        <rFont val="맑은 고딕"/>
        <family val="2"/>
        <charset val="129"/>
      </rPr>
      <t xml:space="preserve"> Elbow</t>
    </r>
    <phoneticPr fontId="1" type="noConversion"/>
  </si>
  <si>
    <t>Globe valve</t>
    <phoneticPr fontId="1" type="noConversion"/>
  </si>
  <si>
    <t>Gate valve</t>
    <phoneticPr fontId="1" type="noConversion"/>
  </si>
  <si>
    <t>K</t>
    <phoneticPr fontId="1" type="noConversion"/>
  </si>
  <si>
    <t>regular</t>
    <phoneticPr fontId="1" type="noConversion"/>
  </si>
  <si>
    <t>long radius</t>
    <phoneticPr fontId="1" type="noConversion"/>
  </si>
  <si>
    <r>
      <t>90</t>
    </r>
    <r>
      <rPr>
        <sz val="11"/>
        <color theme="1"/>
        <rFont val="맑은 고딕"/>
        <family val="3"/>
        <charset val="129"/>
      </rPr>
      <t>˚</t>
    </r>
    <r>
      <rPr>
        <sz val="11"/>
        <color theme="1"/>
        <rFont val="맑은 고딕"/>
        <family val="2"/>
        <charset val="129"/>
      </rPr>
      <t xml:space="preserve"> Elbow (threaded)</t>
    </r>
    <phoneticPr fontId="1" type="noConversion"/>
  </si>
  <si>
    <r>
      <t>90</t>
    </r>
    <r>
      <rPr>
        <sz val="11"/>
        <color theme="1"/>
        <rFont val="맑은 고딕"/>
        <family val="3"/>
        <charset val="129"/>
      </rPr>
      <t>˚</t>
    </r>
    <r>
      <rPr>
        <sz val="11"/>
        <color theme="1"/>
        <rFont val="맑은 고딕"/>
        <family val="2"/>
        <charset val="129"/>
      </rPr>
      <t xml:space="preserve"> Elbow (flanged)</t>
    </r>
    <phoneticPr fontId="1" type="noConversion"/>
  </si>
  <si>
    <t>Minor losses</t>
    <phoneticPr fontId="1" type="noConversion"/>
  </si>
  <si>
    <r>
      <t xml:space="preserve">Inlet height
</t>
    </r>
    <r>
      <rPr>
        <sz val="11"/>
        <color theme="1"/>
        <rFont val="맑은 고딕"/>
        <family val="3"/>
        <charset val="129"/>
        <scheme val="minor"/>
      </rPr>
      <t>(m)</t>
    </r>
    <phoneticPr fontId="1" type="noConversion"/>
  </si>
  <si>
    <r>
      <t xml:space="preserve">Exit height
</t>
    </r>
    <r>
      <rPr>
        <sz val="11"/>
        <color theme="1"/>
        <rFont val="맑은 고딕"/>
        <family val="3"/>
        <charset val="129"/>
        <scheme val="minor"/>
      </rPr>
      <t>(m)</t>
    </r>
    <phoneticPr fontId="1" type="noConversion"/>
  </si>
  <si>
    <t>Friction factor</t>
    <phoneticPr fontId="1" type="noConversion"/>
  </si>
  <si>
    <t>Minor losses</t>
    <phoneticPr fontId="1" type="noConversion"/>
  </si>
  <si>
    <t>Well rounded inlet, Exit, 90˚ Elbow (threaded)_regular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</si>
  <si>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Volume flow rate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(m³/s)</t>
    </r>
    <phoneticPr fontId="1" type="noConversion"/>
  </si>
  <si>
    <t>f</t>
    <phoneticPr fontId="1" type="noConversion"/>
  </si>
  <si>
    <t>V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</si>
  <si>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Velocity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(m/s)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</si>
  <si>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diameter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</si>
  <si>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Pressure drop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(Pa)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</si>
  <si>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area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(m^2)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</si>
  <si>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Height difference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(m)</t>
    </r>
    <phoneticPr fontId="1" type="noConversion"/>
  </si>
  <si>
    <r>
      <t xml:space="preserve">Height difference
</t>
    </r>
    <r>
      <rPr>
        <sz val="11"/>
        <color theme="1"/>
        <rFont val="맑은 고딕"/>
        <family val="3"/>
        <charset val="129"/>
        <scheme val="minor"/>
      </rPr>
      <t>(m)</t>
    </r>
    <phoneticPr fontId="1" type="noConversion"/>
  </si>
  <si>
    <t>스케쥴의 위치</t>
    <phoneticPr fontId="1" type="noConversion"/>
  </si>
  <si>
    <t>Pipe diameter</t>
    <phoneticPr fontId="1" type="noConversion"/>
  </si>
  <si>
    <t>Difference</t>
    <phoneticPr fontId="1" type="noConversion"/>
  </si>
  <si>
    <t>구한 지름보다 큰수들 중 가장 작은 지름</t>
    <phoneticPr fontId="1" type="noConversion"/>
  </si>
  <si>
    <t>공칭지수 위치</t>
    <phoneticPr fontId="1" type="noConversion"/>
  </si>
  <si>
    <t>Output Data</t>
    <phoneticPr fontId="1" type="noConversion"/>
  </si>
  <si>
    <t>공칭지수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</si>
  <si>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Pipe diameter</t>
    </r>
    <r>
      <rPr>
        <sz val="11"/>
        <color theme="1"/>
        <rFont val="맑은 고딕"/>
        <family val="3"/>
        <charset val="129"/>
        <scheme val="minor"/>
      </rPr>
      <t xml:space="preserve">
(m)</t>
    </r>
    <phoneticPr fontId="1" type="noConversion"/>
  </si>
  <si>
    <r>
      <t xml:space="preserve">Height difference
</t>
    </r>
    <r>
      <rPr>
        <sz val="11"/>
        <color theme="1"/>
        <rFont val="맑은 고딕"/>
        <family val="3"/>
        <charset val="129"/>
        <scheme val="minor"/>
      </rPr>
      <t>(m)</t>
    </r>
    <phoneticPr fontId="1" type="noConversion"/>
  </si>
  <si>
    <t>Minor losses</t>
    <phoneticPr fontId="1" type="noConversion"/>
  </si>
  <si>
    <t>4th trial</t>
  </si>
  <si>
    <t>5th trial</t>
  </si>
  <si>
    <t>by 임형욱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</si>
</sst>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0.0"/>
    <numFmt numFmtId="178" formatCode="0&quot;(Pa)&quot;"/>
    <numFmt numFmtId="179" formatCode="0.00000"/>
    <numFmt numFmtId="180" formatCode="0.0000"/>
    <numFmt numFmtId="181" formatCode="0.0000&quot;(m)&quot;"/>
    <numFmt numFmtId="182" formatCode="0.00&quot;((m^3)/s)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0" fillId="0" borderId="19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8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0" fontId="2" fillId="4" borderId="1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1" xfId="0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76" fontId="0" fillId="0" borderId="37" xfId="0" applyNumberFormat="1" applyBorder="1">
      <alignment vertical="center"/>
    </xf>
    <xf numFmtId="177" fontId="0" fillId="0" borderId="38" xfId="0" applyNumberFormat="1" applyBorder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>
      <alignment vertical="center"/>
    </xf>
    <xf numFmtId="0" fontId="0" fillId="0" borderId="39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1" xfId="0" applyBorder="1">
      <alignment vertical="center"/>
    </xf>
    <xf numFmtId="0" fontId="0" fillId="0" borderId="4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" xfId="0" applyBorder="1">
      <alignment vertical="center"/>
    </xf>
    <xf numFmtId="0" fontId="0" fillId="0" borderId="49" xfId="0" applyNumberFormat="1" applyBorder="1">
      <alignment vertical="center"/>
    </xf>
    <xf numFmtId="0" fontId="0" fillId="0" borderId="5" xfId="0" applyNumberFormat="1" applyBorder="1">
      <alignment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0" xfId="0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6" borderId="56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35" xfId="0" applyBorder="1" applyAlignment="1">
      <alignment horizontal="center" vertical="center"/>
    </xf>
    <xf numFmtId="181" fontId="0" fillId="0" borderId="12" xfId="0" applyNumberFormat="1" applyBorder="1">
      <alignment vertical="center"/>
    </xf>
    <xf numFmtId="181" fontId="0" fillId="0" borderId="58" xfId="0" applyNumberFormat="1" applyBorder="1">
      <alignment vertical="center"/>
    </xf>
    <xf numFmtId="181" fontId="0" fillId="0" borderId="59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57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6" borderId="5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horizontal="center" vertical="center" wrapText="1"/>
    </xf>
    <xf numFmtId="181" fontId="2" fillId="4" borderId="2" xfId="0" applyNumberFormat="1" applyFont="1" applyFill="1" applyBorder="1" applyAlignment="1">
      <alignment horizontal="center" vertical="center"/>
    </xf>
    <xf numFmtId="181" fontId="5" fillId="0" borderId="59" xfId="0" applyNumberFormat="1" applyFont="1" applyFill="1" applyBorder="1" applyAlignment="1">
      <alignment vertical="center"/>
    </xf>
    <xf numFmtId="181" fontId="5" fillId="0" borderId="58" xfId="0" applyNumberFormat="1" applyFont="1" applyFill="1" applyBorder="1" applyAlignment="1">
      <alignment vertical="center"/>
    </xf>
    <xf numFmtId="176" fontId="0" fillId="0" borderId="61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62" xfId="0" applyNumberForma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178" fontId="8" fillId="0" borderId="12" xfId="0" applyNumberFormat="1" applyFont="1" applyBorder="1" applyAlignment="1">
      <alignment horizontal="center" vertical="center"/>
    </xf>
    <xf numFmtId="178" fontId="8" fillId="0" borderId="13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79" fontId="0" fillId="0" borderId="30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32" xfId="0" applyNumberFormat="1" applyBorder="1" applyAlignment="1">
      <alignment horizontal="center" vertical="center"/>
    </xf>
    <xf numFmtId="182" fontId="8" fillId="0" borderId="20" xfId="0" applyNumberFormat="1" applyFont="1" applyBorder="1" applyAlignment="1">
      <alignment horizontal="center" vertical="center"/>
    </xf>
    <xf numFmtId="182" fontId="8" fillId="0" borderId="12" xfId="0" applyNumberFormat="1" applyFont="1" applyBorder="1" applyAlignment="1">
      <alignment horizontal="center" vertical="center"/>
    </xf>
    <xf numFmtId="182" fontId="8" fillId="0" borderId="13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179" fontId="0" fillId="0" borderId="58" xfId="0" applyNumberFormat="1" applyBorder="1" applyAlignment="1">
      <alignment horizontal="center" vertical="center"/>
    </xf>
    <xf numFmtId="179" fontId="0" fillId="0" borderId="59" xfId="0" applyNumberFormat="1" applyBorder="1" applyAlignment="1">
      <alignment horizontal="center" vertical="center"/>
    </xf>
    <xf numFmtId="176" fontId="10" fillId="0" borderId="16" xfId="0" applyNumberFormat="1" applyFont="1" applyBorder="1" applyAlignment="1">
      <alignment horizontal="center" vertical="center"/>
    </xf>
    <xf numFmtId="0" fontId="10" fillId="0" borderId="58" xfId="0" applyNumberFormat="1" applyFont="1" applyBorder="1" applyAlignment="1">
      <alignment horizontal="center" vertical="center"/>
    </xf>
    <xf numFmtId="0" fontId="10" fillId="0" borderId="59" xfId="0" applyNumberFormat="1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  <color rgb="FFF88342"/>
      <color rgb="FFF76B1D"/>
      <color rgb="FFFBAF8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opLeftCell="A13" zoomScale="70" zoomScaleNormal="70" workbookViewId="0">
      <selection activeCell="C24" sqref="C24"/>
    </sheetView>
  </sheetViews>
  <sheetFormatPr defaultRowHeight="16.5" x14ac:dyDescent="0.3"/>
  <cols>
    <col min="1" max="1" width="3.375" customWidth="1"/>
    <col min="2" max="2" width="26.25" customWidth="1"/>
    <col min="3" max="3" width="22.5" customWidth="1"/>
    <col min="4" max="4" width="18.125" customWidth="1"/>
    <col min="5" max="5" width="18.25" customWidth="1"/>
    <col min="6" max="6" width="20.375" customWidth="1"/>
    <col min="7" max="7" width="17.75" customWidth="1"/>
    <col min="8" max="8" width="16.25" customWidth="1"/>
    <col min="9" max="9" width="15.125" customWidth="1"/>
    <col min="10" max="10" width="48.875" customWidth="1"/>
  </cols>
  <sheetData>
    <row r="1" spans="2:10" ht="17.25" thickBot="1" x14ac:dyDescent="0.35"/>
    <row r="2" spans="2:10" ht="18" thickBot="1" x14ac:dyDescent="0.35">
      <c r="B2" s="139" t="s">
        <v>39</v>
      </c>
      <c r="C2" s="140"/>
      <c r="D2" s="140"/>
      <c r="E2" s="140"/>
      <c r="F2" s="140"/>
      <c r="G2" s="140"/>
      <c r="H2" s="140"/>
      <c r="I2" s="143"/>
    </row>
    <row r="3" spans="2:10" ht="34.15" customHeight="1" thickBot="1" x14ac:dyDescent="0.35">
      <c r="B3" s="116" t="s">
        <v>98</v>
      </c>
      <c r="C3" s="117" t="s">
        <v>30</v>
      </c>
      <c r="D3" s="118" t="s">
        <v>31</v>
      </c>
      <c r="E3" s="119" t="s">
        <v>32</v>
      </c>
      <c r="F3" s="120" t="s">
        <v>33</v>
      </c>
      <c r="G3" s="94" t="s">
        <v>121</v>
      </c>
      <c r="H3" s="97" t="s">
        <v>122</v>
      </c>
      <c r="I3" s="97" t="s">
        <v>123</v>
      </c>
    </row>
    <row r="4" spans="2:10" ht="17.25" thickBot="1" x14ac:dyDescent="0.35">
      <c r="B4" s="1">
        <v>0.01</v>
      </c>
      <c r="C4" s="14" t="s">
        <v>90</v>
      </c>
      <c r="D4" s="15" t="s">
        <v>91</v>
      </c>
      <c r="E4" s="14">
        <v>0.1023</v>
      </c>
      <c r="F4" s="16">
        <v>250</v>
      </c>
      <c r="G4" s="14">
        <v>2.4500000000000002</v>
      </c>
      <c r="H4" s="14">
        <v>2</v>
      </c>
      <c r="I4" s="14">
        <v>1</v>
      </c>
    </row>
    <row r="5" spans="2:10" ht="16.899999999999999" customHeight="1" x14ac:dyDescent="0.3">
      <c r="B5" s="13"/>
      <c r="C5" s="13"/>
      <c r="D5" s="13"/>
      <c r="E5" s="13"/>
      <c r="F5" s="13"/>
    </row>
    <row r="6" spans="2:10" ht="16.899999999999999" customHeight="1" thickBot="1" x14ac:dyDescent="0.35">
      <c r="B6" s="13"/>
      <c r="C6" s="13"/>
      <c r="D6" s="13"/>
      <c r="E6" s="13"/>
      <c r="F6" s="13"/>
    </row>
    <row r="7" spans="2:10" ht="18" thickBot="1" x14ac:dyDescent="0.35">
      <c r="B7" s="139" t="s">
        <v>40</v>
      </c>
      <c r="C7" s="140"/>
      <c r="D7" s="140"/>
      <c r="E7" s="140"/>
      <c r="F7" s="47" t="s">
        <v>41</v>
      </c>
    </row>
    <row r="8" spans="2:10" ht="31.9" customHeight="1" x14ac:dyDescent="0.3">
      <c r="B8" s="23" t="s">
        <v>97</v>
      </c>
      <c r="C8" s="24" t="s">
        <v>96</v>
      </c>
      <c r="D8" s="25" t="s">
        <v>36</v>
      </c>
      <c r="E8" s="23" t="s">
        <v>35</v>
      </c>
      <c r="F8" s="17" t="s">
        <v>42</v>
      </c>
    </row>
    <row r="9" spans="2:10" ht="18" customHeight="1" thickBot="1" x14ac:dyDescent="0.35">
      <c r="B9" s="29">
        <f>((E4^2)*3.14)/4</f>
        <v>8.215252650000001E-3</v>
      </c>
      <c r="C9" s="11">
        <f>VLOOKUP(C4,'Data Table'!$E$3:$G$26,2,0)</f>
        <v>1470</v>
      </c>
      <c r="D9" s="12">
        <f>VLOOKUP(C4,'Data Table'!$E$3:$G$26,3,0)</f>
        <v>5.2999999999999998E-4</v>
      </c>
      <c r="E9" s="28">
        <f>B4/B9</f>
        <v>1.2172480173205626</v>
      </c>
      <c r="F9" s="141">
        <f>(C9*E11*F4*(E9^(2)))/(2*E4)</f>
        <v>47509.28264074638</v>
      </c>
    </row>
    <row r="10" spans="2:10" ht="37.15" customHeight="1" x14ac:dyDescent="0.3">
      <c r="B10" s="26" t="s">
        <v>34</v>
      </c>
      <c r="C10" s="27" t="s">
        <v>29</v>
      </c>
      <c r="D10" s="27" t="s">
        <v>37</v>
      </c>
      <c r="E10" s="27" t="s">
        <v>38</v>
      </c>
      <c r="F10" s="141"/>
    </row>
    <row r="11" spans="2:10" ht="18" customHeight="1" thickBot="1" x14ac:dyDescent="0.35">
      <c r="B11" s="11">
        <f>VLOOKUP(D4,'Data Table'!B3:C26,2,0)</f>
        <v>4.6E-5</v>
      </c>
      <c r="C11" s="31">
        <f>(C9*E9*E4)/D9</f>
        <v>345379.19640128972</v>
      </c>
      <c r="D11" s="10" t="str">
        <f>IF(C11&lt;2100,"laminar","turbulent")</f>
        <v>turbulent</v>
      </c>
      <c r="E11" s="30">
        <f>IF(D11="laminar",64/C11,0.25/((LOG10((B11/(3.7*E4))+(5.74/(C11^(0.9)))))^(2)))</f>
        <v>1.7851248973939689E-2</v>
      </c>
      <c r="F11" s="142"/>
    </row>
    <row r="12" spans="2:10" ht="34.15" customHeight="1" x14ac:dyDescent="0.3"/>
    <row r="13" spans="2:10" s="93" customFormat="1" ht="12.6" customHeight="1" x14ac:dyDescent="0.3"/>
    <row r="14" spans="2:10" ht="34.15" customHeight="1" thickBot="1" x14ac:dyDescent="0.35"/>
    <row r="15" spans="2:10" ht="18" thickBot="1" x14ac:dyDescent="0.35">
      <c r="B15" s="139" t="s">
        <v>39</v>
      </c>
      <c r="C15" s="140"/>
      <c r="D15" s="140"/>
      <c r="E15" s="140"/>
      <c r="F15" s="140"/>
      <c r="G15" s="140"/>
      <c r="H15" s="140"/>
      <c r="I15" s="140"/>
      <c r="J15" s="143"/>
    </row>
    <row r="16" spans="2:10" ht="33.75" thickBot="1" x14ac:dyDescent="0.35">
      <c r="B16" s="116" t="s">
        <v>98</v>
      </c>
      <c r="C16" s="117" t="s">
        <v>30</v>
      </c>
      <c r="D16" s="118" t="s">
        <v>31</v>
      </c>
      <c r="E16" s="121" t="s">
        <v>92</v>
      </c>
      <c r="F16" s="122" t="s">
        <v>93</v>
      </c>
      <c r="G16" s="120" t="s">
        <v>33</v>
      </c>
      <c r="H16" s="97" t="s">
        <v>122</v>
      </c>
      <c r="I16" s="97" t="s">
        <v>123</v>
      </c>
      <c r="J16" s="94" t="s">
        <v>121</v>
      </c>
    </row>
    <row r="17" spans="2:10" ht="17.25" thickBot="1" x14ac:dyDescent="0.35">
      <c r="B17" s="1">
        <v>0.01</v>
      </c>
      <c r="C17" s="14" t="s">
        <v>90</v>
      </c>
      <c r="D17" s="15" t="s">
        <v>91</v>
      </c>
      <c r="E17" s="14" t="s">
        <v>94</v>
      </c>
      <c r="F17" s="14">
        <v>4</v>
      </c>
      <c r="G17" s="16">
        <v>250</v>
      </c>
      <c r="H17" s="14">
        <v>2</v>
      </c>
      <c r="I17" s="14">
        <v>1</v>
      </c>
      <c r="J17" s="14" t="s">
        <v>126</v>
      </c>
    </row>
    <row r="18" spans="2:10" x14ac:dyDescent="0.3">
      <c r="B18" s="13"/>
      <c r="C18" s="13"/>
      <c r="D18" s="13"/>
      <c r="E18" s="13"/>
      <c r="F18" s="13"/>
    </row>
    <row r="19" spans="2:10" ht="17.25" thickBot="1" x14ac:dyDescent="0.35">
      <c r="B19" s="13"/>
      <c r="C19" s="13"/>
      <c r="D19" s="13"/>
      <c r="E19" s="13"/>
      <c r="F19" s="13"/>
    </row>
    <row r="20" spans="2:10" ht="18" thickBot="1" x14ac:dyDescent="0.35">
      <c r="B20" s="139" t="s">
        <v>40</v>
      </c>
      <c r="C20" s="140"/>
      <c r="D20" s="140"/>
      <c r="E20" s="140"/>
      <c r="F20" s="140"/>
      <c r="G20" s="143"/>
      <c r="H20" s="47" t="s">
        <v>41</v>
      </c>
    </row>
    <row r="21" spans="2:10" ht="28.5" x14ac:dyDescent="0.3">
      <c r="B21" s="23" t="s">
        <v>133</v>
      </c>
      <c r="C21" s="24" t="s">
        <v>96</v>
      </c>
      <c r="D21" s="25" t="s">
        <v>36</v>
      </c>
      <c r="E21" s="23" t="s">
        <v>130</v>
      </c>
      <c r="F21" s="26" t="s">
        <v>131</v>
      </c>
      <c r="G21" s="26" t="s">
        <v>134</v>
      </c>
      <c r="H21" s="17" t="s">
        <v>132</v>
      </c>
    </row>
    <row r="22" spans="2:10" ht="18" customHeight="1" thickBot="1" x14ac:dyDescent="0.35">
      <c r="B22" s="29">
        <f>((F22^2)*3.14)/4</f>
        <v>8.215252650000001E-3</v>
      </c>
      <c r="C22" s="11">
        <f>VLOOKUP(C17,'Data Table'!$E$3:$G$26,2,0)</f>
        <v>1470</v>
      </c>
      <c r="D22" s="12">
        <f>VLOOKUP(C17,'Data Table'!$E$3:$G$26,3,0)</f>
        <v>5.2999999999999998E-4</v>
      </c>
      <c r="E22" s="28">
        <f>B17/B22</f>
        <v>1.2172480173205626</v>
      </c>
      <c r="F22" s="11">
        <f>IF(E17="Sch 20",VLOOKUP(F17,'Data Table'!I4:J9,2,FALSE),IF(E17="Sch 30",VLOOKUP(F17,'Data Table'!K4:L8,2,FALSE),IF(E17="Sch 40",VLOOKUP(F17,'Data Table'!M4:N21,2,FALSE),IF(E17="Sch 90",VLOOKUP(F17,'Data Table'!O4:P21,2,FALSE),IF(E17="Sch 120",VLOOKUP(F17,'Data Table'!Q4:R9,2,FALSE),VLOOKUP(F17,'Data Table'!S4:T23,2,FALSE))))))</f>
        <v>0.1023</v>
      </c>
      <c r="G22" s="11">
        <f>H17-I17</f>
        <v>1</v>
      </c>
      <c r="H22" s="141">
        <f>(C22*9.81*G22)+((E24*G17/F22+F24)*C22*E22^(2)/2)</f>
        <v>64598.140834505655</v>
      </c>
    </row>
    <row r="23" spans="2:10" ht="28.5" x14ac:dyDescent="0.3">
      <c r="B23" s="26" t="s">
        <v>34</v>
      </c>
      <c r="C23" s="27" t="s">
        <v>29</v>
      </c>
      <c r="D23" s="27" t="s">
        <v>37</v>
      </c>
      <c r="E23" s="95" t="s">
        <v>124</v>
      </c>
      <c r="F23" s="95" t="s">
        <v>125</v>
      </c>
      <c r="H23" s="141"/>
    </row>
    <row r="24" spans="2:10" ht="18" customHeight="1" thickBot="1" x14ac:dyDescent="0.35">
      <c r="B24" s="11">
        <f>VLOOKUP(D17,'Data Table'!B16:C39,2,0)</f>
        <v>4.6E-5</v>
      </c>
      <c r="C24" s="31">
        <f>(C22*E22*F22)/D22</f>
        <v>345379.19640128972</v>
      </c>
      <c r="D24" s="10" t="str">
        <f>IF(C24&lt;2100,"laminar","turbulent")</f>
        <v>turbulent</v>
      </c>
      <c r="E24" s="96">
        <f>IF(D24="laminar",64/C24,0.25/((LOG10((B24/(3.7*F22))+(5.74/(C24^(0.9)))))^(2)))</f>
        <v>1.7851248973939689E-2</v>
      </c>
      <c r="F24" s="96">
        <f>'Data Table'!X5+'Data Table'!X6+'Data Table'!X7</f>
        <v>2.4500000000000002</v>
      </c>
      <c r="H24" s="142"/>
    </row>
  </sheetData>
  <mergeCells count="6">
    <mergeCell ref="B7:E7"/>
    <mergeCell ref="F9:F11"/>
    <mergeCell ref="B2:I2"/>
    <mergeCell ref="B15:J15"/>
    <mergeCell ref="H22:H24"/>
    <mergeCell ref="B20:G20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'Data Table'!$B$3:$B$26</xm:f>
          </x14:formula1>
          <xm:sqref>D4 D17</xm:sqref>
        </x14:dataValidation>
        <x14:dataValidation type="list" allowBlank="1" showInputMessage="1" showErrorMessage="1">
          <x14:formula1>
            <xm:f>'Data Table'!$E$3:$E$26</xm:f>
          </x14:formula1>
          <xm:sqref>C4 C17</xm:sqref>
        </x14:dataValidation>
        <x14:dataValidation type="list" allowBlank="1" showInputMessage="1" showErrorMessage="1">
          <x14:formula1>
            <xm:f>'Data Table'!$I$2:$T$2</xm:f>
          </x14:formula1>
          <xm:sqref>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zoomScale="70" zoomScaleNormal="70" workbookViewId="0">
      <selection activeCell="D21" sqref="D21"/>
    </sheetView>
  </sheetViews>
  <sheetFormatPr defaultRowHeight="16.5" x14ac:dyDescent="0.3"/>
  <cols>
    <col min="1" max="1" width="4.375" customWidth="1"/>
    <col min="2" max="2" width="22.375" customWidth="1"/>
    <col min="3" max="3" width="23.25" customWidth="1"/>
    <col min="4" max="4" width="23.125" customWidth="1"/>
    <col min="5" max="6" width="20.625" customWidth="1"/>
    <col min="7" max="7" width="27" customWidth="1"/>
    <col min="8" max="8" width="12.5" customWidth="1"/>
    <col min="9" max="9" width="12.75" customWidth="1"/>
  </cols>
  <sheetData>
    <row r="1" spans="2:9" ht="17.25" thickBot="1" x14ac:dyDescent="0.35"/>
    <row r="2" spans="2:9" ht="18" thickBot="1" x14ac:dyDescent="0.35">
      <c r="B2" s="139" t="s">
        <v>39</v>
      </c>
      <c r="C2" s="140"/>
      <c r="D2" s="140"/>
      <c r="E2" s="140"/>
      <c r="F2" s="140"/>
      <c r="G2" s="140"/>
      <c r="H2" s="140"/>
      <c r="I2" s="143"/>
    </row>
    <row r="3" spans="2:9" ht="40.15" customHeight="1" thickBot="1" x14ac:dyDescent="0.35">
      <c r="B3" s="18" t="s">
        <v>53</v>
      </c>
      <c r="C3" s="19" t="s">
        <v>30</v>
      </c>
      <c r="D3" s="20" t="s">
        <v>31</v>
      </c>
      <c r="E3" s="21" t="s">
        <v>32</v>
      </c>
      <c r="F3" s="22" t="s">
        <v>33</v>
      </c>
      <c r="G3" s="94" t="s">
        <v>121</v>
      </c>
      <c r="H3" s="97" t="s">
        <v>122</v>
      </c>
      <c r="I3" s="97" t="s">
        <v>123</v>
      </c>
    </row>
    <row r="4" spans="2:9" ht="17.25" thickBot="1" x14ac:dyDescent="0.35">
      <c r="B4" s="1">
        <v>685</v>
      </c>
      <c r="C4" s="14" t="s">
        <v>79</v>
      </c>
      <c r="D4" s="15" t="s">
        <v>9</v>
      </c>
      <c r="E4" s="14">
        <v>5.901E-2</v>
      </c>
      <c r="F4" s="16">
        <v>100</v>
      </c>
      <c r="G4" s="14" t="s">
        <v>126</v>
      </c>
      <c r="H4" s="14">
        <v>2</v>
      </c>
      <c r="I4" s="14">
        <v>1</v>
      </c>
    </row>
    <row r="5" spans="2:9" ht="16.899999999999999" customHeight="1" x14ac:dyDescent="0.3">
      <c r="B5" s="13"/>
      <c r="C5" s="13"/>
      <c r="D5" s="13"/>
      <c r="E5" s="13"/>
      <c r="F5" s="13"/>
    </row>
    <row r="6" spans="2:9" ht="16.899999999999999" customHeight="1" thickBot="1" x14ac:dyDescent="0.35">
      <c r="B6" s="13"/>
      <c r="C6" s="13"/>
      <c r="D6" s="13"/>
      <c r="E6" s="13"/>
      <c r="F6" s="13"/>
    </row>
    <row r="7" spans="2:9" ht="18" thickBot="1" x14ac:dyDescent="0.35">
      <c r="B7" s="139" t="s">
        <v>40</v>
      </c>
      <c r="C7" s="140"/>
      <c r="D7" s="140"/>
      <c r="E7" s="140"/>
      <c r="F7" s="143"/>
      <c r="G7" s="47" t="s">
        <v>41</v>
      </c>
    </row>
    <row r="8" spans="2:9" ht="40.15" customHeight="1" thickBot="1" x14ac:dyDescent="0.35">
      <c r="B8" s="23" t="s">
        <v>102</v>
      </c>
      <c r="C8" s="24" t="s">
        <v>101</v>
      </c>
      <c r="D8" s="25" t="s">
        <v>36</v>
      </c>
      <c r="E8" s="23" t="s">
        <v>35</v>
      </c>
      <c r="F8" s="46" t="s">
        <v>125</v>
      </c>
      <c r="G8" s="125" t="s">
        <v>127</v>
      </c>
    </row>
    <row r="9" spans="2:9" ht="18" customHeight="1" thickBot="1" x14ac:dyDescent="0.35">
      <c r="B9" s="29">
        <f>((E4^2)*3.14)/4</f>
        <v>2.7335113785000001E-3</v>
      </c>
      <c r="C9" s="11">
        <f>VLOOKUP(C4,'Data Table'!E3:G26,2,0)</f>
        <v>1000</v>
      </c>
      <c r="D9" s="12">
        <f>VLOOKUP(C4,'Data Table'!E3:G26,3,0)</f>
        <v>8.8999999999999995E-4</v>
      </c>
      <c r="E9" s="28">
        <f>E18</f>
        <v>0.41024372980461293</v>
      </c>
      <c r="F9" s="124">
        <f>'Data Table'!X5+'Data Table'!X6+'Data Table'!X7</f>
        <v>2.4500000000000002</v>
      </c>
      <c r="G9" s="150">
        <f>B9*E9*10000</f>
        <v>11.214059033791893</v>
      </c>
    </row>
    <row r="10" spans="2:9" ht="40.15" customHeight="1" thickBot="1" x14ac:dyDescent="0.35">
      <c r="B10" s="26" t="s">
        <v>34</v>
      </c>
      <c r="C10" s="27" t="s">
        <v>29</v>
      </c>
      <c r="D10" s="27" t="s">
        <v>37</v>
      </c>
      <c r="E10" s="94" t="s">
        <v>124</v>
      </c>
      <c r="F10" s="97" t="s">
        <v>135</v>
      </c>
      <c r="G10" s="151"/>
    </row>
    <row r="11" spans="2:9" ht="18" customHeight="1" thickBot="1" x14ac:dyDescent="0.35">
      <c r="B11" s="11">
        <f>VLOOKUP(D4,'Data Table'!B3:C26,2,0)</f>
        <v>1.2E-4</v>
      </c>
      <c r="C11" s="31">
        <f>F18</f>
        <v>27774.296516131064</v>
      </c>
      <c r="D11" s="10" t="str">
        <f>IF(C11&lt;2100,"laminar","turbulent")</f>
        <v>turbulent</v>
      </c>
      <c r="E11" s="123">
        <f>IF(D11="turbulent",D18,64/C11)</f>
        <v>2.8746548264053498E-2</v>
      </c>
      <c r="F11" s="123">
        <f>H4-I4</f>
        <v>1</v>
      </c>
      <c r="G11" s="152"/>
    </row>
    <row r="12" spans="2:9" ht="18" customHeight="1" x14ac:dyDescent="0.3">
      <c r="B12" s="13"/>
      <c r="C12" s="32"/>
      <c r="D12" s="13"/>
      <c r="E12" s="33"/>
      <c r="F12" s="34"/>
    </row>
    <row r="13" spans="2:9" ht="18" customHeight="1" thickBot="1" x14ac:dyDescent="0.35"/>
    <row r="14" spans="2:9" ht="18" thickBot="1" x14ac:dyDescent="0.35">
      <c r="B14" s="144" t="s">
        <v>47</v>
      </c>
      <c r="C14" s="145"/>
      <c r="D14" s="145"/>
      <c r="E14" s="145"/>
      <c r="F14" s="146"/>
    </row>
    <row r="15" spans="2:9" ht="17.25" thickBot="1" x14ac:dyDescent="0.35">
      <c r="B15" s="36"/>
      <c r="C15" s="35" t="s">
        <v>46</v>
      </c>
      <c r="D15" s="126" t="s">
        <v>128</v>
      </c>
      <c r="E15" s="126" t="s">
        <v>129</v>
      </c>
      <c r="F15" s="127" t="s">
        <v>49</v>
      </c>
    </row>
    <row r="16" spans="2:9" x14ac:dyDescent="0.3">
      <c r="B16" s="37" t="s">
        <v>43</v>
      </c>
      <c r="C16" s="147">
        <f>B11/E4</f>
        <v>2.0335536349771225E-3</v>
      </c>
      <c r="D16" s="40">
        <f>0.25/((LOG10((B11/(3.7*E4))+(5.74/(F16^(0.9)))))^(2))</f>
        <v>2.3524498841776292E-2</v>
      </c>
      <c r="E16" s="40">
        <f>2*9.81*((B4/(C9*9.81)+F11)/(D16*F4/E4+F9))</f>
        <v>0.49603836784634658</v>
      </c>
      <c r="F16" s="43">
        <v>10000000000</v>
      </c>
    </row>
    <row r="17" spans="2:6" x14ac:dyDescent="0.3">
      <c r="B17" s="38" t="s">
        <v>44</v>
      </c>
      <c r="C17" s="148"/>
      <c r="D17" s="41">
        <f>0.25/((LOG10((B11/(3.7*E4))+(5.74/(F17^(0.9)))))^(2))</f>
        <v>2.8122843513326036E-2</v>
      </c>
      <c r="E17" s="41">
        <f>2*9.81*((B4/(C9*9.81)+F11)/(D17*F4/E4+F9))</f>
        <v>0.4188972021582214</v>
      </c>
      <c r="F17" s="44">
        <f>(C9*E4*E16)/D9</f>
        <v>32889.015827654956</v>
      </c>
    </row>
    <row r="18" spans="2:6" ht="17.25" thickBot="1" x14ac:dyDescent="0.35">
      <c r="B18" s="39" t="s">
        <v>45</v>
      </c>
      <c r="C18" s="149"/>
      <c r="D18" s="42">
        <f>0.25/((LOG10((B11/(3.7*E4))+(5.74/(F18^(0.9)))))^(2))</f>
        <v>2.8746548264053498E-2</v>
      </c>
      <c r="E18" s="42">
        <f>2*9.81*((B4/(C9*9.81)+F11)/(D18*F4/E4+F9))</f>
        <v>0.41024372980461293</v>
      </c>
      <c r="F18" s="45">
        <f>(C9*E4*E17)/D9</f>
        <v>27774.296516131064</v>
      </c>
    </row>
    <row r="23" spans="2:6" x14ac:dyDescent="0.3">
      <c r="C23" s="103"/>
    </row>
  </sheetData>
  <mergeCells count="5">
    <mergeCell ref="B14:F14"/>
    <mergeCell ref="C16:C18"/>
    <mergeCell ref="B2:I2"/>
    <mergeCell ref="G9:G11"/>
    <mergeCell ref="B7:F7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Table'!$B$3:$B$26</xm:f>
          </x14:formula1>
          <xm:sqref>D4:D5</xm:sqref>
        </x14:dataValidation>
        <x14:dataValidation type="list" allowBlank="1" showInputMessage="1" showErrorMessage="1">
          <x14:formula1>
            <xm:f>'Data Table'!$E$3:$E$26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9"/>
  <sheetViews>
    <sheetView tabSelected="1" zoomScale="70" zoomScaleNormal="70" workbookViewId="0">
      <selection activeCell="D29" sqref="D29"/>
    </sheetView>
  </sheetViews>
  <sheetFormatPr defaultRowHeight="16.5" x14ac:dyDescent="0.3"/>
  <cols>
    <col min="1" max="1" width="5.25" customWidth="1"/>
    <col min="2" max="2" width="22" customWidth="1"/>
    <col min="3" max="3" width="18.875" customWidth="1"/>
    <col min="4" max="4" width="27.625" customWidth="1"/>
    <col min="5" max="5" width="17.75" customWidth="1"/>
    <col min="6" max="6" width="16.75" customWidth="1"/>
    <col min="7" max="7" width="15.875" customWidth="1"/>
    <col min="8" max="8" width="13.875" customWidth="1"/>
    <col min="9" max="9" width="12.75" customWidth="1"/>
    <col min="10" max="10" width="53.25" customWidth="1"/>
    <col min="11" max="11" width="8.75" customWidth="1"/>
    <col min="12" max="12" width="8.5" customWidth="1"/>
    <col min="13" max="13" width="8.25" customWidth="1"/>
    <col min="14" max="14" width="8.75" customWidth="1"/>
    <col min="15" max="15" width="8.125" customWidth="1"/>
    <col min="16" max="16" width="9.125" customWidth="1"/>
    <col min="17" max="17" width="8.5" customWidth="1"/>
    <col min="18" max="18" width="9.125" customWidth="1"/>
    <col min="19" max="19" width="7.875" customWidth="1"/>
    <col min="20" max="20" width="8.5" customWidth="1"/>
    <col min="21" max="21" width="7.75" customWidth="1"/>
    <col min="22" max="22" width="8.75" customWidth="1"/>
    <col min="23" max="23" width="7.75" customWidth="1"/>
    <col min="24" max="24" width="8.75" customWidth="1"/>
    <col min="25" max="25" width="13.75" customWidth="1"/>
    <col min="26" max="26" width="11.125" customWidth="1"/>
    <col min="27" max="27" width="7.375" customWidth="1"/>
    <col min="28" max="28" width="37.75" customWidth="1"/>
    <col min="29" max="29" width="12.5" customWidth="1"/>
    <col min="30" max="30" width="8.75" customWidth="1"/>
  </cols>
  <sheetData>
    <row r="1" spans="2:28" ht="17.25" thickBot="1" x14ac:dyDescent="0.35">
      <c r="B1" t="s">
        <v>148</v>
      </c>
    </row>
    <row r="2" spans="2:28" ht="25.9" customHeight="1" thickBot="1" x14ac:dyDescent="0.35">
      <c r="B2" s="139" t="s">
        <v>39</v>
      </c>
      <c r="C2" s="140"/>
      <c r="D2" s="140"/>
      <c r="E2" s="140"/>
      <c r="F2" s="140"/>
      <c r="G2" s="140"/>
      <c r="H2" s="140"/>
      <c r="I2" s="140"/>
      <c r="J2" s="143"/>
      <c r="L2" s="164" t="s">
        <v>84</v>
      </c>
      <c r="M2" s="168"/>
      <c r="N2" s="164" t="s">
        <v>85</v>
      </c>
      <c r="O2" s="165"/>
      <c r="P2" s="169" t="s">
        <v>86</v>
      </c>
      <c r="Q2" s="168"/>
      <c r="R2" s="164" t="s">
        <v>87</v>
      </c>
      <c r="S2" s="165"/>
      <c r="T2" s="169" t="s">
        <v>88</v>
      </c>
      <c r="U2" s="168"/>
      <c r="V2" s="164" t="s">
        <v>89</v>
      </c>
      <c r="W2" s="165"/>
      <c r="Y2" s="166" t="s">
        <v>136</v>
      </c>
      <c r="Z2" s="167"/>
      <c r="AA2" s="104">
        <f>IF(G4=L2,1,IF(G4=N2,2,IF(G4=P2,3,IF(G4=R2,4,IF(G4=T2,5,6)))))</f>
        <v>3</v>
      </c>
      <c r="AB2" s="102" t="s">
        <v>139</v>
      </c>
    </row>
    <row r="3" spans="2:28" ht="35.450000000000003" customHeight="1" thickBot="1" x14ac:dyDescent="0.35">
      <c r="B3" s="131" t="s">
        <v>105</v>
      </c>
      <c r="C3" s="117" t="s">
        <v>30</v>
      </c>
      <c r="D3" s="118" t="s">
        <v>31</v>
      </c>
      <c r="E3" s="121" t="s">
        <v>50</v>
      </c>
      <c r="F3" s="120" t="s">
        <v>51</v>
      </c>
      <c r="G3" s="132" t="s">
        <v>99</v>
      </c>
      <c r="H3" s="97" t="s">
        <v>122</v>
      </c>
      <c r="I3" s="97" t="s">
        <v>123</v>
      </c>
      <c r="J3" s="94" t="s">
        <v>121</v>
      </c>
      <c r="L3" s="115" t="s">
        <v>83</v>
      </c>
      <c r="M3" s="114" t="s">
        <v>82</v>
      </c>
      <c r="N3" s="79" t="s">
        <v>83</v>
      </c>
      <c r="O3" s="81" t="s">
        <v>82</v>
      </c>
      <c r="P3" s="82" t="s">
        <v>83</v>
      </c>
      <c r="Q3" s="80" t="s">
        <v>82</v>
      </c>
      <c r="R3" s="79" t="s">
        <v>83</v>
      </c>
      <c r="S3" s="81" t="s">
        <v>82</v>
      </c>
      <c r="T3" s="82" t="s">
        <v>83</v>
      </c>
      <c r="U3" s="80" t="s">
        <v>82</v>
      </c>
      <c r="V3" s="79" t="s">
        <v>83</v>
      </c>
      <c r="W3" s="81" t="s">
        <v>82</v>
      </c>
      <c r="Y3" s="128" t="s">
        <v>137</v>
      </c>
      <c r="Z3" s="128" t="s">
        <v>138</v>
      </c>
      <c r="AA3" s="111"/>
      <c r="AB3" s="99">
        <f>MIN(AA4:AA23)</f>
        <v>0</v>
      </c>
    </row>
    <row r="4" spans="2:28" ht="17.25" thickBot="1" x14ac:dyDescent="0.35">
      <c r="B4" s="1">
        <v>0.05</v>
      </c>
      <c r="C4" s="14" t="s">
        <v>64</v>
      </c>
      <c r="D4" s="15" t="s">
        <v>81</v>
      </c>
      <c r="E4" s="14">
        <v>200000</v>
      </c>
      <c r="F4" s="16">
        <v>2000</v>
      </c>
      <c r="G4" s="14" t="s">
        <v>94</v>
      </c>
      <c r="H4" s="14">
        <v>2</v>
      </c>
      <c r="I4" s="14">
        <v>1</v>
      </c>
      <c r="J4" s="14" t="s">
        <v>126</v>
      </c>
      <c r="L4" s="83">
        <v>8</v>
      </c>
      <c r="M4" s="75">
        <v>0.2064</v>
      </c>
      <c r="N4" s="74">
        <v>8</v>
      </c>
      <c r="O4" s="76">
        <v>0.20499999999999999</v>
      </c>
      <c r="P4" s="87">
        <v>0.125</v>
      </c>
      <c r="Q4" s="77">
        <v>6.8300000000000001E-3</v>
      </c>
      <c r="R4" s="90">
        <v>0.125</v>
      </c>
      <c r="S4" s="78">
        <v>5.47E-3</v>
      </c>
      <c r="T4" s="91">
        <v>4</v>
      </c>
      <c r="U4" s="75">
        <v>9.2039999999999997E-2</v>
      </c>
      <c r="V4" s="83">
        <v>0.5</v>
      </c>
      <c r="W4" s="76">
        <v>1.1780000000000001E-2</v>
      </c>
      <c r="Y4" s="105">
        <f>G9</f>
        <v>11.693907031386992</v>
      </c>
      <c r="Z4" s="6">
        <f t="shared" ref="Z4:Z23" si="0">IF($AA$2=1,M4-Y4,IF($AA$2=2,O4-Y4,IF($AA$2=3,Q4-Y4,IF($AA$2=4,S4-Y4,IF($AA$2=5,U4-Y4,W4-Y4)))))</f>
        <v>-11.687077031386991</v>
      </c>
      <c r="AA4" s="108" t="str">
        <f>IF(Z4&lt;0,"x",Z4)</f>
        <v>x</v>
      </c>
      <c r="AB4" s="129" t="s">
        <v>140</v>
      </c>
    </row>
    <row r="5" spans="2:28" ht="16.149999999999999" customHeight="1" thickBot="1" x14ac:dyDescent="0.35">
      <c r="B5" s="13"/>
      <c r="C5" s="13"/>
      <c r="D5" s="13"/>
      <c r="E5" s="13"/>
      <c r="F5" s="13"/>
      <c r="L5" s="84">
        <v>10</v>
      </c>
      <c r="M5" s="64">
        <v>0.26040000000000002</v>
      </c>
      <c r="N5" s="65">
        <v>10</v>
      </c>
      <c r="O5" s="66">
        <v>0.25750000000000001</v>
      </c>
      <c r="P5" s="88">
        <v>0.25</v>
      </c>
      <c r="Q5" s="64">
        <v>9.2399999999999999E-3</v>
      </c>
      <c r="R5" s="84">
        <v>0.25</v>
      </c>
      <c r="S5" s="66">
        <v>7.6800000000000002E-3</v>
      </c>
      <c r="T5" s="88">
        <v>5</v>
      </c>
      <c r="U5" s="64">
        <v>0.1159</v>
      </c>
      <c r="V5" s="84">
        <v>0.75</v>
      </c>
      <c r="W5" s="66">
        <v>1.555E-2</v>
      </c>
      <c r="Y5" s="106">
        <f>Y4</f>
        <v>11.693907031386992</v>
      </c>
      <c r="Z5" s="100">
        <f t="shared" si="0"/>
        <v>-11.684667031386992</v>
      </c>
      <c r="AA5" s="108" t="str">
        <f t="shared" ref="AA5:AA23" si="1">IF(Z5&lt;0,"x",Z5)</f>
        <v>x</v>
      </c>
      <c r="AB5" s="99" t="e">
        <f>MATCH(AB3,AA4:AA23,0)</f>
        <v>#N/A</v>
      </c>
    </row>
    <row r="6" spans="2:28" ht="23.45" customHeight="1" thickBot="1" x14ac:dyDescent="0.35">
      <c r="B6" s="13"/>
      <c r="C6" s="13"/>
      <c r="D6" s="13"/>
      <c r="E6" s="13"/>
      <c r="F6" s="13"/>
      <c r="L6" s="84">
        <v>12</v>
      </c>
      <c r="M6" s="64">
        <v>0.31119999999999998</v>
      </c>
      <c r="N6" s="65">
        <v>12</v>
      </c>
      <c r="O6" s="66">
        <v>0.30709999999999998</v>
      </c>
      <c r="P6" s="88">
        <v>0.375</v>
      </c>
      <c r="Q6" s="64">
        <v>1.252E-2</v>
      </c>
      <c r="R6" s="84">
        <v>0.375</v>
      </c>
      <c r="S6" s="66">
        <v>1.074E-2</v>
      </c>
      <c r="T6" s="88">
        <v>6</v>
      </c>
      <c r="U6" s="64">
        <v>0.13980000000000001</v>
      </c>
      <c r="V6" s="84">
        <v>1</v>
      </c>
      <c r="W6" s="66">
        <v>2.07E-2</v>
      </c>
      <c r="Y6" s="106">
        <f t="shared" ref="Y6:Y23" si="2">Y5</f>
        <v>11.693907031386992</v>
      </c>
      <c r="Z6" s="100">
        <f t="shared" si="0"/>
        <v>-11.681387031386992</v>
      </c>
      <c r="AA6" s="109" t="str">
        <f t="shared" si="1"/>
        <v>x</v>
      </c>
      <c r="AB6" s="129" t="s">
        <v>100</v>
      </c>
    </row>
    <row r="7" spans="2:28" ht="18" thickBot="1" x14ac:dyDescent="0.35">
      <c r="B7" s="139" t="s">
        <v>40</v>
      </c>
      <c r="C7" s="140"/>
      <c r="D7" s="140"/>
      <c r="E7" s="140"/>
      <c r="F7" s="143"/>
      <c r="G7" s="156" t="s">
        <v>141</v>
      </c>
      <c r="H7" s="157"/>
      <c r="L7" s="84">
        <v>20</v>
      </c>
      <c r="M7" s="64">
        <v>0.4889</v>
      </c>
      <c r="N7" s="65">
        <v>14</v>
      </c>
      <c r="O7" s="66">
        <v>0.33650000000000002</v>
      </c>
      <c r="P7" s="88">
        <v>0.5</v>
      </c>
      <c r="Q7" s="64">
        <v>1.5800000000000002E-2</v>
      </c>
      <c r="R7" s="84">
        <v>0.5</v>
      </c>
      <c r="S7" s="66">
        <v>1.3860000000000001E-2</v>
      </c>
      <c r="T7" s="88">
        <v>8</v>
      </c>
      <c r="U7" s="64">
        <v>0.18260000000000001</v>
      </c>
      <c r="V7" s="84">
        <v>1.25</v>
      </c>
      <c r="W7" s="66">
        <v>2.946E-2</v>
      </c>
      <c r="Y7" s="106">
        <f t="shared" si="2"/>
        <v>11.693907031386992</v>
      </c>
      <c r="Z7" s="100">
        <f t="shared" si="0"/>
        <v>-11.678107031386991</v>
      </c>
      <c r="AA7" s="109" t="str">
        <f t="shared" si="1"/>
        <v>x</v>
      </c>
      <c r="AB7" s="99" t="e">
        <f>IF(AA2=1,INDEX(L4:M23,AB5,1),IF(AA2=2,INDEX(N4:O23,AB5,1),IF(AA2=3,INDEX(P4:Q23,AB5,1),IF(AA2=4,INDEX(R4:S23,AB5,1),IF(AA2=5,INDEX(T4:U23,AB5,1),INDEX(V4:W23,AB5,1))))))</f>
        <v>#N/A</v>
      </c>
    </row>
    <row r="8" spans="2:28" ht="40.15" customHeight="1" thickBot="1" x14ac:dyDescent="0.35">
      <c r="B8" s="23" t="s">
        <v>103</v>
      </c>
      <c r="C8" s="24" t="s">
        <v>104</v>
      </c>
      <c r="D8" s="25" t="s">
        <v>36</v>
      </c>
      <c r="E8" s="23" t="s">
        <v>52</v>
      </c>
      <c r="F8" s="97" t="s">
        <v>144</v>
      </c>
      <c r="G8" s="98" t="s">
        <v>143</v>
      </c>
      <c r="H8" s="130" t="s">
        <v>142</v>
      </c>
      <c r="L8" s="84">
        <v>22</v>
      </c>
      <c r="M8" s="64">
        <v>0.53969999999999996</v>
      </c>
      <c r="N8" s="65">
        <v>16</v>
      </c>
      <c r="O8" s="66">
        <v>0.38729999999999998</v>
      </c>
      <c r="P8" s="88">
        <v>0.75</v>
      </c>
      <c r="Q8" s="64">
        <v>2.0930000000000001E-2</v>
      </c>
      <c r="R8" s="84">
        <v>0.75</v>
      </c>
      <c r="S8" s="66">
        <v>1.883E-2</v>
      </c>
      <c r="T8" s="88">
        <v>10</v>
      </c>
      <c r="U8" s="64">
        <v>0.23019999999999999</v>
      </c>
      <c r="V8" s="84">
        <v>1.5</v>
      </c>
      <c r="W8" s="66">
        <v>3.9800000000000002E-2</v>
      </c>
      <c r="Y8" s="106">
        <f t="shared" si="2"/>
        <v>11.693907031386992</v>
      </c>
      <c r="Z8" s="100">
        <f t="shared" si="0"/>
        <v>-11.672977031386992</v>
      </c>
      <c r="AA8" s="109" t="str">
        <f t="shared" si="1"/>
        <v>x</v>
      </c>
    </row>
    <row r="9" spans="2:28" ht="18" customHeight="1" thickBot="1" x14ac:dyDescent="0.35">
      <c r="B9" s="29">
        <f>((E18^2)*3.14)/4</f>
        <v>67.38674346747905</v>
      </c>
      <c r="C9" s="11">
        <f>VLOOKUP(C4,'Data Table'!E3:G26,2,0)</f>
        <v>1100</v>
      </c>
      <c r="D9" s="12">
        <f>VLOOKUP(C4,'Data Table'!E3:G26,3,0)</f>
        <v>1.6199999999999999E-2</v>
      </c>
      <c r="E9" s="28">
        <f>B4/B9</f>
        <v>7.4198569966702843E-4</v>
      </c>
      <c r="F9" s="135">
        <f>H4-I4</f>
        <v>1</v>
      </c>
      <c r="G9" s="161">
        <f>E20</f>
        <v>11.693907031386992</v>
      </c>
      <c r="H9" s="153" t="e">
        <f>AB7</f>
        <v>#N/A</v>
      </c>
      <c r="L9" s="84">
        <v>24</v>
      </c>
      <c r="M9" s="64">
        <v>0.59050000000000002</v>
      </c>
      <c r="N9" s="68"/>
      <c r="O9" s="72"/>
      <c r="P9" s="88">
        <v>1</v>
      </c>
      <c r="Q9" s="64">
        <v>2.664E-2</v>
      </c>
      <c r="R9" s="84">
        <v>1</v>
      </c>
      <c r="S9" s="66">
        <v>2.4299999999999999E-2</v>
      </c>
      <c r="T9" s="88">
        <v>12</v>
      </c>
      <c r="U9" s="64">
        <v>0.27310000000000001</v>
      </c>
      <c r="V9" s="84">
        <v>2</v>
      </c>
      <c r="W9" s="66">
        <v>4.2860000000000002E-2</v>
      </c>
      <c r="Y9" s="106">
        <f t="shared" si="2"/>
        <v>11.693907031386992</v>
      </c>
      <c r="Z9" s="100">
        <f t="shared" si="0"/>
        <v>-11.667267031386992</v>
      </c>
      <c r="AA9" s="109" t="str">
        <f t="shared" si="1"/>
        <v>x</v>
      </c>
    </row>
    <row r="10" spans="2:28" ht="40.15" customHeight="1" thickBot="1" x14ac:dyDescent="0.35">
      <c r="B10" s="26" t="s">
        <v>34</v>
      </c>
      <c r="C10" s="27" t="s">
        <v>29</v>
      </c>
      <c r="D10" s="27" t="s">
        <v>37</v>
      </c>
      <c r="E10" s="27" t="s">
        <v>38</v>
      </c>
      <c r="F10" s="133" t="s">
        <v>145</v>
      </c>
      <c r="G10" s="162"/>
      <c r="H10" s="154"/>
      <c r="I10" s="103"/>
      <c r="L10" s="85"/>
      <c r="M10" s="67"/>
      <c r="N10" s="68"/>
      <c r="O10" s="72"/>
      <c r="P10" s="88">
        <v>1.25</v>
      </c>
      <c r="Q10" s="64">
        <v>3.5040000000000002E-2</v>
      </c>
      <c r="R10" s="84">
        <v>1.25</v>
      </c>
      <c r="S10" s="66">
        <v>3.2460000000000003E-2</v>
      </c>
      <c r="T10" s="13"/>
      <c r="U10" s="67"/>
      <c r="V10" s="84">
        <v>2.5</v>
      </c>
      <c r="W10" s="66">
        <v>5.3969999999999997E-2</v>
      </c>
      <c r="Y10" s="106">
        <f t="shared" si="2"/>
        <v>11.693907031386992</v>
      </c>
      <c r="Z10" s="100">
        <f t="shared" si="0"/>
        <v>-11.658867031386992</v>
      </c>
      <c r="AA10" s="109" t="str">
        <f t="shared" si="1"/>
        <v>x</v>
      </c>
    </row>
    <row r="11" spans="2:28" ht="18" customHeight="1" thickBot="1" x14ac:dyDescent="0.35">
      <c r="B11" s="11">
        <f>VLOOKUP(D4,'Data Table'!B3:C26,2,0)</f>
        <v>0</v>
      </c>
      <c r="C11" s="31">
        <f>F18</f>
        <v>657.703607565428</v>
      </c>
      <c r="D11" s="10" t="str">
        <f>IF(C11&lt;2100,"laminar","turbulent")</f>
        <v>laminar</v>
      </c>
      <c r="E11" s="30">
        <f>D18</f>
        <v>7.9142733298877485E-2</v>
      </c>
      <c r="F11" s="134">
        <f>'Data Table'!X5+'Data Table'!X6+'Data Table'!X7</f>
        <v>2.4500000000000002</v>
      </c>
      <c r="G11" s="163"/>
      <c r="H11" s="155"/>
      <c r="L11" s="85"/>
      <c r="M11" s="67"/>
      <c r="N11" s="68"/>
      <c r="O11" s="72"/>
      <c r="P11" s="88">
        <v>1.5</v>
      </c>
      <c r="Q11" s="64">
        <v>4.0899999999999999E-2</v>
      </c>
      <c r="R11" s="84">
        <v>1.5</v>
      </c>
      <c r="S11" s="66">
        <v>3.8100000000000002E-2</v>
      </c>
      <c r="T11" s="13"/>
      <c r="U11" s="67"/>
      <c r="V11" s="84">
        <v>3</v>
      </c>
      <c r="W11" s="66">
        <v>6.6640000000000005E-2</v>
      </c>
      <c r="Y11" s="106">
        <f t="shared" si="2"/>
        <v>11.693907031386992</v>
      </c>
      <c r="Z11" s="100">
        <f t="shared" si="0"/>
        <v>-11.653007031386991</v>
      </c>
      <c r="AA11" s="109" t="str">
        <f t="shared" si="1"/>
        <v>x</v>
      </c>
    </row>
    <row r="12" spans="2:28" ht="18" customHeight="1" x14ac:dyDescent="0.3">
      <c r="B12" s="13"/>
      <c r="C12" s="32"/>
      <c r="D12" s="13"/>
      <c r="E12" s="33"/>
      <c r="F12" s="34"/>
      <c r="L12" s="85"/>
      <c r="M12" s="67"/>
      <c r="N12" s="68"/>
      <c r="O12" s="72"/>
      <c r="P12" s="88">
        <v>2</v>
      </c>
      <c r="Q12" s="64">
        <v>5.2519999999999997E-2</v>
      </c>
      <c r="R12" s="84">
        <v>2</v>
      </c>
      <c r="S12" s="66">
        <v>4.9259999999999998E-2</v>
      </c>
      <c r="T12" s="13"/>
      <c r="U12" s="67"/>
      <c r="V12" s="84">
        <v>4</v>
      </c>
      <c r="W12" s="66">
        <v>8.7319999999999995E-2</v>
      </c>
      <c r="Y12" s="106">
        <f t="shared" si="2"/>
        <v>11.693907031386992</v>
      </c>
      <c r="Z12" s="100">
        <f t="shared" si="0"/>
        <v>-11.641387031386992</v>
      </c>
      <c r="AA12" s="109" t="str">
        <f t="shared" si="1"/>
        <v>x</v>
      </c>
    </row>
    <row r="13" spans="2:28" ht="18" customHeight="1" thickBot="1" x14ac:dyDescent="0.35">
      <c r="L13" s="85"/>
      <c r="M13" s="67"/>
      <c r="N13" s="68"/>
      <c r="O13" s="72"/>
      <c r="P13" s="88">
        <v>2.5</v>
      </c>
      <c r="Q13" s="64">
        <v>6.2710000000000002E-2</v>
      </c>
      <c r="R13" s="84">
        <v>2.5</v>
      </c>
      <c r="S13" s="66">
        <v>5.901E-2</v>
      </c>
      <c r="T13" s="13"/>
      <c r="U13" s="67"/>
      <c r="V13" s="84">
        <v>5</v>
      </c>
      <c r="W13" s="66">
        <v>0.1095</v>
      </c>
      <c r="Y13" s="106">
        <f t="shared" si="2"/>
        <v>11.693907031386992</v>
      </c>
      <c r="Z13" s="100">
        <f t="shared" si="0"/>
        <v>-11.631197031386993</v>
      </c>
      <c r="AA13" s="109" t="str">
        <f t="shared" si="1"/>
        <v>x</v>
      </c>
    </row>
    <row r="14" spans="2:28" ht="18" thickBot="1" x14ac:dyDescent="0.35">
      <c r="B14" s="144" t="s">
        <v>47</v>
      </c>
      <c r="C14" s="145"/>
      <c r="D14" s="145"/>
      <c r="E14" s="145"/>
      <c r="F14" s="146"/>
      <c r="L14" s="85"/>
      <c r="M14" s="67"/>
      <c r="N14" s="68"/>
      <c r="O14" s="72"/>
      <c r="P14" s="88">
        <v>3</v>
      </c>
      <c r="Q14" s="64">
        <v>7.7920000000000003E-2</v>
      </c>
      <c r="R14" s="84">
        <v>3</v>
      </c>
      <c r="S14" s="66">
        <v>7.3660000000000003E-2</v>
      </c>
      <c r="T14" s="13"/>
      <c r="U14" s="67"/>
      <c r="V14" s="84">
        <v>6</v>
      </c>
      <c r="W14" s="66">
        <v>0.1318</v>
      </c>
      <c r="Y14" s="106">
        <f t="shared" si="2"/>
        <v>11.693907031386992</v>
      </c>
      <c r="Z14" s="100">
        <f t="shared" si="0"/>
        <v>-11.615987031386991</v>
      </c>
      <c r="AA14" s="109" t="str">
        <f t="shared" si="1"/>
        <v>x</v>
      </c>
    </row>
    <row r="15" spans="2:28" ht="17.25" thickBot="1" x14ac:dyDescent="0.35">
      <c r="B15" s="54"/>
      <c r="C15" s="35" t="s">
        <v>46</v>
      </c>
      <c r="D15" s="56" t="s">
        <v>48</v>
      </c>
      <c r="E15" s="56" t="s">
        <v>54</v>
      </c>
      <c r="F15" s="57" t="s">
        <v>49</v>
      </c>
      <c r="L15" s="85"/>
      <c r="M15" s="67"/>
      <c r="N15" s="68"/>
      <c r="O15" s="72"/>
      <c r="P15" s="88">
        <v>3.5</v>
      </c>
      <c r="Q15" s="64">
        <v>9.0120000000000006E-2</v>
      </c>
      <c r="R15" s="84">
        <v>3.5</v>
      </c>
      <c r="S15" s="66">
        <v>8.5440000000000002E-2</v>
      </c>
      <c r="T15" s="13"/>
      <c r="U15" s="67"/>
      <c r="V15" s="84">
        <v>8</v>
      </c>
      <c r="W15" s="66">
        <v>0.1731</v>
      </c>
      <c r="Y15" s="106">
        <f t="shared" si="2"/>
        <v>11.693907031386992</v>
      </c>
      <c r="Z15" s="100">
        <f t="shared" si="0"/>
        <v>-11.603787031386991</v>
      </c>
      <c r="AA15" s="109" t="str">
        <f t="shared" si="1"/>
        <v>x</v>
      </c>
    </row>
    <row r="16" spans="2:28" x14ac:dyDescent="0.3">
      <c r="B16" s="55" t="s">
        <v>43</v>
      </c>
      <c r="C16" s="158">
        <f>B11/E4</f>
        <v>0</v>
      </c>
      <c r="D16" s="136">
        <v>2.4E-2</v>
      </c>
      <c r="E16" s="58">
        <f>D16*F4/((E4/C9/9.81)+F9-F11)</f>
        <v>2.8096524576078346</v>
      </c>
      <c r="F16" s="59">
        <v>10000000000</v>
      </c>
      <c r="L16" s="85"/>
      <c r="M16" s="67"/>
      <c r="N16" s="68"/>
      <c r="O16" s="72"/>
      <c r="P16" s="88">
        <v>4</v>
      </c>
      <c r="Q16" s="64">
        <v>0.1023</v>
      </c>
      <c r="R16" s="84">
        <v>4</v>
      </c>
      <c r="S16" s="66">
        <v>9.7180000000000002E-2</v>
      </c>
      <c r="T16" s="13"/>
      <c r="U16" s="67"/>
      <c r="V16" s="84">
        <v>10</v>
      </c>
      <c r="W16" s="66">
        <v>0.21590000000000001</v>
      </c>
      <c r="Y16" s="106">
        <f t="shared" si="2"/>
        <v>11.693907031386992</v>
      </c>
      <c r="Z16" s="100">
        <f t="shared" si="0"/>
        <v>-11.591607031386992</v>
      </c>
      <c r="AA16" s="109" t="str">
        <f t="shared" si="1"/>
        <v>x</v>
      </c>
    </row>
    <row r="17" spans="2:27" x14ac:dyDescent="0.3">
      <c r="B17" s="38" t="s">
        <v>44</v>
      </c>
      <c r="C17" s="159"/>
      <c r="D17" s="137">
        <f>0.25/((LOG10((B11/(3.7*E16))+(5.74/(F17^(0.9)))))^(2))</f>
        <v>5.6170259867416777E-2</v>
      </c>
      <c r="E17" s="41">
        <f>D17*F4/((E4/C9/9.81)+F9-F11)</f>
        <v>6.5757878617065941</v>
      </c>
      <c r="F17" s="44">
        <f>(4*C9*B4)/(D9*3.14*E16)</f>
        <v>1539.3076063619828</v>
      </c>
      <c r="L17" s="85"/>
      <c r="M17" s="67"/>
      <c r="N17" s="68"/>
      <c r="O17" s="72"/>
      <c r="P17" s="88">
        <v>5</v>
      </c>
      <c r="Q17" s="64">
        <v>0.12820000000000001</v>
      </c>
      <c r="R17" s="84">
        <v>5</v>
      </c>
      <c r="S17" s="66">
        <v>0.1222</v>
      </c>
      <c r="T17" s="13"/>
      <c r="U17" s="67"/>
      <c r="V17" s="84">
        <v>12</v>
      </c>
      <c r="W17" s="66">
        <v>0.25719999999999998</v>
      </c>
      <c r="Y17" s="106">
        <f t="shared" si="2"/>
        <v>11.693907031386992</v>
      </c>
      <c r="Z17" s="100">
        <f t="shared" si="0"/>
        <v>-11.565707031386992</v>
      </c>
      <c r="AA17" s="109" t="str">
        <f t="shared" si="1"/>
        <v>x</v>
      </c>
    </row>
    <row r="18" spans="2:27" ht="17.25" thickBot="1" x14ac:dyDescent="0.35">
      <c r="B18" s="39" t="s">
        <v>45</v>
      </c>
      <c r="C18" s="159"/>
      <c r="D18" s="138">
        <f>0.25/((LOG10((B11/(3.7*E17))+(5.74/(F18^(0.9)))))^(2))</f>
        <v>7.9142733298877485E-2</v>
      </c>
      <c r="E18" s="42">
        <f>D18*F4/((E4/C9/9.81)+F9-F11)</f>
        <v>9.2651489631246893</v>
      </c>
      <c r="F18" s="45">
        <f>(4*C9*B4)/(D9*3.14*E17)</f>
        <v>657.703607565428</v>
      </c>
      <c r="L18" s="85"/>
      <c r="M18" s="67"/>
      <c r="N18" s="68"/>
      <c r="O18" s="72"/>
      <c r="P18" s="88">
        <v>6</v>
      </c>
      <c r="Q18" s="64">
        <v>0.15409999999999999</v>
      </c>
      <c r="R18" s="84">
        <v>6</v>
      </c>
      <c r="S18" s="66">
        <v>0.1464</v>
      </c>
      <c r="T18" s="13"/>
      <c r="U18" s="67"/>
      <c r="V18" s="84">
        <v>14</v>
      </c>
      <c r="W18" s="66">
        <v>0.28420000000000001</v>
      </c>
      <c r="Y18" s="106">
        <f t="shared" si="2"/>
        <v>11.693907031386992</v>
      </c>
      <c r="Z18" s="100">
        <f t="shared" si="0"/>
        <v>-11.539807031386992</v>
      </c>
      <c r="AA18" s="109" t="str">
        <f t="shared" si="1"/>
        <v>x</v>
      </c>
    </row>
    <row r="19" spans="2:27" ht="17.25" thickBot="1" x14ac:dyDescent="0.35">
      <c r="B19" s="39" t="s">
        <v>146</v>
      </c>
      <c r="C19" s="159"/>
      <c r="D19" s="138">
        <f>0.25/((LOG10((B11/(3.7*E18))+(5.74/(F19^(0.9)))))^(2))</f>
        <v>9.2577550550889134E-2</v>
      </c>
      <c r="E19" s="42">
        <f>D19*F4/((E4/C9/9.81)+F9-F11)</f>
        <v>10.8379476010258</v>
      </c>
      <c r="F19" s="45">
        <f>(4*C9*B4)/(D9*3.14*E18)</f>
        <v>466.79437280960786</v>
      </c>
      <c r="L19" s="85"/>
      <c r="M19" s="67"/>
      <c r="N19" s="68"/>
      <c r="O19" s="72"/>
      <c r="P19" s="88">
        <v>8</v>
      </c>
      <c r="Q19" s="64">
        <v>0.20269999999999999</v>
      </c>
      <c r="R19" s="84">
        <v>8</v>
      </c>
      <c r="S19" s="66">
        <v>0.19370000000000001</v>
      </c>
      <c r="T19" s="13"/>
      <c r="U19" s="67"/>
      <c r="V19" s="84">
        <v>16</v>
      </c>
      <c r="W19" s="66">
        <v>0.32540000000000002</v>
      </c>
      <c r="Y19" s="106">
        <f t="shared" si="2"/>
        <v>11.693907031386992</v>
      </c>
      <c r="Z19" s="100">
        <f t="shared" si="0"/>
        <v>-11.491207031386992</v>
      </c>
      <c r="AA19" s="109" t="str">
        <f t="shared" si="1"/>
        <v>x</v>
      </c>
    </row>
    <row r="20" spans="2:27" ht="17.25" thickBot="1" x14ac:dyDescent="0.35">
      <c r="B20" s="39" t="s">
        <v>147</v>
      </c>
      <c r="C20" s="160"/>
      <c r="D20" s="138">
        <f>0.25/((LOG10((B11/(3.7*E19))+(5.74/(F20^(0.9)))))^(2))</f>
        <v>9.9889140378678423E-2</v>
      </c>
      <c r="E20" s="42">
        <f>D20*F4/((E4/C9/9.81)+F9-F11)</f>
        <v>11.693907031386992</v>
      </c>
      <c r="F20" s="45">
        <f>(4*C9*B4)/(D9*3.14*E19)</f>
        <v>399.05335940358572</v>
      </c>
      <c r="L20" s="85"/>
      <c r="M20" s="67"/>
      <c r="N20" s="68"/>
      <c r="O20" s="72"/>
      <c r="P20" s="88">
        <v>10</v>
      </c>
      <c r="Q20" s="64">
        <v>0.25459999999999999</v>
      </c>
      <c r="R20" s="84">
        <v>10</v>
      </c>
      <c r="S20" s="66">
        <v>0.2429</v>
      </c>
      <c r="T20" s="13"/>
      <c r="U20" s="67"/>
      <c r="V20" s="84">
        <v>18</v>
      </c>
      <c r="W20" s="66">
        <v>0.36670000000000003</v>
      </c>
      <c r="Y20" s="106">
        <f t="shared" si="2"/>
        <v>11.693907031386992</v>
      </c>
      <c r="Z20" s="100">
        <f t="shared" si="0"/>
        <v>-11.439307031386992</v>
      </c>
      <c r="AA20" s="109" t="str">
        <f t="shared" si="1"/>
        <v>x</v>
      </c>
    </row>
    <row r="21" spans="2:27" x14ac:dyDescent="0.3">
      <c r="L21" s="85"/>
      <c r="M21" s="67"/>
      <c r="N21" s="68"/>
      <c r="O21" s="72"/>
      <c r="P21" s="88">
        <v>12</v>
      </c>
      <c r="Q21" s="64">
        <v>0.30330000000000001</v>
      </c>
      <c r="R21" s="84">
        <v>12</v>
      </c>
      <c r="S21" s="66">
        <v>0.28889999999999999</v>
      </c>
      <c r="T21" s="13"/>
      <c r="U21" s="67"/>
      <c r="V21" s="84">
        <v>20</v>
      </c>
      <c r="W21" s="66">
        <v>0.40799999999999997</v>
      </c>
      <c r="Y21" s="106">
        <f t="shared" si="2"/>
        <v>11.693907031386992</v>
      </c>
      <c r="Z21" s="100">
        <f t="shared" si="0"/>
        <v>-11.390607031386992</v>
      </c>
      <c r="AA21" s="109" t="str">
        <f t="shared" si="1"/>
        <v>x</v>
      </c>
    </row>
    <row r="22" spans="2:27" x14ac:dyDescent="0.3">
      <c r="L22" s="85"/>
      <c r="M22" s="67"/>
      <c r="N22" s="68"/>
      <c r="O22" s="72"/>
      <c r="P22" s="13"/>
      <c r="Q22" s="67"/>
      <c r="R22" s="85"/>
      <c r="S22" s="72"/>
      <c r="T22" s="13"/>
      <c r="U22" s="67"/>
      <c r="V22" s="84">
        <v>22</v>
      </c>
      <c r="W22" s="66">
        <v>0.45079999999999998</v>
      </c>
      <c r="Y22" s="106">
        <f t="shared" si="2"/>
        <v>11.693907031386992</v>
      </c>
      <c r="Z22" s="100">
        <f t="shared" si="0"/>
        <v>-11.693907031386992</v>
      </c>
      <c r="AA22" s="109" t="str">
        <f t="shared" si="1"/>
        <v>x</v>
      </c>
    </row>
    <row r="23" spans="2:27" ht="17.25" thickBot="1" x14ac:dyDescent="0.35">
      <c r="L23" s="86"/>
      <c r="M23" s="70"/>
      <c r="N23" s="69"/>
      <c r="O23" s="73"/>
      <c r="P23" s="89"/>
      <c r="Q23" s="70"/>
      <c r="R23" s="86"/>
      <c r="S23" s="73"/>
      <c r="T23" s="89"/>
      <c r="U23" s="70"/>
      <c r="V23" s="92">
        <v>24</v>
      </c>
      <c r="W23" s="71">
        <v>0.49049999999999999</v>
      </c>
      <c r="Y23" s="107">
        <f t="shared" si="2"/>
        <v>11.693907031386992</v>
      </c>
      <c r="Z23" s="101">
        <f t="shared" si="0"/>
        <v>-11.693907031386992</v>
      </c>
      <c r="AA23" s="110" t="str">
        <f t="shared" si="1"/>
        <v>x</v>
      </c>
    </row>
    <row r="29" spans="2:27" x14ac:dyDescent="0.3">
      <c r="V29" s="103"/>
    </row>
  </sheetData>
  <mergeCells count="14">
    <mergeCell ref="V2:W2"/>
    <mergeCell ref="Y2:Z2"/>
    <mergeCell ref="L2:M2"/>
    <mergeCell ref="N2:O2"/>
    <mergeCell ref="P2:Q2"/>
    <mergeCell ref="R2:S2"/>
    <mergeCell ref="T2:U2"/>
    <mergeCell ref="H9:H11"/>
    <mergeCell ref="G7:H7"/>
    <mergeCell ref="B7:F7"/>
    <mergeCell ref="B2:J2"/>
    <mergeCell ref="C16:C20"/>
    <mergeCell ref="B14:F14"/>
    <mergeCell ref="G9:G11"/>
  </mergeCells>
  <phoneticPr fontId="1" type="noConversion"/>
  <dataValidations disablePrompts="1" count="1">
    <dataValidation type="list" allowBlank="1" showInputMessage="1" showErrorMessage="1" sqref="G4">
      <formula1>$L$2:$W$2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'Data Table'!$B$3:$B$26</xm:f>
          </x14:formula1>
          <xm:sqref>D4:D5</xm:sqref>
        </x14:dataValidation>
        <x14:dataValidation type="list" allowBlank="1" showInputMessage="1" showErrorMessage="1">
          <x14:formula1>
            <xm:f>'Data Table'!$E$3:$E$26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"/>
  <sheetViews>
    <sheetView topLeftCell="G1" workbookViewId="0">
      <selection activeCell="V7" sqref="V7:V8"/>
    </sheetView>
  </sheetViews>
  <sheetFormatPr defaultRowHeight="16.5" x14ac:dyDescent="0.3"/>
  <cols>
    <col min="2" max="2" width="24.375" customWidth="1"/>
    <col min="3" max="3" width="10.375" bestFit="1" customWidth="1"/>
    <col min="5" max="5" width="17.625" customWidth="1"/>
    <col min="6" max="6" width="17.5" customWidth="1"/>
    <col min="7" max="7" width="14" customWidth="1"/>
    <col min="8" max="8" width="5.25" customWidth="1"/>
    <col min="9" max="9" width="9.75" style="63" customWidth="1"/>
    <col min="10" max="12" width="9.75" customWidth="1"/>
    <col min="13" max="13" width="9.75" style="63" customWidth="1"/>
    <col min="14" max="14" width="9.75" customWidth="1"/>
    <col min="15" max="15" width="9.75" style="63" customWidth="1"/>
    <col min="16" max="16" width="9.75" customWidth="1"/>
    <col min="17" max="17" width="9.75" style="63" customWidth="1"/>
    <col min="18" max="18" width="9.75" customWidth="1"/>
    <col min="19" max="19" width="9.75" style="63" customWidth="1"/>
    <col min="20" max="20" width="9.75" customWidth="1"/>
    <col min="22" max="22" width="11.75" customWidth="1"/>
    <col min="23" max="23" width="10.375" customWidth="1"/>
  </cols>
  <sheetData>
    <row r="1" spans="2:24" ht="17.25" thickBot="1" x14ac:dyDescent="0.35"/>
    <row r="2" spans="2:24" ht="22.15" customHeight="1" thickBot="1" x14ac:dyDescent="0.35">
      <c r="B2" s="8" t="s">
        <v>24</v>
      </c>
      <c r="C2" s="9" t="s">
        <v>95</v>
      </c>
      <c r="E2" s="60" t="s">
        <v>28</v>
      </c>
      <c r="F2" s="61" t="s">
        <v>26</v>
      </c>
      <c r="G2" s="62" t="s">
        <v>27</v>
      </c>
      <c r="I2" s="164" t="s">
        <v>84</v>
      </c>
      <c r="J2" s="168"/>
      <c r="K2" s="164" t="s">
        <v>85</v>
      </c>
      <c r="L2" s="165"/>
      <c r="M2" s="169" t="s">
        <v>86</v>
      </c>
      <c r="N2" s="168"/>
      <c r="O2" s="164" t="s">
        <v>87</v>
      </c>
      <c r="P2" s="165"/>
      <c r="Q2" s="169" t="s">
        <v>88</v>
      </c>
      <c r="R2" s="168"/>
      <c r="S2" s="164" t="s">
        <v>89</v>
      </c>
      <c r="T2" s="165"/>
      <c r="V2" s="174" t="s">
        <v>110</v>
      </c>
      <c r="W2" s="175"/>
      <c r="X2" s="113" t="s">
        <v>116</v>
      </c>
    </row>
    <row r="3" spans="2:24" ht="18" customHeight="1" thickBot="1" x14ac:dyDescent="0.35">
      <c r="B3" s="2" t="s">
        <v>0</v>
      </c>
      <c r="C3" s="5">
        <v>4.6E-5</v>
      </c>
      <c r="E3" s="51" t="s">
        <v>55</v>
      </c>
      <c r="F3" s="51">
        <v>787</v>
      </c>
      <c r="G3" s="48">
        <v>3.1599999999999998E-4</v>
      </c>
      <c r="I3" s="79" t="s">
        <v>83</v>
      </c>
      <c r="J3" s="80" t="s">
        <v>82</v>
      </c>
      <c r="K3" s="79" t="s">
        <v>83</v>
      </c>
      <c r="L3" s="81" t="s">
        <v>82</v>
      </c>
      <c r="M3" s="82" t="s">
        <v>83</v>
      </c>
      <c r="N3" s="80" t="s">
        <v>82</v>
      </c>
      <c r="O3" s="79" t="s">
        <v>83</v>
      </c>
      <c r="P3" s="81" t="s">
        <v>82</v>
      </c>
      <c r="Q3" s="82" t="s">
        <v>83</v>
      </c>
      <c r="R3" s="80" t="s">
        <v>82</v>
      </c>
      <c r="S3" s="79" t="s">
        <v>83</v>
      </c>
      <c r="T3" s="81" t="s">
        <v>82</v>
      </c>
      <c r="V3" s="176" t="s">
        <v>106</v>
      </c>
      <c r="W3" s="177"/>
      <c r="X3" s="48">
        <v>0.5</v>
      </c>
    </row>
    <row r="4" spans="2:24" ht="17.45" customHeight="1" x14ac:dyDescent="0.3">
      <c r="B4" s="3" t="s">
        <v>1</v>
      </c>
      <c r="C4" s="6">
        <v>4.9500000000000004E-3</v>
      </c>
      <c r="E4" s="3" t="s">
        <v>56</v>
      </c>
      <c r="F4" s="3">
        <v>876</v>
      </c>
      <c r="G4" s="6">
        <v>6.0099999999999997E-4</v>
      </c>
      <c r="I4" s="83">
        <v>8</v>
      </c>
      <c r="J4" s="75">
        <v>0.2064</v>
      </c>
      <c r="K4" s="74">
        <v>8</v>
      </c>
      <c r="L4" s="76">
        <v>0.20499999999999999</v>
      </c>
      <c r="M4" s="87">
        <v>0.125</v>
      </c>
      <c r="N4" s="77">
        <v>6.8300000000000001E-3</v>
      </c>
      <c r="O4" s="90">
        <v>0.125</v>
      </c>
      <c r="P4" s="78">
        <v>5.47E-3</v>
      </c>
      <c r="Q4" s="91">
        <v>4</v>
      </c>
      <c r="R4" s="75">
        <v>9.2039999999999997E-2</v>
      </c>
      <c r="S4" s="83">
        <v>0.5</v>
      </c>
      <c r="T4" s="76">
        <v>1.1780000000000001E-2</v>
      </c>
      <c r="V4" s="178" t="s">
        <v>107</v>
      </c>
      <c r="W4" s="179"/>
      <c r="X4" s="6">
        <v>1</v>
      </c>
    </row>
    <row r="5" spans="2:24" ht="18" customHeight="1" x14ac:dyDescent="0.3">
      <c r="B5" s="3" t="s">
        <v>2</v>
      </c>
      <c r="C5" s="6">
        <v>4.9500000000000004E-3</v>
      </c>
      <c r="E5" s="3" t="s">
        <v>57</v>
      </c>
      <c r="F5" s="3">
        <v>1265</v>
      </c>
      <c r="G5" s="6">
        <v>3.6000000000000002E-4</v>
      </c>
      <c r="I5" s="84">
        <v>10</v>
      </c>
      <c r="J5" s="64">
        <v>0.26040000000000002</v>
      </c>
      <c r="K5" s="65">
        <v>10</v>
      </c>
      <c r="L5" s="66">
        <v>0.25750000000000001</v>
      </c>
      <c r="M5" s="88">
        <v>0.25</v>
      </c>
      <c r="N5" s="64">
        <v>9.2399999999999999E-3</v>
      </c>
      <c r="O5" s="84">
        <v>0.25</v>
      </c>
      <c r="P5" s="66">
        <v>7.6800000000000002E-3</v>
      </c>
      <c r="Q5" s="88">
        <v>5</v>
      </c>
      <c r="R5" s="64">
        <v>0.1159</v>
      </c>
      <c r="S5" s="84">
        <v>0.75</v>
      </c>
      <c r="T5" s="66">
        <v>1.555E-2</v>
      </c>
      <c r="V5" s="178" t="s">
        <v>108</v>
      </c>
      <c r="W5" s="179"/>
      <c r="X5" s="6">
        <v>0.05</v>
      </c>
    </row>
    <row r="6" spans="2:24" x14ac:dyDescent="0.3">
      <c r="B6" s="3" t="s">
        <v>3</v>
      </c>
      <c r="C6" s="6">
        <v>1.55E-4</v>
      </c>
      <c r="E6" s="52" t="s">
        <v>58</v>
      </c>
      <c r="F6" s="52">
        <v>4590</v>
      </c>
      <c r="G6" s="49">
        <v>9.1E-4</v>
      </c>
      <c r="I6" s="84">
        <v>12</v>
      </c>
      <c r="J6" s="64">
        <v>0.31119999999999998</v>
      </c>
      <c r="K6" s="65">
        <v>12</v>
      </c>
      <c r="L6" s="66">
        <v>0.30709999999999998</v>
      </c>
      <c r="M6" s="88">
        <v>0.375</v>
      </c>
      <c r="N6" s="64">
        <v>1.252E-2</v>
      </c>
      <c r="O6" s="84">
        <v>0.375</v>
      </c>
      <c r="P6" s="66">
        <v>1.074E-2</v>
      </c>
      <c r="Q6" s="88">
        <v>6</v>
      </c>
      <c r="R6" s="64">
        <v>0.13980000000000001</v>
      </c>
      <c r="S6" s="84">
        <v>1</v>
      </c>
      <c r="T6" s="66">
        <v>2.07E-2</v>
      </c>
      <c r="V6" s="178" t="s">
        <v>109</v>
      </c>
      <c r="W6" s="179"/>
      <c r="X6" s="6">
        <v>1</v>
      </c>
    </row>
    <row r="7" spans="2:24" x14ac:dyDescent="0.3">
      <c r="B7" s="3" t="s">
        <v>4</v>
      </c>
      <c r="C7" s="6">
        <v>1.65E-3</v>
      </c>
      <c r="E7" s="52" t="s">
        <v>59</v>
      </c>
      <c r="F7" s="52">
        <v>960</v>
      </c>
      <c r="G7" s="49">
        <v>0.65</v>
      </c>
      <c r="I7" s="84">
        <v>20</v>
      </c>
      <c r="J7" s="64">
        <v>0.4889</v>
      </c>
      <c r="K7" s="65">
        <v>14</v>
      </c>
      <c r="L7" s="66">
        <v>0.33650000000000002</v>
      </c>
      <c r="M7" s="88">
        <v>0.5</v>
      </c>
      <c r="N7" s="64">
        <v>1.5800000000000002E-2</v>
      </c>
      <c r="O7" s="84">
        <v>0.5</v>
      </c>
      <c r="P7" s="66">
        <v>1.3860000000000001E-2</v>
      </c>
      <c r="Q7" s="88">
        <v>8</v>
      </c>
      <c r="R7" s="64">
        <v>0.18260000000000001</v>
      </c>
      <c r="S7" s="84">
        <v>1.25</v>
      </c>
      <c r="T7" s="66">
        <v>2.946E-2</v>
      </c>
      <c r="V7" s="172" t="s">
        <v>119</v>
      </c>
      <c r="W7" s="112" t="s">
        <v>117</v>
      </c>
      <c r="X7" s="6">
        <v>1.4</v>
      </c>
    </row>
    <row r="8" spans="2:24" x14ac:dyDescent="0.3">
      <c r="B8" s="3" t="s">
        <v>5</v>
      </c>
      <c r="C8" s="6">
        <v>1.65E-3</v>
      </c>
      <c r="E8" s="52" t="s">
        <v>60</v>
      </c>
      <c r="F8" s="52">
        <v>1470</v>
      </c>
      <c r="G8" s="49">
        <v>5.2999999999999998E-4</v>
      </c>
      <c r="I8" s="84">
        <v>22</v>
      </c>
      <c r="J8" s="64">
        <v>0.53969999999999996</v>
      </c>
      <c r="K8" s="65">
        <v>16</v>
      </c>
      <c r="L8" s="66">
        <v>0.38729999999999998</v>
      </c>
      <c r="M8" s="88">
        <v>0.75</v>
      </c>
      <c r="N8" s="64">
        <v>2.0930000000000001E-2</v>
      </c>
      <c r="O8" s="84">
        <v>0.75</v>
      </c>
      <c r="P8" s="66">
        <v>1.883E-2</v>
      </c>
      <c r="Q8" s="88">
        <v>10</v>
      </c>
      <c r="R8" s="64">
        <v>0.23019999999999999</v>
      </c>
      <c r="S8" s="84">
        <v>1.5</v>
      </c>
      <c r="T8" s="66">
        <v>3.9800000000000002E-2</v>
      </c>
      <c r="V8" s="172"/>
      <c r="W8" s="66" t="s">
        <v>118</v>
      </c>
      <c r="X8" s="6">
        <v>0.75</v>
      </c>
    </row>
    <row r="9" spans="2:24" x14ac:dyDescent="0.3">
      <c r="B9" s="3" t="s">
        <v>6</v>
      </c>
      <c r="C9" s="6">
        <v>1.65E-3</v>
      </c>
      <c r="E9" s="52" t="s">
        <v>61</v>
      </c>
      <c r="F9" s="52">
        <v>728</v>
      </c>
      <c r="G9" s="49">
        <v>8.5899999999999995E-4</v>
      </c>
      <c r="I9" s="84">
        <v>24</v>
      </c>
      <c r="J9" s="64">
        <v>0.59050000000000002</v>
      </c>
      <c r="K9" s="68"/>
      <c r="L9" s="72"/>
      <c r="M9" s="88">
        <v>1</v>
      </c>
      <c r="N9" s="64">
        <v>2.664E-2</v>
      </c>
      <c r="O9" s="84">
        <v>1</v>
      </c>
      <c r="P9" s="66">
        <v>2.4299999999999999E-2</v>
      </c>
      <c r="Q9" s="88">
        <v>12</v>
      </c>
      <c r="R9" s="64">
        <v>0.27310000000000001</v>
      </c>
      <c r="S9" s="84">
        <v>2</v>
      </c>
      <c r="T9" s="66">
        <v>4.2860000000000002E-2</v>
      </c>
      <c r="V9" s="172" t="s">
        <v>120</v>
      </c>
      <c r="W9" s="112" t="s">
        <v>117</v>
      </c>
      <c r="X9" s="6">
        <v>0.31</v>
      </c>
    </row>
    <row r="10" spans="2:24" x14ac:dyDescent="0.3">
      <c r="B10" s="3" t="s">
        <v>7</v>
      </c>
      <c r="C10" s="6">
        <v>1.65E-3</v>
      </c>
      <c r="E10" s="52" t="s">
        <v>62</v>
      </c>
      <c r="F10" s="52">
        <v>715</v>
      </c>
      <c r="G10" s="49">
        <v>2.23E-4</v>
      </c>
      <c r="I10" s="85"/>
      <c r="J10" s="67"/>
      <c r="K10" s="68"/>
      <c r="L10" s="72"/>
      <c r="M10" s="88">
        <v>1.25</v>
      </c>
      <c r="N10" s="64">
        <v>3.5040000000000002E-2</v>
      </c>
      <c r="O10" s="84">
        <v>1.25</v>
      </c>
      <c r="P10" s="66">
        <v>3.2460000000000003E-2</v>
      </c>
      <c r="Q10" s="13"/>
      <c r="R10" s="67"/>
      <c r="S10" s="84">
        <v>2.5</v>
      </c>
      <c r="T10" s="66">
        <v>5.3969999999999997E-2</v>
      </c>
      <c r="V10" s="172"/>
      <c r="W10" s="66" t="s">
        <v>118</v>
      </c>
      <c r="X10" s="6">
        <v>0.22</v>
      </c>
    </row>
    <row r="11" spans="2:24" x14ac:dyDescent="0.3">
      <c r="B11" s="3" t="s">
        <v>8</v>
      </c>
      <c r="C11" s="6">
        <v>5.4000000000000001E-4</v>
      </c>
      <c r="E11" s="52" t="s">
        <v>63</v>
      </c>
      <c r="F11" s="52">
        <v>787</v>
      </c>
      <c r="G11" s="49">
        <v>1.0950000000000001E-3</v>
      </c>
      <c r="I11" s="85"/>
      <c r="J11" s="67"/>
      <c r="K11" s="68"/>
      <c r="L11" s="72"/>
      <c r="M11" s="88">
        <v>1.5</v>
      </c>
      <c r="N11" s="64">
        <v>4.0899999999999999E-2</v>
      </c>
      <c r="O11" s="84">
        <v>1.5</v>
      </c>
      <c r="P11" s="66">
        <v>3.8100000000000002E-2</v>
      </c>
      <c r="Q11" s="13"/>
      <c r="R11" s="67"/>
      <c r="S11" s="84">
        <v>3</v>
      </c>
      <c r="T11" s="66">
        <v>6.6640000000000005E-2</v>
      </c>
      <c r="V11" s="173" t="s">
        <v>113</v>
      </c>
      <c r="W11" s="66" t="s">
        <v>111</v>
      </c>
      <c r="X11" s="6">
        <v>0.35</v>
      </c>
    </row>
    <row r="12" spans="2:24" x14ac:dyDescent="0.3">
      <c r="B12" s="3" t="s">
        <v>25</v>
      </c>
      <c r="C12" s="6">
        <v>2.5000000000000001E-4</v>
      </c>
      <c r="E12" s="52" t="s">
        <v>65</v>
      </c>
      <c r="F12" s="52">
        <v>1100</v>
      </c>
      <c r="G12" s="49">
        <v>1.6199999999999999E-2</v>
      </c>
      <c r="I12" s="85"/>
      <c r="J12" s="67"/>
      <c r="K12" s="68"/>
      <c r="L12" s="72"/>
      <c r="M12" s="88">
        <v>2</v>
      </c>
      <c r="N12" s="64">
        <v>5.2519999999999997E-2</v>
      </c>
      <c r="O12" s="84">
        <v>2</v>
      </c>
      <c r="P12" s="66">
        <v>4.9259999999999998E-2</v>
      </c>
      <c r="Q12" s="13"/>
      <c r="R12" s="67"/>
      <c r="S12" s="84">
        <v>4</v>
      </c>
      <c r="T12" s="66">
        <v>8.7319999999999995E-2</v>
      </c>
      <c r="V12" s="170"/>
      <c r="W12" s="66" t="s">
        <v>112</v>
      </c>
      <c r="X12" s="6">
        <v>0.17</v>
      </c>
    </row>
    <row r="13" spans="2:24" x14ac:dyDescent="0.3">
      <c r="B13" s="3" t="s">
        <v>10</v>
      </c>
      <c r="C13" s="6">
        <v>1.2E-4</v>
      </c>
      <c r="E13" s="52" t="s">
        <v>66</v>
      </c>
      <c r="F13" s="52">
        <v>1263</v>
      </c>
      <c r="G13" s="49">
        <v>0.95</v>
      </c>
      <c r="I13" s="85"/>
      <c r="J13" s="67"/>
      <c r="K13" s="68"/>
      <c r="L13" s="72"/>
      <c r="M13" s="88">
        <v>2.5</v>
      </c>
      <c r="N13" s="64">
        <v>6.2710000000000002E-2</v>
      </c>
      <c r="O13" s="84">
        <v>2.5</v>
      </c>
      <c r="P13" s="66">
        <v>5.901E-2</v>
      </c>
      <c r="Q13" s="13"/>
      <c r="R13" s="67"/>
      <c r="S13" s="84">
        <v>5</v>
      </c>
      <c r="T13" s="66">
        <v>0.1095</v>
      </c>
      <c r="V13" s="170" t="s">
        <v>114</v>
      </c>
      <c r="W13" s="66" t="s">
        <v>111</v>
      </c>
      <c r="X13" s="6">
        <v>10</v>
      </c>
    </row>
    <row r="14" spans="2:24" x14ac:dyDescent="0.3">
      <c r="B14" s="3" t="s">
        <v>11</v>
      </c>
      <c r="C14" s="6">
        <v>2.5000000000000002E-6</v>
      </c>
      <c r="E14" s="52" t="s">
        <v>67</v>
      </c>
      <c r="F14" s="52">
        <v>681</v>
      </c>
      <c r="G14" s="49">
        <v>3.7599999999999998E-4</v>
      </c>
      <c r="I14" s="85"/>
      <c r="J14" s="67"/>
      <c r="K14" s="68"/>
      <c r="L14" s="72"/>
      <c r="M14" s="88">
        <v>3</v>
      </c>
      <c r="N14" s="64">
        <v>7.7920000000000003E-2</v>
      </c>
      <c r="O14" s="84">
        <v>3</v>
      </c>
      <c r="P14" s="66">
        <v>7.3660000000000003E-2</v>
      </c>
      <c r="Q14" s="13"/>
      <c r="R14" s="67"/>
      <c r="S14" s="84">
        <v>6</v>
      </c>
      <c r="T14" s="66">
        <v>0.1318</v>
      </c>
      <c r="V14" s="170"/>
      <c r="W14" s="66" t="s">
        <v>112</v>
      </c>
      <c r="X14" s="6">
        <v>10</v>
      </c>
    </row>
    <row r="15" spans="2:24" x14ac:dyDescent="0.3">
      <c r="B15" s="3" t="s">
        <v>12</v>
      </c>
      <c r="C15" s="6">
        <v>2.5000000000000002E-6</v>
      </c>
      <c r="E15" s="52" t="s">
        <v>68</v>
      </c>
      <c r="F15" s="52">
        <v>657</v>
      </c>
      <c r="G15" s="49">
        <v>2.9700000000000001E-4</v>
      </c>
      <c r="I15" s="85"/>
      <c r="J15" s="67"/>
      <c r="K15" s="68"/>
      <c r="L15" s="72"/>
      <c r="M15" s="88">
        <v>3.5</v>
      </c>
      <c r="N15" s="64">
        <v>9.0120000000000006E-2</v>
      </c>
      <c r="O15" s="84">
        <v>3.5</v>
      </c>
      <c r="P15" s="66">
        <v>8.5440000000000002E-2</v>
      </c>
      <c r="Q15" s="13"/>
      <c r="R15" s="67"/>
      <c r="S15" s="84">
        <v>8</v>
      </c>
      <c r="T15" s="66">
        <v>0.1731</v>
      </c>
      <c r="V15" s="170" t="s">
        <v>115</v>
      </c>
      <c r="W15" s="66" t="s">
        <v>111</v>
      </c>
      <c r="X15" s="6">
        <v>0.15</v>
      </c>
    </row>
    <row r="16" spans="2:24" ht="17.25" thickBot="1" x14ac:dyDescent="0.35">
      <c r="B16" s="3" t="s">
        <v>13</v>
      </c>
      <c r="C16" s="6">
        <v>3.1E-6</v>
      </c>
      <c r="E16" s="52" t="s">
        <v>69</v>
      </c>
      <c r="F16" s="52">
        <v>823</v>
      </c>
      <c r="G16" s="49">
        <v>1.64E-3</v>
      </c>
      <c r="I16" s="85"/>
      <c r="J16" s="67"/>
      <c r="K16" s="68"/>
      <c r="L16" s="72"/>
      <c r="M16" s="88">
        <v>4</v>
      </c>
      <c r="N16" s="64">
        <v>0.1023</v>
      </c>
      <c r="O16" s="84">
        <v>4</v>
      </c>
      <c r="P16" s="66">
        <v>9.7180000000000002E-2</v>
      </c>
      <c r="Q16" s="13"/>
      <c r="R16" s="67"/>
      <c r="S16" s="84">
        <v>10</v>
      </c>
      <c r="T16" s="66">
        <v>0.21590000000000001</v>
      </c>
      <c r="V16" s="171"/>
      <c r="W16" s="71" t="s">
        <v>112</v>
      </c>
      <c r="X16" s="7">
        <v>0.15</v>
      </c>
    </row>
    <row r="17" spans="2:20" x14ac:dyDescent="0.3">
      <c r="B17" s="3" t="s">
        <v>14</v>
      </c>
      <c r="C17" s="6">
        <v>1.5E-6</v>
      </c>
      <c r="E17" s="52" t="s">
        <v>70</v>
      </c>
      <c r="F17" s="52">
        <v>930</v>
      </c>
      <c r="G17" s="49">
        <v>3.3099999999999997E-2</v>
      </c>
      <c r="I17" s="85"/>
      <c r="J17" s="67"/>
      <c r="K17" s="68"/>
      <c r="L17" s="72"/>
      <c r="M17" s="88">
        <v>5</v>
      </c>
      <c r="N17" s="64">
        <v>0.12820000000000001</v>
      </c>
      <c r="O17" s="84">
        <v>5</v>
      </c>
      <c r="P17" s="66">
        <v>0.1222</v>
      </c>
      <c r="Q17" s="13"/>
      <c r="R17" s="67"/>
      <c r="S17" s="84">
        <v>12</v>
      </c>
      <c r="T17" s="66">
        <v>0.25719999999999998</v>
      </c>
    </row>
    <row r="18" spans="2:20" x14ac:dyDescent="0.3">
      <c r="B18" s="3" t="s">
        <v>15</v>
      </c>
      <c r="C18" s="6">
        <v>1.5E-6</v>
      </c>
      <c r="E18" s="52" t="s">
        <v>71</v>
      </c>
      <c r="F18" s="52">
        <v>13600</v>
      </c>
      <c r="G18" s="49">
        <v>1.5299999999999999E-3</v>
      </c>
      <c r="I18" s="85"/>
      <c r="J18" s="67"/>
      <c r="K18" s="68"/>
      <c r="L18" s="72"/>
      <c r="M18" s="88">
        <v>6</v>
      </c>
      <c r="N18" s="64">
        <v>0.15409999999999999</v>
      </c>
      <c r="O18" s="84">
        <v>6</v>
      </c>
      <c r="P18" s="66">
        <v>0.1464</v>
      </c>
      <c r="Q18" s="13"/>
      <c r="R18" s="67"/>
      <c r="S18" s="84">
        <v>14</v>
      </c>
      <c r="T18" s="66">
        <v>0.28420000000000001</v>
      </c>
    </row>
    <row r="19" spans="2:20" x14ac:dyDescent="0.3">
      <c r="B19" s="3" t="s">
        <v>16</v>
      </c>
      <c r="C19" s="6">
        <v>1.5E-6</v>
      </c>
      <c r="E19" s="52" t="s">
        <v>72</v>
      </c>
      <c r="F19" s="52">
        <v>789</v>
      </c>
      <c r="G19" s="49">
        <v>5.5999999999999995E-4</v>
      </c>
      <c r="I19" s="85"/>
      <c r="J19" s="67"/>
      <c r="K19" s="68"/>
      <c r="L19" s="72"/>
      <c r="M19" s="88">
        <v>8</v>
      </c>
      <c r="N19" s="64">
        <v>0.20269999999999999</v>
      </c>
      <c r="O19" s="84">
        <v>8</v>
      </c>
      <c r="P19" s="66">
        <v>0.19370000000000001</v>
      </c>
      <c r="Q19" s="13"/>
      <c r="R19" s="67"/>
      <c r="S19" s="84">
        <v>16</v>
      </c>
      <c r="T19" s="66">
        <v>0.32540000000000002</v>
      </c>
    </row>
    <row r="20" spans="2:20" x14ac:dyDescent="0.3">
      <c r="B20" s="3" t="s">
        <v>17</v>
      </c>
      <c r="C20" s="6">
        <v>1.5E-6</v>
      </c>
      <c r="E20" s="52" t="s">
        <v>73</v>
      </c>
      <c r="F20" s="52">
        <v>701</v>
      </c>
      <c r="G20" s="49">
        <v>5.1000000000000004E-4</v>
      </c>
      <c r="I20" s="85"/>
      <c r="J20" s="67"/>
      <c r="K20" s="68"/>
      <c r="L20" s="72"/>
      <c r="M20" s="88">
        <v>10</v>
      </c>
      <c r="N20" s="64">
        <v>0.25459999999999999</v>
      </c>
      <c r="O20" s="84">
        <v>10</v>
      </c>
      <c r="P20" s="66">
        <v>0.2429</v>
      </c>
      <c r="Q20" s="13"/>
      <c r="R20" s="67"/>
      <c r="S20" s="84">
        <v>18</v>
      </c>
      <c r="T20" s="66">
        <v>0.36670000000000003</v>
      </c>
    </row>
    <row r="21" spans="2:20" x14ac:dyDescent="0.3">
      <c r="B21" s="3" t="s">
        <v>18</v>
      </c>
      <c r="C21" s="6">
        <v>1.5E-6</v>
      </c>
      <c r="E21" s="52" t="s">
        <v>74</v>
      </c>
      <c r="F21" s="52">
        <v>495</v>
      </c>
      <c r="G21" s="49">
        <v>1.1E-4</v>
      </c>
      <c r="I21" s="85"/>
      <c r="J21" s="67"/>
      <c r="K21" s="68"/>
      <c r="L21" s="72"/>
      <c r="M21" s="88">
        <v>12</v>
      </c>
      <c r="N21" s="64">
        <v>0.30330000000000001</v>
      </c>
      <c r="O21" s="84">
        <v>12</v>
      </c>
      <c r="P21" s="66">
        <v>0.28889999999999999</v>
      </c>
      <c r="Q21" s="13"/>
      <c r="R21" s="67"/>
      <c r="S21" s="84">
        <v>20</v>
      </c>
      <c r="T21" s="66">
        <v>0.40799999999999997</v>
      </c>
    </row>
    <row r="22" spans="2:20" x14ac:dyDescent="0.3">
      <c r="B22" s="3" t="s">
        <v>19</v>
      </c>
      <c r="C22" s="6">
        <v>1.5E-6</v>
      </c>
      <c r="E22" s="52" t="s">
        <v>75</v>
      </c>
      <c r="F22" s="52">
        <v>802</v>
      </c>
      <c r="G22" s="49">
        <v>1.92E-3</v>
      </c>
      <c r="I22" s="85"/>
      <c r="J22" s="67"/>
      <c r="K22" s="68"/>
      <c r="L22" s="72"/>
      <c r="M22" s="13"/>
      <c r="N22" s="67"/>
      <c r="O22" s="85"/>
      <c r="P22" s="72"/>
      <c r="Q22" s="13"/>
      <c r="R22" s="67"/>
      <c r="S22" s="84">
        <v>22</v>
      </c>
      <c r="T22" s="66">
        <v>0.45079999999999998</v>
      </c>
    </row>
    <row r="23" spans="2:20" ht="17.25" thickBot="1" x14ac:dyDescent="0.35">
      <c r="B23" s="3" t="s">
        <v>20</v>
      </c>
      <c r="C23" s="6">
        <v>1.5E-6</v>
      </c>
      <c r="E23" s="52" t="s">
        <v>76</v>
      </c>
      <c r="F23" s="52">
        <v>516</v>
      </c>
      <c r="G23" s="49">
        <v>9.0000000000000006E-5</v>
      </c>
      <c r="I23" s="86"/>
      <c r="J23" s="70"/>
      <c r="K23" s="69"/>
      <c r="L23" s="73"/>
      <c r="M23" s="89"/>
      <c r="N23" s="70"/>
      <c r="O23" s="86"/>
      <c r="P23" s="73"/>
      <c r="Q23" s="89"/>
      <c r="R23" s="70"/>
      <c r="S23" s="92">
        <v>24</v>
      </c>
      <c r="T23" s="71">
        <v>0.49049999999999999</v>
      </c>
    </row>
    <row r="24" spans="2:20" x14ac:dyDescent="0.3">
      <c r="B24" s="3" t="s">
        <v>21</v>
      </c>
      <c r="C24" s="6">
        <v>1.55E-4</v>
      </c>
      <c r="E24" s="52" t="s">
        <v>77</v>
      </c>
      <c r="F24" s="52">
        <v>968</v>
      </c>
      <c r="G24" s="49">
        <v>4.2000000000000003E-2</v>
      </c>
    </row>
    <row r="25" spans="2:20" x14ac:dyDescent="0.3">
      <c r="B25" s="3" t="s">
        <v>22</v>
      </c>
      <c r="C25" s="6">
        <v>4.6E-5</v>
      </c>
      <c r="E25" s="52" t="s">
        <v>78</v>
      </c>
      <c r="F25" s="52">
        <v>870</v>
      </c>
      <c r="G25" s="49">
        <v>1.3749999999999999E-3</v>
      </c>
    </row>
    <row r="26" spans="2:20" ht="17.25" thickBot="1" x14ac:dyDescent="0.35">
      <c r="B26" s="4" t="s">
        <v>23</v>
      </c>
      <c r="C26" s="7">
        <v>0</v>
      </c>
      <c r="E26" s="53" t="s">
        <v>80</v>
      </c>
      <c r="F26" s="53">
        <v>1000</v>
      </c>
      <c r="G26" s="50">
        <v>8.8999999999999995E-4</v>
      </c>
    </row>
  </sheetData>
  <mergeCells count="16">
    <mergeCell ref="I2:J2"/>
    <mergeCell ref="M2:N2"/>
    <mergeCell ref="O2:P2"/>
    <mergeCell ref="Q2:R2"/>
    <mergeCell ref="S2:T2"/>
    <mergeCell ref="K2:L2"/>
    <mergeCell ref="V2:W2"/>
    <mergeCell ref="V3:W3"/>
    <mergeCell ref="V4:W4"/>
    <mergeCell ref="V5:W5"/>
    <mergeCell ref="V6:W6"/>
    <mergeCell ref="V15:V16"/>
    <mergeCell ref="V7:V8"/>
    <mergeCell ref="V9:V10"/>
    <mergeCell ref="V11:V12"/>
    <mergeCell ref="V13:V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Problem #1</vt:lpstr>
      <vt:lpstr>Problem #2</vt:lpstr>
      <vt:lpstr>Problem #3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이서우</dc:creator>
  <cp:lastModifiedBy>user</cp:lastModifiedBy>
  <dcterms:created xsi:type="dcterms:W3CDTF">2019-11-11T16:24:24Z</dcterms:created>
  <dcterms:modified xsi:type="dcterms:W3CDTF">2020-12-10T05:51:32Z</dcterms:modified>
</cp:coreProperties>
</file>