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7995" activeTab="2"/>
  </bookViews>
  <sheets>
    <sheet name="BS" sheetId="6" r:id="rId1"/>
    <sheet name="CF" sheetId="3" r:id="rId2"/>
    <sheet name="Revenue" sheetId="1" r:id="rId3"/>
    <sheet name="Costs" sheetId="2" r:id="rId4"/>
    <sheet name="Basic Calculations" sheetId="4" r:id="rId5"/>
    <sheet name="Capacity" sheetId="5" r:id="rId6"/>
  </sheets>
  <definedNames>
    <definedName name="_xlnm.Print_Area" localSheetId="4">'Basic Calculations'!$A$1:$E$34</definedName>
    <definedName name="_xlnm.Print_Area" localSheetId="0">BS!$A$1:$N$34</definedName>
    <definedName name="_xlnm.Print_Area" localSheetId="5">Capacity!$A$1:$E$22</definedName>
    <definedName name="_xlnm.Print_Area" localSheetId="1">CF!$A$2:$N$79</definedName>
    <definedName name="_xlnm.Print_Area" localSheetId="3">Costs!$A$1:$N$61</definedName>
    <definedName name="_xlnm.Print_Area" localSheetId="2">Revenue!$A$1:$N$63</definedName>
    <definedName name="Units_in_Service_Yr_0">Revenue!$D$129</definedName>
    <definedName name="Units_in_Service_Yr_1">Revenue!$E$129</definedName>
    <definedName name="Units_in_Service_Yr_2">Revenue!$F$129</definedName>
    <definedName name="Units_in_Service_Yr_3">Revenue!$G$129</definedName>
  </definedNames>
  <calcPr calcId="152511"/>
</workbook>
</file>

<file path=xl/calcChain.xml><?xml version="1.0" encoding="utf-8"?>
<calcChain xmlns="http://schemas.openxmlformats.org/spreadsheetml/2006/main">
  <c r="D4" i="4" l="1"/>
  <c r="C6" i="4"/>
  <c r="C5" i="4" s="1"/>
  <c r="C7" i="4"/>
  <c r="D9" i="4"/>
  <c r="D13" i="4" s="1"/>
  <c r="D12" i="4" s="1"/>
  <c r="D10" i="4"/>
  <c r="D11" i="4"/>
  <c r="E12" i="4"/>
  <c r="C13" i="4"/>
  <c r="C12" i="4" s="1"/>
  <c r="E13" i="4"/>
  <c r="C14" i="4"/>
  <c r="D14" i="4"/>
  <c r="E14" i="4"/>
  <c r="D17" i="4"/>
  <c r="C18" i="4"/>
  <c r="C21" i="4" s="1"/>
  <c r="C22" i="4" s="1"/>
  <c r="D18" i="4"/>
  <c r="E18" i="4"/>
  <c r="D19" i="4"/>
  <c r="D20" i="4"/>
  <c r="E20" i="4"/>
  <c r="D21" i="4"/>
  <c r="D22" i="4" s="1"/>
  <c r="E21" i="4"/>
  <c r="E22" i="4" s="1"/>
  <c r="D25" i="4"/>
  <c r="E25" i="4"/>
  <c r="D26" i="4"/>
  <c r="D28" i="4" s="1"/>
  <c r="C27" i="4"/>
  <c r="C28" i="4"/>
  <c r="C29" i="4" s="1"/>
  <c r="C34" i="4" s="1"/>
  <c r="E28" i="4"/>
  <c r="C1" i="6"/>
  <c r="D1" i="6"/>
  <c r="E1" i="6"/>
  <c r="F1" i="6"/>
  <c r="G1" i="6"/>
  <c r="H1" i="6"/>
  <c r="I1" i="6"/>
  <c r="J1" i="6"/>
  <c r="K1" i="6"/>
  <c r="L1" i="6"/>
  <c r="M1" i="6"/>
  <c r="N1" i="6"/>
  <c r="D11" i="6"/>
  <c r="D17" i="6"/>
  <c r="C23" i="6"/>
  <c r="D23" i="6"/>
  <c r="E23" i="6"/>
  <c r="F23" i="6"/>
  <c r="G23" i="6"/>
  <c r="H23" i="6"/>
  <c r="I23" i="6"/>
  <c r="J23" i="6"/>
  <c r="K23" i="6"/>
  <c r="L23" i="6"/>
  <c r="M23" i="6"/>
  <c r="N23" i="6"/>
  <c r="D38" i="6"/>
  <c r="E38" i="6" s="1"/>
  <c r="D40" i="6"/>
  <c r="D4" i="5"/>
  <c r="E4" i="5" s="1"/>
  <c r="E5" i="5" s="1"/>
  <c r="C5" i="5"/>
  <c r="C6" i="5"/>
  <c r="D6" i="5"/>
  <c r="D5" i="5" s="1"/>
  <c r="C8" i="5"/>
  <c r="C9" i="5" s="1"/>
  <c r="D8" i="5"/>
  <c r="E8" i="5"/>
  <c r="D9" i="5"/>
  <c r="E9" i="5"/>
  <c r="B10" i="5"/>
  <c r="D11" i="5"/>
  <c r="E11" i="5"/>
  <c r="E12" i="5" s="1"/>
  <c r="E13" i="5" s="1"/>
  <c r="C12" i="5"/>
  <c r="C13" i="5" s="1"/>
  <c r="D12" i="5"/>
  <c r="D13" i="5"/>
  <c r="D15" i="5"/>
  <c r="C17" i="5"/>
  <c r="D17" i="5"/>
  <c r="C23" i="5"/>
  <c r="D23" i="5"/>
  <c r="E23" i="5"/>
  <c r="C2" i="3"/>
  <c r="D2" i="3"/>
  <c r="E2" i="3"/>
  <c r="F2" i="3"/>
  <c r="G2" i="3"/>
  <c r="H2" i="3"/>
  <c r="I2" i="3"/>
  <c r="J2" i="3"/>
  <c r="K2" i="3"/>
  <c r="L2" i="3"/>
  <c r="M2" i="3"/>
  <c r="N2" i="3"/>
  <c r="D12" i="3"/>
  <c r="D15" i="3"/>
  <c r="E18" i="3"/>
  <c r="F18" i="3"/>
  <c r="G18" i="3"/>
  <c r="H18" i="3"/>
  <c r="I18" i="3"/>
  <c r="J18" i="3"/>
  <c r="K18" i="3"/>
  <c r="L18" i="3"/>
  <c r="M18" i="3"/>
  <c r="N18" i="3"/>
  <c r="A54" i="3"/>
  <c r="C54" i="3"/>
  <c r="D54" i="3"/>
  <c r="E54" i="3"/>
  <c r="F54" i="3"/>
  <c r="G54" i="3"/>
  <c r="H54" i="3"/>
  <c r="I54" i="3"/>
  <c r="J54" i="3"/>
  <c r="K54" i="3"/>
  <c r="L54" i="3"/>
  <c r="M54" i="3"/>
  <c r="N54" i="3"/>
  <c r="A63" i="3"/>
  <c r="C63" i="3"/>
  <c r="D63" i="3"/>
  <c r="E63" i="3"/>
  <c r="F63" i="3"/>
  <c r="G63" i="3"/>
  <c r="H63" i="3"/>
  <c r="I63" i="3"/>
  <c r="J63" i="3"/>
  <c r="K63" i="3"/>
  <c r="L63" i="3"/>
  <c r="M63" i="3"/>
  <c r="N63" i="3"/>
  <c r="C72" i="3"/>
  <c r="D72" i="3"/>
  <c r="E72" i="3"/>
  <c r="F72" i="3"/>
  <c r="G72" i="3"/>
  <c r="H72" i="3"/>
  <c r="I72" i="3"/>
  <c r="J72" i="3"/>
  <c r="K72" i="3"/>
  <c r="L72" i="3"/>
  <c r="M72" i="3"/>
  <c r="N72" i="3"/>
  <c r="C1" i="2"/>
  <c r="D1" i="2"/>
  <c r="E1" i="2"/>
  <c r="F1" i="2"/>
  <c r="G1" i="2"/>
  <c r="H1" i="2"/>
  <c r="I1" i="2"/>
  <c r="J1" i="2"/>
  <c r="K1" i="2"/>
  <c r="L1" i="2"/>
  <c r="M1" i="2"/>
  <c r="N1" i="2"/>
  <c r="C6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C8" i="2"/>
  <c r="D8" i="2" s="1"/>
  <c r="E8" i="2"/>
  <c r="E23" i="2"/>
  <c r="F23" i="2"/>
  <c r="G23" i="2"/>
  <c r="H23" i="2"/>
  <c r="I23" i="2"/>
  <c r="J23" i="2"/>
  <c r="K23" i="2"/>
  <c r="L23" i="2"/>
  <c r="M23" i="2"/>
  <c r="N23" i="2"/>
  <c r="E24" i="2"/>
  <c r="D25" i="2"/>
  <c r="D27" i="2" s="1"/>
  <c r="E26" i="2"/>
  <c r="F26" i="2" s="1"/>
  <c r="G26" i="2" s="1"/>
  <c r="H26" i="2" s="1"/>
  <c r="I26" i="2" s="1"/>
  <c r="J26" i="2" s="1"/>
  <c r="K26" i="2" s="1"/>
  <c r="L26" i="2"/>
  <c r="M26" i="2" s="1"/>
  <c r="N26" i="2" s="1"/>
  <c r="C34" i="2"/>
  <c r="C35" i="2"/>
  <c r="C36" i="2"/>
  <c r="C37" i="2"/>
  <c r="C38" i="2"/>
  <c r="C39" i="2"/>
  <c r="C42" i="2"/>
  <c r="C45" i="2"/>
  <c r="D45" i="2"/>
  <c r="E45" i="2"/>
  <c r="F45" i="2"/>
  <c r="G45" i="2"/>
  <c r="H45" i="2"/>
  <c r="I45" i="2"/>
  <c r="J45" i="2"/>
  <c r="K45" i="2"/>
  <c r="L45" i="2"/>
  <c r="M45" i="2"/>
  <c r="N45" i="2"/>
  <c r="H49" i="2"/>
  <c r="I49" i="2"/>
  <c r="J49" i="2" s="1"/>
  <c r="K49" i="2" s="1"/>
  <c r="L49" i="2" s="1"/>
  <c r="M49" i="2"/>
  <c r="N49" i="2" s="1"/>
  <c r="J51" i="2"/>
  <c r="K51" i="2"/>
  <c r="L51" i="2" s="1"/>
  <c r="M51" i="2"/>
  <c r="E54" i="2"/>
  <c r="F54" i="2" s="1"/>
  <c r="G54" i="2" s="1"/>
  <c r="H54" i="2" s="1"/>
  <c r="I54" i="2" s="1"/>
  <c r="J54" i="2" s="1"/>
  <c r="K54" i="2" s="1"/>
  <c r="L54" i="2" s="1"/>
  <c r="M54" i="2" s="1"/>
  <c r="N54" i="2" s="1"/>
  <c r="A57" i="2"/>
  <c r="A58" i="2"/>
  <c r="A1" i="1"/>
  <c r="E3" i="1"/>
  <c r="F3" i="1"/>
  <c r="G3" i="1" s="1"/>
  <c r="H3" i="1" s="1"/>
  <c r="I3" i="1" s="1"/>
  <c r="J3" i="1" s="1"/>
  <c r="K3" i="1" s="1"/>
  <c r="L3" i="1" s="1"/>
  <c r="M3" i="1" s="1"/>
  <c r="N3" i="1" s="1"/>
  <c r="E4" i="1"/>
  <c r="F4" i="1"/>
  <c r="G4" i="1" s="1"/>
  <c r="H4" i="1" s="1"/>
  <c r="C5" i="1"/>
  <c r="E5" i="1"/>
  <c r="E6" i="1" s="1"/>
  <c r="C6" i="1"/>
  <c r="J8" i="1"/>
  <c r="K8" i="1"/>
  <c r="L8" i="1" s="1"/>
  <c r="M8" i="1" s="1"/>
  <c r="D9" i="1"/>
  <c r="D10" i="1" s="1"/>
  <c r="D12" i="1"/>
  <c r="E14" i="1"/>
  <c r="F14" i="1"/>
  <c r="G14" i="1" s="1"/>
  <c r="H14" i="1" s="1"/>
  <c r="I14" i="1" s="1"/>
  <c r="J14" i="1" s="1"/>
  <c r="K14" i="1" s="1"/>
  <c r="L14" i="1" s="1"/>
  <c r="M14" i="1" s="1"/>
  <c r="N14" i="1" s="1"/>
  <c r="C18" i="1"/>
  <c r="D18" i="1"/>
  <c r="D20" i="1"/>
  <c r="E20" i="1" s="1"/>
  <c r="F26" i="1"/>
  <c r="G26" i="1" s="1"/>
  <c r="H26" i="1"/>
  <c r="H27" i="1" s="1"/>
  <c r="D27" i="1"/>
  <c r="E27" i="1"/>
  <c r="F27" i="1"/>
  <c r="G27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D30" i="1"/>
  <c r="H30" i="1" s="1"/>
  <c r="E30" i="1"/>
  <c r="F30" i="1"/>
  <c r="G30" i="1"/>
  <c r="I30" i="1"/>
  <c r="J30" i="1"/>
  <c r="K30" i="1"/>
  <c r="L30" i="1"/>
  <c r="M30" i="1"/>
  <c r="N30" i="1"/>
  <c r="D32" i="1"/>
  <c r="E32" i="1" s="1"/>
  <c r="F32" i="1" s="1"/>
  <c r="D33" i="1"/>
  <c r="E33" i="1" s="1"/>
  <c r="D34" i="1"/>
  <c r="E40" i="1"/>
  <c r="F40" i="1"/>
  <c r="G40" i="1" s="1"/>
  <c r="H40" i="1" s="1"/>
  <c r="I40" i="1" s="1"/>
  <c r="J40" i="1" s="1"/>
  <c r="K40" i="1" s="1"/>
  <c r="L40" i="1" s="1"/>
  <c r="M40" i="1" s="1"/>
  <c r="N40" i="1" s="1"/>
  <c r="E44" i="1"/>
  <c r="F44" i="1"/>
  <c r="G44" i="1" s="1"/>
  <c r="H44" i="1" s="1"/>
  <c r="I44" i="1" s="1"/>
  <c r="J44" i="1" s="1"/>
  <c r="K44" i="1" s="1"/>
  <c r="L44" i="1" s="1"/>
  <c r="M44" i="1" s="1"/>
  <c r="N4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E46" i="1"/>
  <c r="F46" i="1" s="1"/>
  <c r="D47" i="1"/>
  <c r="E48" i="1"/>
  <c r="F48" i="1"/>
  <c r="G48" i="1" s="1"/>
  <c r="E49" i="1"/>
  <c r="F49" i="1"/>
  <c r="G49" i="1" s="1"/>
  <c r="H49" i="1" s="1"/>
  <c r="I49" i="1" s="1"/>
  <c r="J49" i="1" s="1"/>
  <c r="K49" i="1" s="1"/>
  <c r="L49" i="1" s="1"/>
  <c r="M49" i="1" s="1"/>
  <c r="N49" i="1" s="1"/>
  <c r="D50" i="1"/>
  <c r="E51" i="1"/>
  <c r="F51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D54" i="1"/>
  <c r="E55" i="1"/>
  <c r="F55" i="1"/>
  <c r="E56" i="1"/>
  <c r="F56" i="1"/>
  <c r="G56" i="1" s="1"/>
  <c r="H56" i="1" s="1"/>
  <c r="I56" i="1" s="1"/>
  <c r="J56" i="1" s="1"/>
  <c r="K56" i="1" s="1"/>
  <c r="L56" i="1" s="1"/>
  <c r="M56" i="1" s="1"/>
  <c r="N56" i="1" s="1"/>
  <c r="E57" i="1"/>
  <c r="F57" i="1"/>
  <c r="G57" i="1" s="1"/>
  <c r="H57" i="1" s="1"/>
  <c r="I57" i="1" s="1"/>
  <c r="J57" i="1" s="1"/>
  <c r="K57" i="1" s="1"/>
  <c r="L57" i="1" s="1"/>
  <c r="M57" i="1" s="1"/>
  <c r="N57" i="1" s="1"/>
  <c r="G51" i="1" l="1"/>
  <c r="N8" i="1"/>
  <c r="H48" i="1"/>
  <c r="F33" i="1"/>
  <c r="E36" i="1"/>
  <c r="G46" i="1"/>
  <c r="G32" i="1"/>
  <c r="H32" i="1" s="1"/>
  <c r="I32" i="1" s="1"/>
  <c r="F34" i="1"/>
  <c r="E12" i="1"/>
  <c r="E9" i="1"/>
  <c r="E10" i="1" s="1"/>
  <c r="D29" i="4"/>
  <c r="D34" i="4" s="1"/>
  <c r="D27" i="4"/>
  <c r="D32" i="4" s="1"/>
  <c r="D33" i="4"/>
  <c r="D58" i="1"/>
  <c r="D62" i="1" s="1"/>
  <c r="F24" i="2"/>
  <c r="E27" i="2"/>
  <c r="E25" i="2"/>
  <c r="I26" i="1"/>
  <c r="F20" i="1"/>
  <c r="D15" i="1"/>
  <c r="D16" i="1" s="1"/>
  <c r="I4" i="1"/>
  <c r="H5" i="1"/>
  <c r="H6" i="1" s="1"/>
  <c r="N51" i="2"/>
  <c r="A72" i="3"/>
  <c r="A1" i="2"/>
  <c r="G55" i="1"/>
  <c r="D36" i="1"/>
  <c r="E34" i="1"/>
  <c r="G34" i="1"/>
  <c r="G5" i="1"/>
  <c r="G6" i="1" s="1"/>
  <c r="A45" i="2"/>
  <c r="F5" i="1"/>
  <c r="F6" i="1" s="1"/>
  <c r="F8" i="2"/>
  <c r="F38" i="6"/>
  <c r="E33" i="4"/>
  <c r="E29" i="4"/>
  <c r="E34" i="4" s="1"/>
  <c r="E27" i="4"/>
  <c r="E32" i="4" s="1"/>
  <c r="D7" i="4"/>
  <c r="C8" i="4"/>
  <c r="C10" i="5"/>
  <c r="D5" i="4"/>
  <c r="E5" i="4"/>
  <c r="E7" i="4" s="1"/>
  <c r="C33" i="4"/>
  <c r="C20" i="4"/>
  <c r="C32" i="4" s="1"/>
  <c r="E6" i="4"/>
  <c r="D6" i="4" s="1"/>
  <c r="H46" i="1" l="1"/>
  <c r="E18" i="1"/>
  <c r="E13" i="1"/>
  <c r="E50" i="1"/>
  <c r="E15" i="1"/>
  <c r="E16" i="1" s="1"/>
  <c r="E58" i="1"/>
  <c r="G33" i="1"/>
  <c r="F36" i="1"/>
  <c r="F38" i="1" s="1"/>
  <c r="D10" i="5"/>
  <c r="D21" i="1"/>
  <c r="D22" i="1"/>
  <c r="F9" i="1"/>
  <c r="F10" i="1" s="1"/>
  <c r="F12" i="1"/>
  <c r="F47" i="1" s="1"/>
  <c r="G24" i="2"/>
  <c r="F27" i="2"/>
  <c r="F25" i="2"/>
  <c r="H9" i="1"/>
  <c r="H10" i="1" s="1"/>
  <c r="H12" i="1"/>
  <c r="I48" i="1"/>
  <c r="H34" i="1"/>
  <c r="G38" i="6"/>
  <c r="G8" i="2"/>
  <c r="E38" i="1"/>
  <c r="I5" i="1"/>
  <c r="I6" i="1" s="1"/>
  <c r="J4" i="1"/>
  <c r="E47" i="1"/>
  <c r="G20" i="1"/>
  <c r="G47" i="1" s="1"/>
  <c r="H51" i="1"/>
  <c r="G9" i="1"/>
  <c r="G10" i="1" s="1"/>
  <c r="G12" i="1"/>
  <c r="J32" i="1"/>
  <c r="I34" i="1"/>
  <c r="D38" i="1"/>
  <c r="E10" i="5"/>
  <c r="E8" i="4"/>
  <c r="D8" i="4" s="1"/>
  <c r="G58" i="1"/>
  <c r="H55" i="1"/>
  <c r="I27" i="1"/>
  <c r="J26" i="1"/>
  <c r="E54" i="1"/>
  <c r="E17" i="1" l="1"/>
  <c r="F41" i="1"/>
  <c r="F42" i="1"/>
  <c r="E41" i="1"/>
  <c r="E42" i="1"/>
  <c r="J48" i="1"/>
  <c r="G25" i="2"/>
  <c r="G27" i="2" s="1"/>
  <c r="H24" i="2"/>
  <c r="K26" i="1"/>
  <c r="J27" i="1"/>
  <c r="K32" i="1"/>
  <c r="J34" i="1"/>
  <c r="H33" i="1"/>
  <c r="G36" i="1"/>
  <c r="G13" i="1"/>
  <c r="G18" i="1"/>
  <c r="G15" i="1"/>
  <c r="G50" i="1"/>
  <c r="H15" i="1"/>
  <c r="H13" i="1"/>
  <c r="H18" i="1"/>
  <c r="E62" i="1"/>
  <c r="I55" i="1"/>
  <c r="H54" i="1"/>
  <c r="I51" i="1"/>
  <c r="H8" i="2"/>
  <c r="Q33" i="2"/>
  <c r="E22" i="1"/>
  <c r="F22" i="1" s="1"/>
  <c r="G22" i="1" s="1"/>
  <c r="H22" i="1" s="1"/>
  <c r="I22" i="1" s="1"/>
  <c r="J22" i="1" s="1"/>
  <c r="K22" i="1" s="1"/>
  <c r="L22" i="1" s="1"/>
  <c r="M22" i="1" s="1"/>
  <c r="N22" i="1" s="1"/>
  <c r="H47" i="1"/>
  <c r="I46" i="1"/>
  <c r="G62" i="1"/>
  <c r="G54" i="1"/>
  <c r="J5" i="1"/>
  <c r="J6" i="1" s="1"/>
  <c r="K4" i="1"/>
  <c r="H38" i="6"/>
  <c r="D23" i="1"/>
  <c r="D24" i="1"/>
  <c r="D37" i="1" s="1"/>
  <c r="E21" i="1"/>
  <c r="F15" i="1"/>
  <c r="F16" i="1" s="1"/>
  <c r="F13" i="1"/>
  <c r="F18" i="1"/>
  <c r="F50" i="1"/>
  <c r="F54" i="1"/>
  <c r="F58" i="1"/>
  <c r="F62" i="1" s="1"/>
  <c r="D41" i="1"/>
  <c r="D42" i="1"/>
  <c r="H20" i="1"/>
  <c r="I12" i="1"/>
  <c r="I9" i="1"/>
  <c r="I10" i="1" s="1"/>
  <c r="G16" i="1" l="1"/>
  <c r="F17" i="1"/>
  <c r="F21" i="1"/>
  <c r="E24" i="1"/>
  <c r="E37" i="1" s="1"/>
  <c r="E23" i="1"/>
  <c r="J51" i="1"/>
  <c r="I18" i="1"/>
  <c r="I13" i="1"/>
  <c r="I15" i="1"/>
  <c r="E19" i="1"/>
  <c r="D25" i="1"/>
  <c r="D7" i="2"/>
  <c r="D9" i="2" s="1"/>
  <c r="D35" i="1"/>
  <c r="J55" i="1"/>
  <c r="G38" i="1"/>
  <c r="I20" i="1"/>
  <c r="H50" i="1"/>
  <c r="I38" i="6"/>
  <c r="H58" i="1"/>
  <c r="H36" i="1"/>
  <c r="I33" i="1"/>
  <c r="Q36" i="2"/>
  <c r="Q35" i="2"/>
  <c r="Q34" i="2"/>
  <c r="I24" i="2"/>
  <c r="H25" i="2"/>
  <c r="H27" i="2"/>
  <c r="K5" i="1"/>
  <c r="K6" i="1" s="1"/>
  <c r="L4" i="1"/>
  <c r="J9" i="1"/>
  <c r="J10" i="1" s="1"/>
  <c r="J12" i="1"/>
  <c r="L32" i="1"/>
  <c r="K34" i="1"/>
  <c r="K48" i="1"/>
  <c r="D4" i="2"/>
  <c r="I8" i="2"/>
  <c r="J46" i="1"/>
  <c r="I47" i="1"/>
  <c r="L26" i="1"/>
  <c r="K27" i="1"/>
  <c r="L27" i="1" l="1"/>
  <c r="M26" i="1"/>
  <c r="J8" i="2"/>
  <c r="D5" i="2"/>
  <c r="J20" i="1"/>
  <c r="D60" i="1"/>
  <c r="D61" i="1"/>
  <c r="D18" i="2" s="1"/>
  <c r="D19" i="2" s="1"/>
  <c r="D28" i="2"/>
  <c r="D29" i="2" s="1"/>
  <c r="I54" i="1"/>
  <c r="D10" i="2"/>
  <c r="D11" i="2"/>
  <c r="D12" i="2" s="1"/>
  <c r="J54" i="1"/>
  <c r="K51" i="1"/>
  <c r="L48" i="1"/>
  <c r="M4" i="1"/>
  <c r="L5" i="1"/>
  <c r="L6" i="1" s="1"/>
  <c r="J33" i="1"/>
  <c r="I36" i="1"/>
  <c r="G42" i="1"/>
  <c r="G41" i="1"/>
  <c r="E7" i="2"/>
  <c r="E9" i="2" s="1"/>
  <c r="E25" i="1"/>
  <c r="E35" i="1"/>
  <c r="E4" i="2"/>
  <c r="K46" i="1"/>
  <c r="J47" i="1"/>
  <c r="J50" i="1"/>
  <c r="K9" i="1"/>
  <c r="K10" i="1" s="1"/>
  <c r="K12" i="1"/>
  <c r="H38" i="1"/>
  <c r="H62" i="1"/>
  <c r="G21" i="1"/>
  <c r="F24" i="1"/>
  <c r="F37" i="1" s="1"/>
  <c r="F23" i="1"/>
  <c r="I50" i="1"/>
  <c r="M32" i="1"/>
  <c r="L34" i="1"/>
  <c r="I58" i="1"/>
  <c r="J15" i="1"/>
  <c r="J18" i="1"/>
  <c r="J13" i="1"/>
  <c r="J24" i="2"/>
  <c r="I25" i="2"/>
  <c r="I27" i="2"/>
  <c r="J38" i="6"/>
  <c r="J58" i="1"/>
  <c r="K55" i="1"/>
  <c r="G17" i="1"/>
  <c r="H16" i="1"/>
  <c r="K50" i="1" l="1"/>
  <c r="N32" i="1"/>
  <c r="N34" i="1" s="1"/>
  <c r="M34" i="1"/>
  <c r="J62" i="1"/>
  <c r="F35" i="1"/>
  <c r="F4" i="2"/>
  <c r="F25" i="1"/>
  <c r="F7" i="2"/>
  <c r="F9" i="2" s="1"/>
  <c r="E5" i="2"/>
  <c r="K33" i="1"/>
  <c r="J36" i="1"/>
  <c r="H41" i="1"/>
  <c r="H42" i="1"/>
  <c r="K38" i="6"/>
  <c r="H21" i="1"/>
  <c r="G24" i="1"/>
  <c r="G37" i="1" s="1"/>
  <c r="G23" i="1"/>
  <c r="E60" i="1"/>
  <c r="E61" i="1"/>
  <c r="E28" i="2"/>
  <c r="E29" i="2" s="1"/>
  <c r="N4" i="1"/>
  <c r="N5" i="1" s="1"/>
  <c r="N6" i="1" s="1"/>
  <c r="M5" i="1"/>
  <c r="M6" i="1" s="1"/>
  <c r="D58" i="2"/>
  <c r="D6" i="3" s="1"/>
  <c r="D30" i="2"/>
  <c r="K8" i="2"/>
  <c r="L55" i="1"/>
  <c r="L46" i="1"/>
  <c r="K47" i="1"/>
  <c r="M48" i="1"/>
  <c r="N26" i="1"/>
  <c r="M27" i="1"/>
  <c r="L12" i="1"/>
  <c r="L9" i="1"/>
  <c r="L10" i="1" s="1"/>
  <c r="E11" i="2"/>
  <c r="E12" i="2" s="1"/>
  <c r="E10" i="2"/>
  <c r="I62" i="1"/>
  <c r="D63" i="1"/>
  <c r="I38" i="1"/>
  <c r="K18" i="1"/>
  <c r="K13" i="1"/>
  <c r="K15" i="1"/>
  <c r="I16" i="1"/>
  <c r="H17" i="1"/>
  <c r="K24" i="2"/>
  <c r="J25" i="2"/>
  <c r="J27" i="2"/>
  <c r="K54" i="1"/>
  <c r="L51" i="1"/>
  <c r="K20" i="1"/>
  <c r="L15" i="1" l="1"/>
  <c r="L18" i="1"/>
  <c r="L13" i="1"/>
  <c r="M9" i="1"/>
  <c r="M10" i="1" s="1"/>
  <c r="M12" i="1"/>
  <c r="L24" i="2"/>
  <c r="K25" i="2"/>
  <c r="K27" i="2"/>
  <c r="I41" i="1"/>
  <c r="I42" i="1"/>
  <c r="M55" i="1"/>
  <c r="N12" i="1"/>
  <c r="E7" i="5" s="1"/>
  <c r="N9" i="1"/>
  <c r="N10" i="1" s="1"/>
  <c r="L38" i="6"/>
  <c r="F11" i="2"/>
  <c r="F12" i="2" s="1"/>
  <c r="F10" i="2"/>
  <c r="L20" i="1"/>
  <c r="K58" i="1"/>
  <c r="K62" i="1" s="1"/>
  <c r="E58" i="2"/>
  <c r="E6" i="3" s="1"/>
  <c r="E30" i="2"/>
  <c r="F60" i="1"/>
  <c r="F61" i="1"/>
  <c r="F28" i="2"/>
  <c r="F29" i="2" s="1"/>
  <c r="I17" i="1"/>
  <c r="J16" i="1"/>
  <c r="L54" i="1"/>
  <c r="M51" i="1"/>
  <c r="L8" i="2"/>
  <c r="J38" i="1"/>
  <c r="D3" i="3"/>
  <c r="D58" i="3" s="1"/>
  <c r="D16" i="2"/>
  <c r="D17" i="2" s="1"/>
  <c r="D14" i="2"/>
  <c r="D32" i="2"/>
  <c r="D44" i="2"/>
  <c r="D31" i="2"/>
  <c r="E18" i="2"/>
  <c r="E19" i="2" s="1"/>
  <c r="E14" i="2"/>
  <c r="F5" i="2"/>
  <c r="E63" i="1"/>
  <c r="N48" i="1"/>
  <c r="G35" i="1"/>
  <c r="G7" i="2"/>
  <c r="G9" i="2" s="1"/>
  <c r="G25" i="1"/>
  <c r="G4" i="2"/>
  <c r="D76" i="3"/>
  <c r="L33" i="1"/>
  <c r="K36" i="1"/>
  <c r="N27" i="1"/>
  <c r="I21" i="1"/>
  <c r="H24" i="1"/>
  <c r="H37" i="1" s="1"/>
  <c r="H23" i="1"/>
  <c r="L47" i="1"/>
  <c r="M46" i="1"/>
  <c r="E14" i="5" l="1"/>
  <c r="E16" i="5" s="1"/>
  <c r="K38" i="1"/>
  <c r="F18" i="2"/>
  <c r="F19" i="2" s="1"/>
  <c r="F14" i="2"/>
  <c r="N55" i="1"/>
  <c r="I24" i="1"/>
  <c r="I37" i="1" s="1"/>
  <c r="J21" i="1"/>
  <c r="I23" i="1"/>
  <c r="M33" i="1"/>
  <c r="L36" i="1"/>
  <c r="M8" i="2"/>
  <c r="F63" i="1"/>
  <c r="E76" i="3"/>
  <c r="E58" i="3"/>
  <c r="N51" i="1"/>
  <c r="E3" i="3"/>
  <c r="E16" i="2"/>
  <c r="E17" i="2" s="1"/>
  <c r="E32" i="2"/>
  <c r="E44" i="2"/>
  <c r="E31" i="2"/>
  <c r="D20" i="2"/>
  <c r="M38" i="6"/>
  <c r="N46" i="1"/>
  <c r="G5" i="2"/>
  <c r="K16" i="1"/>
  <c r="J17" i="1"/>
  <c r="G60" i="1"/>
  <c r="G61" i="1"/>
  <c r="G28" i="2"/>
  <c r="G29" i="2" s="1"/>
  <c r="D26" i="6"/>
  <c r="D55" i="3"/>
  <c r="D73" i="3"/>
  <c r="N15" i="1"/>
  <c r="N18" i="1"/>
  <c r="N13" i="1"/>
  <c r="C7" i="5"/>
  <c r="M24" i="2"/>
  <c r="L25" i="2"/>
  <c r="L27" i="2" s="1"/>
  <c r="H35" i="1"/>
  <c r="H7" i="2"/>
  <c r="H9" i="2" s="1"/>
  <c r="H25" i="1"/>
  <c r="H4" i="2"/>
  <c r="G11" i="2"/>
  <c r="G12" i="2" s="1"/>
  <c r="G10" i="2"/>
  <c r="E20" i="2"/>
  <c r="J41" i="1"/>
  <c r="J42" i="1"/>
  <c r="F58" i="2"/>
  <c r="F6" i="3" s="1"/>
  <c r="F30" i="2"/>
  <c r="M20" i="1"/>
  <c r="L50" i="1"/>
  <c r="L58" i="1"/>
  <c r="M18" i="1"/>
  <c r="M13" i="1"/>
  <c r="M15" i="1"/>
  <c r="N20" i="1" l="1"/>
  <c r="M50" i="1"/>
  <c r="L38" i="1"/>
  <c r="C14" i="5"/>
  <c r="C16" i="5" s="1"/>
  <c r="D7" i="5"/>
  <c r="H5" i="2"/>
  <c r="N47" i="1"/>
  <c r="I35" i="1"/>
  <c r="I25" i="1"/>
  <c r="I7" i="2"/>
  <c r="I9" i="2" s="1"/>
  <c r="I4" i="2"/>
  <c r="F76" i="3"/>
  <c r="K42" i="1"/>
  <c r="K41" i="1"/>
  <c r="H61" i="1"/>
  <c r="H60" i="1"/>
  <c r="H63" i="1" s="1"/>
  <c r="H28" i="2"/>
  <c r="H29" i="2" s="1"/>
  <c r="G14" i="2"/>
  <c r="G18" i="2"/>
  <c r="G19" i="2" s="1"/>
  <c r="E26" i="6"/>
  <c r="E55" i="3"/>
  <c r="E73" i="3"/>
  <c r="F3" i="3"/>
  <c r="F16" i="2"/>
  <c r="F17" i="2" s="1"/>
  <c r="F31" i="2"/>
  <c r="F32" i="2"/>
  <c r="F44" i="2"/>
  <c r="K21" i="1"/>
  <c r="J24" i="1"/>
  <c r="J37" i="1" s="1"/>
  <c r="J23" i="1"/>
  <c r="E25" i="5"/>
  <c r="E20" i="5"/>
  <c r="E21" i="5"/>
  <c r="E18" i="5"/>
  <c r="E19" i="5" s="1"/>
  <c r="N24" i="2"/>
  <c r="M25" i="2"/>
  <c r="M27" i="2"/>
  <c r="G58" i="2"/>
  <c r="G6" i="3" s="1"/>
  <c r="G30" i="2"/>
  <c r="L62" i="1"/>
  <c r="H10" i="2"/>
  <c r="H11" i="2"/>
  <c r="H12" i="2" s="1"/>
  <c r="G63" i="1"/>
  <c r="N38" i="6"/>
  <c r="M54" i="1"/>
  <c r="N8" i="2"/>
  <c r="M47" i="1"/>
  <c r="D21" i="2"/>
  <c r="D57" i="2"/>
  <c r="N54" i="1"/>
  <c r="M58" i="1"/>
  <c r="N33" i="1"/>
  <c r="N36" i="1" s="1"/>
  <c r="M36" i="1"/>
  <c r="E21" i="2"/>
  <c r="E57" i="2"/>
  <c r="K17" i="1"/>
  <c r="L16" i="1"/>
  <c r="N58" i="1"/>
  <c r="F20" i="2" l="1"/>
  <c r="E4" i="3"/>
  <c r="M38" i="1"/>
  <c r="G20" i="2"/>
  <c r="F73" i="3"/>
  <c r="F26" i="6"/>
  <c r="F55" i="3"/>
  <c r="F58" i="3"/>
  <c r="N38" i="1"/>
  <c r="H3" i="3"/>
  <c r="H31" i="2"/>
  <c r="H32" i="2"/>
  <c r="H44" i="2"/>
  <c r="H16" i="2"/>
  <c r="H17" i="2" s="1"/>
  <c r="H14" i="2"/>
  <c r="H18" i="2"/>
  <c r="H19" i="2" s="1"/>
  <c r="I10" i="2"/>
  <c r="I11" i="2"/>
  <c r="I12" i="2" s="1"/>
  <c r="D14" i="5"/>
  <c r="D16" i="5" s="1"/>
  <c r="N50" i="1"/>
  <c r="N62" i="1" s="1"/>
  <c r="M62" i="1"/>
  <c r="I5" i="2"/>
  <c r="M16" i="1"/>
  <c r="L17" i="1"/>
  <c r="D4" i="3"/>
  <c r="G3" i="3"/>
  <c r="G16" i="2"/>
  <c r="G17" i="2" s="1"/>
  <c r="G31" i="2"/>
  <c r="G32" i="2"/>
  <c r="G44" i="2"/>
  <c r="L21" i="1"/>
  <c r="K24" i="1"/>
  <c r="K37" i="1" s="1"/>
  <c r="K23" i="1"/>
  <c r="I60" i="1"/>
  <c r="I61" i="1"/>
  <c r="I28" i="2"/>
  <c r="I29" i="2" s="1"/>
  <c r="C20" i="5"/>
  <c r="C18" i="5"/>
  <c r="C19" i="5" s="1"/>
  <c r="C25" i="5"/>
  <c r="C21" i="5"/>
  <c r="E22" i="5"/>
  <c r="E24" i="5"/>
  <c r="G76" i="3"/>
  <c r="G58" i="3"/>
  <c r="H30" i="2"/>
  <c r="H58" i="2"/>
  <c r="H6" i="3" s="1"/>
  <c r="J35" i="1"/>
  <c r="J25" i="1"/>
  <c r="J7" i="2"/>
  <c r="J9" i="2" s="1"/>
  <c r="J4" i="2"/>
  <c r="N27" i="2"/>
  <c r="N25" i="2"/>
  <c r="L42" i="1"/>
  <c r="L41" i="1"/>
  <c r="G21" i="2" l="1"/>
  <c r="G57" i="2"/>
  <c r="C22" i="5"/>
  <c r="C24" i="5"/>
  <c r="M21" i="1"/>
  <c r="L24" i="1"/>
  <c r="L37" i="1" s="1"/>
  <c r="L23" i="1"/>
  <c r="M41" i="1"/>
  <c r="M42" i="1"/>
  <c r="K7" i="2"/>
  <c r="K9" i="2" s="1"/>
  <c r="K25" i="1"/>
  <c r="K35" i="1"/>
  <c r="K4" i="2"/>
  <c r="H20" i="2"/>
  <c r="H76" i="3"/>
  <c r="H58" i="3"/>
  <c r="D74" i="3"/>
  <c r="D56" i="3"/>
  <c r="D5" i="3"/>
  <c r="M17" i="1"/>
  <c r="N16" i="1"/>
  <c r="N17" i="1" s="1"/>
  <c r="D25" i="5"/>
  <c r="D20" i="5"/>
  <c r="D18" i="5"/>
  <c r="D19" i="5" s="1"/>
  <c r="D21" i="5"/>
  <c r="E74" i="3"/>
  <c r="E56" i="3"/>
  <c r="E5" i="3"/>
  <c r="J5" i="2"/>
  <c r="I30" i="2"/>
  <c r="I58" i="2"/>
  <c r="I6" i="3" s="1"/>
  <c r="H26" i="6"/>
  <c r="H73" i="3"/>
  <c r="H55" i="3"/>
  <c r="F21" i="2"/>
  <c r="F57" i="2"/>
  <c r="J10" i="2"/>
  <c r="J11" i="2"/>
  <c r="J12" i="2" s="1"/>
  <c r="I14" i="2"/>
  <c r="I18" i="2"/>
  <c r="I19" i="2" s="1"/>
  <c r="J60" i="1"/>
  <c r="J61" i="1"/>
  <c r="J28" i="2"/>
  <c r="J29" i="2" s="1"/>
  <c r="I63" i="1"/>
  <c r="G26" i="6"/>
  <c r="G73" i="3"/>
  <c r="G55" i="3"/>
  <c r="N41" i="1"/>
  <c r="N42" i="1"/>
  <c r="D24" i="6" l="1"/>
  <c r="D57" i="3"/>
  <c r="D75" i="3"/>
  <c r="D7" i="3"/>
  <c r="L35" i="1"/>
  <c r="L7" i="2"/>
  <c r="L9" i="2" s="1"/>
  <c r="L25" i="1"/>
  <c r="L4" i="2"/>
  <c r="I16" i="2"/>
  <c r="I17" i="2" s="1"/>
  <c r="I3" i="3"/>
  <c r="I31" i="2"/>
  <c r="I32" i="2"/>
  <c r="I44" i="2"/>
  <c r="J30" i="2"/>
  <c r="J58" i="2"/>
  <c r="J6" i="3" s="1"/>
  <c r="F4" i="3"/>
  <c r="I58" i="3"/>
  <c r="I67" i="3"/>
  <c r="I76" i="3"/>
  <c r="K5" i="2"/>
  <c r="H21" i="2"/>
  <c r="H57" i="2"/>
  <c r="K60" i="1"/>
  <c r="K61" i="1"/>
  <c r="K28" i="2"/>
  <c r="K29" i="2" s="1"/>
  <c r="J14" i="2"/>
  <c r="J18" i="2"/>
  <c r="J19" i="2" s="1"/>
  <c r="D24" i="5"/>
  <c r="D22" i="5"/>
  <c r="N21" i="1"/>
  <c r="M24" i="1"/>
  <c r="M37" i="1" s="1"/>
  <c r="M23" i="1"/>
  <c r="K10" i="2"/>
  <c r="K11" i="2"/>
  <c r="K12" i="2" s="1"/>
  <c r="J63" i="1"/>
  <c r="I20" i="2"/>
  <c r="J47" i="2"/>
  <c r="K47" i="2"/>
  <c r="D47" i="2"/>
  <c r="D66" i="3" s="1"/>
  <c r="L47" i="2"/>
  <c r="E47" i="2"/>
  <c r="M47" i="2"/>
  <c r="F47" i="2"/>
  <c r="N47" i="2"/>
  <c r="H47" i="2"/>
  <c r="G47" i="2"/>
  <c r="I47" i="2"/>
  <c r="I15" i="2" s="1"/>
  <c r="G4" i="3"/>
  <c r="E24" i="6"/>
  <c r="E7" i="3"/>
  <c r="E57" i="3"/>
  <c r="E75" i="3"/>
  <c r="G56" i="3" l="1"/>
  <c r="G65" i="3"/>
  <c r="G74" i="3"/>
  <c r="G5" i="3"/>
  <c r="F43" i="2"/>
  <c r="F48" i="2"/>
  <c r="F40" i="2"/>
  <c r="F34" i="2"/>
  <c r="F36" i="2"/>
  <c r="F39" i="2"/>
  <c r="F37" i="2"/>
  <c r="F38" i="2"/>
  <c r="F35" i="2"/>
  <c r="F42" i="2"/>
  <c r="F28" i="6" s="1"/>
  <c r="F15" i="2"/>
  <c r="F67" i="3"/>
  <c r="F64" i="3"/>
  <c r="L10" i="2"/>
  <c r="L11" i="2"/>
  <c r="L12" i="2" s="1"/>
  <c r="K30" i="2"/>
  <c r="K58" i="2"/>
  <c r="K6" i="3" s="1"/>
  <c r="E68" i="3"/>
  <c r="E77" i="3"/>
  <c r="E59" i="3"/>
  <c r="L60" i="1"/>
  <c r="L61" i="1"/>
  <c r="L28" i="2"/>
  <c r="L29" i="2" s="1"/>
  <c r="M43" i="2"/>
  <c r="M37" i="2"/>
  <c r="M39" i="2"/>
  <c r="M34" i="2"/>
  <c r="M40" i="2"/>
  <c r="M48" i="2"/>
  <c r="M42" i="2"/>
  <c r="M28" i="6" s="1"/>
  <c r="M38" i="2"/>
  <c r="M36" i="2"/>
  <c r="M35" i="2"/>
  <c r="J16" i="2"/>
  <c r="J17" i="2" s="1"/>
  <c r="J3" i="3"/>
  <c r="J44" i="2"/>
  <c r="J31" i="2"/>
  <c r="J32" i="2"/>
  <c r="E43" i="2"/>
  <c r="E34" i="2"/>
  <c r="E40" i="2"/>
  <c r="E48" i="2"/>
  <c r="E41" i="2" s="1"/>
  <c r="E42" i="2"/>
  <c r="E28" i="6" s="1"/>
  <c r="E38" i="2"/>
  <c r="E36" i="2"/>
  <c r="E35" i="2"/>
  <c r="E27" i="6" s="1"/>
  <c r="E39" i="2"/>
  <c r="E37" i="2"/>
  <c r="E15" i="2"/>
  <c r="E67" i="3"/>
  <c r="E64" i="3"/>
  <c r="E65" i="3"/>
  <c r="J15" i="2"/>
  <c r="J20" i="2"/>
  <c r="K37" i="2"/>
  <c r="K39" i="2"/>
  <c r="K34" i="2"/>
  <c r="K42" i="2"/>
  <c r="K28" i="6" s="1"/>
  <c r="K36" i="2"/>
  <c r="K40" i="2"/>
  <c r="K48" i="2"/>
  <c r="K43" i="2"/>
  <c r="K38" i="2"/>
  <c r="K35" i="2"/>
  <c r="K63" i="1"/>
  <c r="I26" i="6"/>
  <c r="I64" i="3"/>
  <c r="I73" i="3"/>
  <c r="I55" i="3"/>
  <c r="L34" i="2"/>
  <c r="L48" i="2"/>
  <c r="L40" i="2"/>
  <c r="L36" i="2"/>
  <c r="L43" i="2"/>
  <c r="L39" i="2"/>
  <c r="L35" i="2"/>
  <c r="L37" i="2"/>
  <c r="L38" i="2"/>
  <c r="L42" i="2"/>
  <c r="I34" i="2"/>
  <c r="I40" i="2"/>
  <c r="I48" i="2"/>
  <c r="I43" i="2"/>
  <c r="I39" i="2"/>
  <c r="I37" i="2"/>
  <c r="I38" i="2"/>
  <c r="I35" i="2"/>
  <c r="I36" i="2"/>
  <c r="I42" i="2"/>
  <c r="I28" i="6" s="1"/>
  <c r="D34" i="2"/>
  <c r="D53" i="2"/>
  <c r="D40" i="2"/>
  <c r="D36" i="2"/>
  <c r="D43" i="2"/>
  <c r="D48" i="2"/>
  <c r="D35" i="2"/>
  <c r="D39" i="2"/>
  <c r="D38" i="2"/>
  <c r="D37" i="2"/>
  <c r="D42" i="2"/>
  <c r="D28" i="6" s="1"/>
  <c r="D67" i="3"/>
  <c r="D15" i="2"/>
  <c r="D64" i="3"/>
  <c r="D65" i="3"/>
  <c r="M35" i="1"/>
  <c r="M7" i="2"/>
  <c r="M9" i="2" s="1"/>
  <c r="M25" i="1"/>
  <c r="M4" i="2"/>
  <c r="K18" i="2"/>
  <c r="K19" i="2" s="1"/>
  <c r="K14" i="2"/>
  <c r="G40" i="2"/>
  <c r="G48" i="2"/>
  <c r="G43" i="2"/>
  <c r="G34" i="2"/>
  <c r="G37" i="2"/>
  <c r="G42" i="2"/>
  <c r="G28" i="6" s="1"/>
  <c r="G39" i="2"/>
  <c r="G38" i="2"/>
  <c r="G36" i="2"/>
  <c r="G35" i="2"/>
  <c r="G67" i="3"/>
  <c r="G15" i="2"/>
  <c r="G64" i="3"/>
  <c r="E66" i="3"/>
  <c r="H36" i="2"/>
  <c r="H40" i="2"/>
  <c r="H48" i="2"/>
  <c r="H43" i="2"/>
  <c r="H34" i="2"/>
  <c r="H35" i="2"/>
  <c r="H38" i="2"/>
  <c r="H37" i="2"/>
  <c r="H39" i="2"/>
  <c r="H42" i="2"/>
  <c r="H67" i="3"/>
  <c r="H64" i="3"/>
  <c r="H15" i="2"/>
  <c r="J34" i="2"/>
  <c r="J36" i="2"/>
  <c r="J40" i="2"/>
  <c r="J48" i="2"/>
  <c r="J43" i="2"/>
  <c r="J37" i="2"/>
  <c r="J42" i="2"/>
  <c r="J28" i="6" s="1"/>
  <c r="J35" i="2"/>
  <c r="J38" i="2"/>
  <c r="J39" i="2"/>
  <c r="N24" i="1"/>
  <c r="N37" i="1" s="1"/>
  <c r="N23" i="1"/>
  <c r="H4" i="3"/>
  <c r="F65" i="3"/>
  <c r="F74" i="3"/>
  <c r="F56" i="3"/>
  <c r="F5" i="3"/>
  <c r="D68" i="3"/>
  <c r="D77" i="3"/>
  <c r="D59" i="3"/>
  <c r="N43" i="2"/>
  <c r="N48" i="2"/>
  <c r="N40" i="2"/>
  <c r="N34" i="2"/>
  <c r="N36" i="2"/>
  <c r="N37" i="2"/>
  <c r="N42" i="2"/>
  <c r="N39" i="2"/>
  <c r="N35" i="2"/>
  <c r="N38" i="2"/>
  <c r="I57" i="2"/>
  <c r="I21" i="2"/>
  <c r="J58" i="3"/>
  <c r="J67" i="3"/>
  <c r="J76" i="3"/>
  <c r="L5" i="2"/>
  <c r="M5" i="2" l="1"/>
  <c r="M11" i="2"/>
  <c r="M12" i="2" s="1"/>
  <c r="M10" i="2"/>
  <c r="H50" i="2"/>
  <c r="H52" i="2" s="1"/>
  <c r="I41" i="2"/>
  <c r="I34" i="6" s="1"/>
  <c r="F50" i="2"/>
  <c r="F52" i="2" s="1"/>
  <c r="G41" i="2"/>
  <c r="N28" i="6"/>
  <c r="H56" i="3"/>
  <c r="H65" i="3"/>
  <c r="H74" i="3"/>
  <c r="H5" i="3"/>
  <c r="H28" i="6"/>
  <c r="K15" i="2"/>
  <c r="E59" i="2"/>
  <c r="E34" i="6"/>
  <c r="K67" i="3"/>
  <c r="K76" i="3"/>
  <c r="F59" i="2"/>
  <c r="F34" i="6"/>
  <c r="N35" i="1"/>
  <c r="N7" i="2"/>
  <c r="N9" i="2" s="1"/>
  <c r="N25" i="1"/>
  <c r="N4" i="2"/>
  <c r="I50" i="2"/>
  <c r="I52" i="2" s="1"/>
  <c r="J41" i="2"/>
  <c r="J59" i="2" s="1"/>
  <c r="J8" i="3" s="1"/>
  <c r="L58" i="2"/>
  <c r="L6" i="3" s="1"/>
  <c r="L30" i="2"/>
  <c r="K41" i="2"/>
  <c r="J50" i="2"/>
  <c r="J52" i="2" s="1"/>
  <c r="J21" i="2"/>
  <c r="J57" i="2"/>
  <c r="L18" i="2"/>
  <c r="L19" i="2" s="1"/>
  <c r="L14" i="2"/>
  <c r="E50" i="2"/>
  <c r="E52" i="2" s="1"/>
  <c r="F41" i="2"/>
  <c r="F24" i="6"/>
  <c r="F7" i="3"/>
  <c r="F57" i="3"/>
  <c r="F66" i="3"/>
  <c r="F75" i="3"/>
  <c r="M60" i="1"/>
  <c r="M61" i="1"/>
  <c r="M28" i="2"/>
  <c r="M29" i="2" s="1"/>
  <c r="D18" i="3"/>
  <c r="D55" i="2"/>
  <c r="O53" i="2"/>
  <c r="J34" i="6"/>
  <c r="M41" i="2"/>
  <c r="L50" i="2"/>
  <c r="L52" i="2" s="1"/>
  <c r="L63" i="1"/>
  <c r="F27" i="6"/>
  <c r="G24" i="6"/>
  <c r="G7" i="3"/>
  <c r="G57" i="3"/>
  <c r="G66" i="3"/>
  <c r="G75" i="3"/>
  <c r="M50" i="2"/>
  <c r="M52" i="2" s="1"/>
  <c r="N41" i="2"/>
  <c r="N50" i="2"/>
  <c r="N52" i="2" s="1"/>
  <c r="J27" i="6"/>
  <c r="H34" i="6"/>
  <c r="J26" i="6"/>
  <c r="J55" i="3"/>
  <c r="J64" i="3"/>
  <c r="J73" i="3"/>
  <c r="I4" i="3"/>
  <c r="G59" i="2"/>
  <c r="G34" i="6"/>
  <c r="G27" i="6"/>
  <c r="I59" i="2"/>
  <c r="I8" i="3" s="1"/>
  <c r="K3" i="3"/>
  <c r="K58" i="3" s="1"/>
  <c r="K16" i="2"/>
  <c r="K17" i="2" s="1"/>
  <c r="K44" i="2"/>
  <c r="K59" i="2" s="1"/>
  <c r="K8" i="3" s="1"/>
  <c r="K31" i="2"/>
  <c r="K32" i="2"/>
  <c r="G50" i="2"/>
  <c r="G52" i="2" s="1"/>
  <c r="H41" i="2"/>
  <c r="H59" i="2" s="1"/>
  <c r="D41" i="2"/>
  <c r="D59" i="2" s="1"/>
  <c r="D50" i="2"/>
  <c r="D52" i="2" s="1"/>
  <c r="L28" i="6"/>
  <c r="L41" i="2"/>
  <c r="K50" i="2"/>
  <c r="K52" i="2" s="1"/>
  <c r="K27" i="6"/>
  <c r="J69" i="3" l="1"/>
  <c r="J78" i="3"/>
  <c r="J60" i="3"/>
  <c r="D8" i="3"/>
  <c r="K60" i="3"/>
  <c r="K69" i="3"/>
  <c r="K78" i="3"/>
  <c r="H8" i="3"/>
  <c r="G17" i="3"/>
  <c r="G7" i="6" s="1"/>
  <c r="G8" i="6" s="1"/>
  <c r="I56" i="3"/>
  <c r="I65" i="3"/>
  <c r="I74" i="3"/>
  <c r="I5" i="3"/>
  <c r="K17" i="3"/>
  <c r="K7" i="6" s="1"/>
  <c r="K8" i="6" s="1"/>
  <c r="G8" i="3"/>
  <c r="G16" i="3"/>
  <c r="G4" i="6" s="1"/>
  <c r="D31" i="6"/>
  <c r="D60" i="2"/>
  <c r="D10" i="3" s="1"/>
  <c r="F59" i="3"/>
  <c r="F68" i="3"/>
  <c r="F77" i="3"/>
  <c r="F9" i="3"/>
  <c r="I17" i="3"/>
  <c r="I7" i="6" s="1"/>
  <c r="I8" i="6" s="1"/>
  <c r="H24" i="6"/>
  <c r="H7" i="3"/>
  <c r="H75" i="3"/>
  <c r="H57" i="3"/>
  <c r="H66" i="3"/>
  <c r="K34" i="6"/>
  <c r="H27" i="6"/>
  <c r="N17" i="3"/>
  <c r="N7" i="6" s="1"/>
  <c r="N8" i="6" s="1"/>
  <c r="F16" i="3"/>
  <c r="F4" i="6" s="1"/>
  <c r="J17" i="3"/>
  <c r="J7" i="6" s="1"/>
  <c r="J8" i="6" s="1"/>
  <c r="N5" i="2"/>
  <c r="H17" i="3"/>
  <c r="H7" i="6" s="1"/>
  <c r="H8" i="6" s="1"/>
  <c r="I27" i="6"/>
  <c r="D27" i="6"/>
  <c r="M17" i="3"/>
  <c r="M7" i="6" s="1"/>
  <c r="M8" i="6" s="1"/>
  <c r="L3" i="3"/>
  <c r="L16" i="2"/>
  <c r="L17" i="2" s="1"/>
  <c r="L44" i="2"/>
  <c r="L59" i="2" s="1"/>
  <c r="L8" i="3" s="1"/>
  <c r="L32" i="2"/>
  <c r="L31" i="2"/>
  <c r="M18" i="2"/>
  <c r="M19" i="2" s="1"/>
  <c r="M14" i="2"/>
  <c r="N11" i="2"/>
  <c r="N12" i="2" s="1"/>
  <c r="N10" i="2"/>
  <c r="E8" i="3"/>
  <c r="D30" i="6"/>
  <c r="D17" i="3"/>
  <c r="D7" i="6" s="1"/>
  <c r="D8" i="6" s="1"/>
  <c r="O52" i="2"/>
  <c r="K26" i="6"/>
  <c r="K55" i="3"/>
  <c r="K64" i="3"/>
  <c r="K73" i="3"/>
  <c r="D34" i="6"/>
  <c r="L17" i="3"/>
  <c r="L7" i="6" s="1"/>
  <c r="L8" i="6" s="1"/>
  <c r="M63" i="1"/>
  <c r="E30" i="6"/>
  <c r="F30" i="6" s="1"/>
  <c r="E17" i="3"/>
  <c r="E7" i="6" s="1"/>
  <c r="E8" i="6" s="1"/>
  <c r="E55" i="2"/>
  <c r="M58" i="2"/>
  <c r="M6" i="3" s="1"/>
  <c r="M30" i="2"/>
  <c r="N60" i="1"/>
  <c r="N61" i="1"/>
  <c r="N28" i="2"/>
  <c r="N29" i="2" s="1"/>
  <c r="I69" i="3"/>
  <c r="I78" i="3"/>
  <c r="I60" i="3"/>
  <c r="L15" i="2"/>
  <c r="L58" i="3"/>
  <c r="L67" i="3"/>
  <c r="L76" i="3"/>
  <c r="K20" i="2"/>
  <c r="F8" i="3"/>
  <c r="F17" i="3"/>
  <c r="F7" i="6" s="1"/>
  <c r="F8" i="6" s="1"/>
  <c r="G59" i="3"/>
  <c r="G68" i="3"/>
  <c r="G77" i="3"/>
  <c r="G9" i="3"/>
  <c r="O54" i="2"/>
  <c r="J4" i="3"/>
  <c r="G30" i="6" l="1"/>
  <c r="L60" i="3"/>
  <c r="L69" i="3"/>
  <c r="L78" i="3"/>
  <c r="E60" i="3"/>
  <c r="E69" i="3"/>
  <c r="E78" i="3"/>
  <c r="E9" i="3"/>
  <c r="N18" i="2"/>
  <c r="N19" i="2" s="1"/>
  <c r="N14" i="2"/>
  <c r="M16" i="2"/>
  <c r="M17" i="2" s="1"/>
  <c r="M3" i="3"/>
  <c r="M32" i="2"/>
  <c r="M44" i="2"/>
  <c r="M31" i="2"/>
  <c r="G70" i="3"/>
  <c r="G79" i="3"/>
  <c r="G61" i="3"/>
  <c r="N63" i="1"/>
  <c r="L26" i="6"/>
  <c r="L55" i="3"/>
  <c r="L64" i="3"/>
  <c r="L73" i="3"/>
  <c r="G78" i="3"/>
  <c r="G60" i="3"/>
  <c r="G69" i="3"/>
  <c r="F60" i="3"/>
  <c r="F69" i="3"/>
  <c r="F78" i="3"/>
  <c r="L20" i="2"/>
  <c r="L27" i="6"/>
  <c r="H9" i="3"/>
  <c r="H59" i="3"/>
  <c r="H68" i="3"/>
  <c r="H77" i="3"/>
  <c r="M15" i="2"/>
  <c r="H16" i="3"/>
  <c r="H4" i="6" s="1"/>
  <c r="D16" i="3"/>
  <c r="D4" i="6" s="1"/>
  <c r="D32" i="6"/>
  <c r="D61" i="2"/>
  <c r="J56" i="3"/>
  <c r="J65" i="3"/>
  <c r="J74" i="3"/>
  <c r="J5" i="3"/>
  <c r="M76" i="3"/>
  <c r="M58" i="3"/>
  <c r="M67" i="3"/>
  <c r="D3" i="6"/>
  <c r="D19" i="3"/>
  <c r="K21" i="2"/>
  <c r="K57" i="2"/>
  <c r="E31" i="6"/>
  <c r="E60" i="2"/>
  <c r="L34" i="6"/>
  <c r="E16" i="3"/>
  <c r="E4" i="6" s="1"/>
  <c r="I24" i="6"/>
  <c r="I75" i="3"/>
  <c r="I7" i="3"/>
  <c r="I57" i="3"/>
  <c r="I66" i="3"/>
  <c r="D60" i="3"/>
  <c r="D69" i="3"/>
  <c r="D78" i="3"/>
  <c r="D9" i="3"/>
  <c r="F55" i="2"/>
  <c r="F70" i="3"/>
  <c r="F79" i="3"/>
  <c r="F61" i="3"/>
  <c r="H78" i="3"/>
  <c r="H60" i="3"/>
  <c r="H69" i="3"/>
  <c r="N58" i="2"/>
  <c r="N6" i="3" s="1"/>
  <c r="N30" i="2"/>
  <c r="E32" i="6"/>
  <c r="M59" i="2" l="1"/>
  <c r="M8" i="3" s="1"/>
  <c r="M27" i="6"/>
  <c r="N76" i="3"/>
  <c r="N67" i="3"/>
  <c r="J7" i="3"/>
  <c r="J24" i="6"/>
  <c r="J66" i="3"/>
  <c r="J75" i="3"/>
  <c r="J57" i="3"/>
  <c r="H61" i="3"/>
  <c r="H70" i="3"/>
  <c r="H79" i="3"/>
  <c r="N15" i="2"/>
  <c r="N3" i="3"/>
  <c r="N58" i="3" s="1"/>
  <c r="N16" i="2"/>
  <c r="N17" i="2" s="1"/>
  <c r="N32" i="2"/>
  <c r="N44" i="2"/>
  <c r="N31" i="2"/>
  <c r="I9" i="3"/>
  <c r="I59" i="3"/>
  <c r="I68" i="3"/>
  <c r="I77" i="3"/>
  <c r="K4" i="3"/>
  <c r="F31" i="6"/>
  <c r="F60" i="2"/>
  <c r="G55" i="2"/>
  <c r="L21" i="2"/>
  <c r="L57" i="2"/>
  <c r="E79" i="3"/>
  <c r="E11" i="3"/>
  <c r="E61" i="3"/>
  <c r="E70" i="3"/>
  <c r="H30" i="6"/>
  <c r="M26" i="6"/>
  <c r="M55" i="3"/>
  <c r="M64" i="3"/>
  <c r="M73" i="3"/>
  <c r="E10" i="3"/>
  <c r="E61" i="2"/>
  <c r="D11" i="3"/>
  <c r="D79" i="3"/>
  <c r="D61" i="3"/>
  <c r="D70" i="3"/>
  <c r="I16" i="3"/>
  <c r="I4" i="6" s="1"/>
  <c r="M20" i="2"/>
  <c r="M34" i="6"/>
  <c r="M21" i="2" l="1"/>
  <c r="M57" i="2"/>
  <c r="E3" i="6"/>
  <c r="E19" i="3"/>
  <c r="F32" i="6"/>
  <c r="N59" i="2"/>
  <c r="N8" i="3" s="1"/>
  <c r="N27" i="6"/>
  <c r="E2" i="6"/>
  <c r="N20" i="2"/>
  <c r="K74" i="3"/>
  <c r="K56" i="3"/>
  <c r="K65" i="3"/>
  <c r="K5" i="3"/>
  <c r="N73" i="3"/>
  <c r="N26" i="6"/>
  <c r="N55" i="3"/>
  <c r="N64" i="3"/>
  <c r="L4" i="3"/>
  <c r="D2" i="6"/>
  <c r="D6" i="6" s="1"/>
  <c r="D9" i="6" s="1"/>
  <c r="D13" i="3"/>
  <c r="D5" i="6" s="1"/>
  <c r="I30" i="6"/>
  <c r="G31" i="6"/>
  <c r="G32" i="6" s="1"/>
  <c r="G60" i="2"/>
  <c r="H55" i="2"/>
  <c r="I61" i="3"/>
  <c r="I70" i="3"/>
  <c r="I79" i="3"/>
  <c r="J16" i="3"/>
  <c r="J4" i="6" s="1"/>
  <c r="M60" i="3"/>
  <c r="M69" i="3"/>
  <c r="M78" i="3"/>
  <c r="F10" i="3"/>
  <c r="F61" i="2"/>
  <c r="N34" i="6"/>
  <c r="J9" i="3"/>
  <c r="J77" i="3"/>
  <c r="J59" i="3"/>
  <c r="J68" i="3"/>
  <c r="K24" i="6" l="1"/>
  <c r="K66" i="3"/>
  <c r="K7" i="3"/>
  <c r="K75" i="3"/>
  <c r="K57" i="3"/>
  <c r="G10" i="3"/>
  <c r="G61" i="2"/>
  <c r="N60" i="3"/>
  <c r="N69" i="3"/>
  <c r="N78" i="3"/>
  <c r="J30" i="6"/>
  <c r="H31" i="6"/>
  <c r="H32" i="6" s="1"/>
  <c r="H60" i="2"/>
  <c r="I55" i="2"/>
  <c r="J61" i="3"/>
  <c r="J70" i="3"/>
  <c r="J79" i="3"/>
  <c r="N21" i="2"/>
  <c r="N57" i="2"/>
  <c r="F3" i="6"/>
  <c r="F19" i="3"/>
  <c r="F11" i="3"/>
  <c r="D14" i="3"/>
  <c r="M4" i="3"/>
  <c r="L74" i="3"/>
  <c r="L56" i="3"/>
  <c r="L65" i="3"/>
  <c r="L5" i="3"/>
  <c r="K30" i="6" l="1"/>
  <c r="D14" i="6"/>
  <c r="D15" i="6" s="1"/>
  <c r="D39" i="6"/>
  <c r="D20" i="3"/>
  <c r="L57" i="3"/>
  <c r="L24" i="6"/>
  <c r="L66" i="3"/>
  <c r="L7" i="3"/>
  <c r="L75" i="3"/>
  <c r="K9" i="3"/>
  <c r="K77" i="3"/>
  <c r="K59" i="3"/>
  <c r="K68" i="3"/>
  <c r="F2" i="6"/>
  <c r="N4" i="3"/>
  <c r="I31" i="6"/>
  <c r="I60" i="2"/>
  <c r="J55" i="2"/>
  <c r="K16" i="3"/>
  <c r="K4" i="6" s="1"/>
  <c r="H10" i="3"/>
  <c r="H61" i="2"/>
  <c r="M65" i="3"/>
  <c r="M74" i="3"/>
  <c r="M56" i="3"/>
  <c r="M5" i="3"/>
  <c r="G3" i="6"/>
  <c r="G19" i="3"/>
  <c r="G11" i="3"/>
  <c r="M24" i="6" l="1"/>
  <c r="M57" i="3"/>
  <c r="M66" i="3"/>
  <c r="M7" i="3"/>
  <c r="M75" i="3"/>
  <c r="J31" i="6"/>
  <c r="J32" i="6" s="1"/>
  <c r="J60" i="2"/>
  <c r="K55" i="2"/>
  <c r="I10" i="3"/>
  <c r="I61" i="2"/>
  <c r="K61" i="3"/>
  <c r="K70" i="3"/>
  <c r="K79" i="3"/>
  <c r="D10" i="6"/>
  <c r="D22" i="3"/>
  <c r="D21" i="3"/>
  <c r="I32" i="6"/>
  <c r="E40" i="6"/>
  <c r="D41" i="6"/>
  <c r="N65" i="3"/>
  <c r="N74" i="3"/>
  <c r="N56" i="3"/>
  <c r="N5" i="3"/>
  <c r="G2" i="6"/>
  <c r="H3" i="6"/>
  <c r="H19" i="3"/>
  <c r="H11" i="3"/>
  <c r="L9" i="3"/>
  <c r="L68" i="3"/>
  <c r="L77" i="3"/>
  <c r="L59" i="3"/>
  <c r="L30" i="6"/>
  <c r="L16" i="3"/>
  <c r="L4" i="6" s="1"/>
  <c r="M30" i="6" l="1"/>
  <c r="J10" i="3"/>
  <c r="J61" i="2"/>
  <c r="M68" i="3"/>
  <c r="M9" i="3"/>
  <c r="M77" i="3"/>
  <c r="M59" i="3"/>
  <c r="N24" i="6"/>
  <c r="N57" i="3"/>
  <c r="N66" i="3"/>
  <c r="N7" i="3"/>
  <c r="N75" i="3"/>
  <c r="L79" i="3"/>
  <c r="L61" i="3"/>
  <c r="L70" i="3"/>
  <c r="I3" i="6"/>
  <c r="I19" i="3"/>
  <c r="I11" i="3"/>
  <c r="M16" i="3"/>
  <c r="M4" i="6" s="1"/>
  <c r="H2" i="6"/>
  <c r="D12" i="6"/>
  <c r="D16" i="6" s="1"/>
  <c r="D18" i="6" s="1"/>
  <c r="D36" i="6"/>
  <c r="K31" i="6"/>
  <c r="K32" i="6" s="1"/>
  <c r="K60" i="2"/>
  <c r="L55" i="2"/>
  <c r="D25" i="6" l="1"/>
  <c r="D35" i="6"/>
  <c r="E17" i="6"/>
  <c r="I2" i="6"/>
  <c r="N59" i="3"/>
  <c r="N68" i="3"/>
  <c r="N9" i="3"/>
  <c r="N77" i="3"/>
  <c r="K10" i="3"/>
  <c r="K61" i="2"/>
  <c r="L31" i="6"/>
  <c r="L32" i="6" s="1"/>
  <c r="L60" i="2"/>
  <c r="M55" i="2"/>
  <c r="N16" i="3"/>
  <c r="N4" i="6" s="1"/>
  <c r="J3" i="6"/>
  <c r="J19" i="3"/>
  <c r="J11" i="3"/>
  <c r="N30" i="6"/>
  <c r="M79" i="3"/>
  <c r="M61" i="3"/>
  <c r="M70" i="3"/>
  <c r="N70" i="3" l="1"/>
  <c r="N79" i="3"/>
  <c r="N61" i="3"/>
  <c r="M31" i="6"/>
  <c r="M32" i="6" s="1"/>
  <c r="M60" i="2"/>
  <c r="N55" i="2"/>
  <c r="O30" i="6"/>
  <c r="L10" i="3"/>
  <c r="L61" i="2"/>
  <c r="D19" i="6"/>
  <c r="D21" i="6" s="1"/>
  <c r="D20" i="6"/>
  <c r="D37" i="6"/>
  <c r="D42" i="6" s="1"/>
  <c r="D43" i="6" s="1"/>
  <c r="E11" i="6"/>
  <c r="E12" i="3" s="1"/>
  <c r="D29" i="6"/>
  <c r="D33" i="6" s="1"/>
  <c r="J2" i="6"/>
  <c r="K3" i="6"/>
  <c r="K19" i="3"/>
  <c r="K11" i="3"/>
  <c r="K2" i="6" l="1"/>
  <c r="M10" i="3"/>
  <c r="M61" i="2"/>
  <c r="L3" i="6"/>
  <c r="L19" i="3"/>
  <c r="L11" i="3"/>
  <c r="N31" i="6"/>
  <c r="N60" i="2"/>
  <c r="O55" i="2"/>
  <c r="E15" i="3"/>
  <c r="E13" i="3"/>
  <c r="E5" i="6" s="1"/>
  <c r="E6" i="6" s="1"/>
  <c r="E9" i="6" s="1"/>
  <c r="E14" i="3"/>
  <c r="M3" i="6" l="1"/>
  <c r="M19" i="3"/>
  <c r="M11" i="3"/>
  <c r="O31" i="6"/>
  <c r="N32" i="6"/>
  <c r="L2" i="6"/>
  <c r="E14" i="6"/>
  <c r="E15" i="6" s="1"/>
  <c r="E20" i="3"/>
  <c r="E39" i="6"/>
  <c r="N10" i="3"/>
  <c r="N61" i="2"/>
  <c r="N3" i="6" l="1"/>
  <c r="N19" i="3"/>
  <c r="N11" i="3"/>
  <c r="F40" i="6"/>
  <c r="E41" i="6"/>
  <c r="E10" i="6"/>
  <c r="E21" i="3"/>
  <c r="E22" i="3"/>
  <c r="M2" i="6"/>
  <c r="N2" i="6" l="1"/>
  <c r="E12" i="6"/>
  <c r="E16" i="6" s="1"/>
  <c r="E18" i="6" s="1"/>
  <c r="E36" i="6"/>
  <c r="E25" i="6" l="1"/>
  <c r="E35" i="6"/>
  <c r="F17" i="6"/>
  <c r="F11" i="6" l="1"/>
  <c r="F12" i="3" s="1"/>
  <c r="E29" i="6"/>
  <c r="E33" i="6" s="1"/>
  <c r="E19" i="6"/>
  <c r="E21" i="6" s="1"/>
  <c r="E20" i="6"/>
  <c r="E37" i="6"/>
  <c r="E42" i="6" s="1"/>
  <c r="F15" i="3" l="1"/>
  <c r="F13" i="3"/>
  <c r="F5" i="6" s="1"/>
  <c r="F6" i="6" s="1"/>
  <c r="F9" i="6" s="1"/>
  <c r="E43" i="6"/>
  <c r="F14" i="3" l="1"/>
  <c r="F39" i="6" l="1"/>
  <c r="F14" i="6"/>
  <c r="F15" i="6" s="1"/>
  <c r="F20" i="3"/>
  <c r="F10" i="6" l="1"/>
  <c r="F21" i="3"/>
  <c r="F22" i="3"/>
  <c r="G40" i="6"/>
  <c r="F41" i="6"/>
  <c r="F36" i="6" l="1"/>
  <c r="F12" i="6"/>
  <c r="F16" i="6" s="1"/>
  <c r="F18" i="6" s="1"/>
  <c r="F25" i="6" l="1"/>
  <c r="F35" i="6"/>
  <c r="G17" i="6"/>
  <c r="F19" i="6" l="1"/>
  <c r="F20" i="6"/>
  <c r="F37" i="6"/>
  <c r="F42" i="6" s="1"/>
  <c r="G11" i="6"/>
  <c r="G12" i="3" s="1"/>
  <c r="F29" i="6"/>
  <c r="F33" i="6" s="1"/>
  <c r="F21" i="6" l="1"/>
  <c r="F43" i="6"/>
  <c r="G15" i="3"/>
  <c r="G13" i="3"/>
  <c r="G5" i="6" s="1"/>
  <c r="G6" i="6" s="1"/>
  <c r="G9" i="6" s="1"/>
  <c r="G14" i="3" l="1"/>
  <c r="G39" i="6" l="1"/>
  <c r="G14" i="6"/>
  <c r="G15" i="6" s="1"/>
  <c r="G20" i="3"/>
  <c r="G10" i="6" l="1"/>
  <c r="G21" i="3"/>
  <c r="G22" i="3"/>
  <c r="H40" i="6"/>
  <c r="G41" i="6"/>
  <c r="G12" i="6" l="1"/>
  <c r="G16" i="6" s="1"/>
  <c r="G18" i="6" s="1"/>
  <c r="G36" i="6"/>
  <c r="H17" i="6" l="1"/>
  <c r="G25" i="6"/>
  <c r="G35" i="6"/>
  <c r="G20" i="6" l="1"/>
  <c r="G19" i="6"/>
  <c r="G21" i="6" s="1"/>
  <c r="G37" i="6"/>
  <c r="G42" i="6" s="1"/>
  <c r="H11" i="6"/>
  <c r="H12" i="3" s="1"/>
  <c r="G29" i="6"/>
  <c r="G33" i="6" s="1"/>
  <c r="G43" i="6" l="1"/>
  <c r="H15" i="3"/>
  <c r="H14" i="3"/>
  <c r="H13" i="3"/>
  <c r="H5" i="6" s="1"/>
  <c r="H6" i="6" s="1"/>
  <c r="H9" i="6" s="1"/>
  <c r="H39" i="6" l="1"/>
  <c r="H14" i="6"/>
  <c r="H15" i="6" s="1"/>
  <c r="H20" i="3"/>
  <c r="I40" i="6" l="1"/>
  <c r="H41" i="6"/>
  <c r="H10" i="6"/>
  <c r="H21" i="3"/>
  <c r="H22" i="3"/>
  <c r="H36" i="6" l="1"/>
  <c r="H12" i="6"/>
  <c r="H16" i="6" s="1"/>
  <c r="H18" i="6" s="1"/>
  <c r="I17" i="6" l="1"/>
  <c r="H25" i="6"/>
  <c r="H35" i="6"/>
  <c r="H20" i="6" l="1"/>
  <c r="H19" i="6"/>
  <c r="H37" i="6"/>
  <c r="H42" i="6" s="1"/>
  <c r="I11" i="6"/>
  <c r="I12" i="3" s="1"/>
  <c r="H29" i="6"/>
  <c r="H33" i="6" s="1"/>
  <c r="H43" i="6" s="1"/>
  <c r="I15" i="3" l="1"/>
  <c r="I13" i="3"/>
  <c r="I5" i="6" s="1"/>
  <c r="I6" i="6" s="1"/>
  <c r="I9" i="6" s="1"/>
  <c r="I14" i="3"/>
  <c r="H21" i="6"/>
  <c r="I14" i="6" l="1"/>
  <c r="I15" i="6" s="1"/>
  <c r="I39" i="6"/>
  <c r="I20" i="3"/>
  <c r="I10" i="6" l="1"/>
  <c r="I21" i="3"/>
  <c r="I22" i="3"/>
  <c r="J40" i="6"/>
  <c r="I41" i="6"/>
  <c r="I12" i="6" l="1"/>
  <c r="I16" i="6" s="1"/>
  <c r="I18" i="6" s="1"/>
  <c r="I36" i="6"/>
  <c r="J17" i="6" l="1"/>
  <c r="I35" i="6"/>
  <c r="I25" i="6"/>
  <c r="J11" i="6" l="1"/>
  <c r="J12" i="3" s="1"/>
  <c r="I29" i="6"/>
  <c r="I33" i="6" s="1"/>
  <c r="I20" i="6"/>
  <c r="I19" i="6"/>
  <c r="I21" i="6" s="1"/>
  <c r="I37" i="6"/>
  <c r="I42" i="6" s="1"/>
  <c r="I43" i="6" l="1"/>
  <c r="J15" i="3"/>
  <c r="J13" i="3"/>
  <c r="J5" i="6" s="1"/>
  <c r="J6" i="6" s="1"/>
  <c r="J9" i="6" s="1"/>
  <c r="J14" i="3" l="1"/>
  <c r="J14" i="6" l="1"/>
  <c r="J15" i="6" s="1"/>
  <c r="J39" i="6"/>
  <c r="J20" i="3"/>
  <c r="K40" i="6" l="1"/>
  <c r="J41" i="6"/>
  <c r="J10" i="6"/>
  <c r="J21" i="3"/>
  <c r="J22" i="3"/>
  <c r="J36" i="6" l="1"/>
  <c r="J12" i="6"/>
  <c r="J16" i="6" s="1"/>
  <c r="J18" i="6" s="1"/>
  <c r="J25" i="6" l="1"/>
  <c r="J35" i="6"/>
  <c r="K17" i="6"/>
  <c r="K11" i="6" l="1"/>
  <c r="K12" i="3" s="1"/>
  <c r="J29" i="6"/>
  <c r="J33" i="6" s="1"/>
  <c r="J19" i="6"/>
  <c r="J20" i="6"/>
  <c r="J37" i="6"/>
  <c r="J42" i="6" s="1"/>
  <c r="J21" i="6" l="1"/>
  <c r="K15" i="3"/>
  <c r="K13" i="3"/>
  <c r="K5" i="6" s="1"/>
  <c r="K6" i="6" s="1"/>
  <c r="K9" i="6" s="1"/>
  <c r="J43" i="6"/>
  <c r="K14" i="3" l="1"/>
  <c r="K14" i="6" l="1"/>
  <c r="K15" i="6" s="1"/>
  <c r="K39" i="6"/>
  <c r="K20" i="3"/>
  <c r="K10" i="6" l="1"/>
  <c r="K21" i="3"/>
  <c r="K22" i="3"/>
  <c r="L40" i="6"/>
  <c r="K41" i="6"/>
  <c r="K36" i="6" l="1"/>
  <c r="K12" i="6"/>
  <c r="K16" i="6" s="1"/>
  <c r="K18" i="6" s="1"/>
  <c r="K25" i="6" l="1"/>
  <c r="K35" i="6"/>
  <c r="L17" i="6"/>
  <c r="K19" i="6" l="1"/>
  <c r="K20" i="6"/>
  <c r="K37" i="6"/>
  <c r="K42" i="6" s="1"/>
  <c r="L11" i="6"/>
  <c r="L12" i="3" s="1"/>
  <c r="K29" i="6"/>
  <c r="K33" i="6" s="1"/>
  <c r="K43" i="6" s="1"/>
  <c r="L15" i="3" l="1"/>
  <c r="L13" i="3"/>
  <c r="L5" i="6" s="1"/>
  <c r="L6" i="6" s="1"/>
  <c r="L9" i="6" s="1"/>
  <c r="L14" i="3"/>
  <c r="K21" i="6"/>
  <c r="L14" i="6" l="1"/>
  <c r="L15" i="6" s="1"/>
  <c r="L39" i="6"/>
  <c r="L20" i="3"/>
  <c r="L10" i="6" l="1"/>
  <c r="L21" i="3"/>
  <c r="L22" i="3"/>
  <c r="M40" i="6"/>
  <c r="L41" i="6"/>
  <c r="L36" i="6" l="1"/>
  <c r="L12" i="6"/>
  <c r="L16" i="6" s="1"/>
  <c r="L18" i="6" s="1"/>
  <c r="L25" i="6" l="1"/>
  <c r="L35" i="6"/>
  <c r="M17" i="6"/>
  <c r="M11" i="6" l="1"/>
  <c r="M12" i="3" s="1"/>
  <c r="L29" i="6"/>
  <c r="L33" i="6" s="1"/>
  <c r="L19" i="6"/>
  <c r="L20" i="6"/>
  <c r="L37" i="6"/>
  <c r="L42" i="6" s="1"/>
  <c r="L21" i="6" l="1"/>
  <c r="L43" i="6"/>
  <c r="M15" i="3"/>
  <c r="M13" i="3"/>
  <c r="M5" i="6" s="1"/>
  <c r="M6" i="6" s="1"/>
  <c r="M9" i="6" s="1"/>
  <c r="M14" i="3" l="1"/>
  <c r="M14" i="6" l="1"/>
  <c r="M15" i="6" s="1"/>
  <c r="M20" i="3"/>
  <c r="M39" i="6"/>
  <c r="N40" i="6" l="1"/>
  <c r="M41" i="6"/>
  <c r="M10" i="6"/>
  <c r="M21" i="3"/>
  <c r="M22" i="3"/>
  <c r="M36" i="6" l="1"/>
  <c r="M12" i="6"/>
  <c r="M16" i="6" s="1"/>
  <c r="M18" i="6" s="1"/>
  <c r="M25" i="6" l="1"/>
  <c r="M35" i="6"/>
  <c r="N17" i="6"/>
  <c r="M19" i="6" l="1"/>
  <c r="M20" i="6"/>
  <c r="M37" i="6"/>
  <c r="M42" i="6" s="1"/>
  <c r="N11" i="6"/>
  <c r="N12" i="3" s="1"/>
  <c r="M29" i="6"/>
  <c r="M33" i="6" s="1"/>
  <c r="M43" i="6" s="1"/>
  <c r="N15" i="3" l="1"/>
  <c r="N13" i="3"/>
  <c r="N5" i="6" s="1"/>
  <c r="N6" i="6" s="1"/>
  <c r="N9" i="6" s="1"/>
  <c r="N14" i="3"/>
  <c r="M21" i="6"/>
  <c r="O9" i="6" l="1"/>
  <c r="N39" i="6"/>
  <c r="N41" i="6" s="1"/>
  <c r="N14" i="6"/>
  <c r="N15" i="6" s="1"/>
  <c r="N20" i="3"/>
  <c r="N10" i="6" l="1"/>
  <c r="N21" i="3"/>
  <c r="N22" i="3"/>
  <c r="O10" i="6" l="1"/>
  <c r="N12" i="6"/>
  <c r="N16" i="6" s="1"/>
  <c r="N18" i="6" s="1"/>
  <c r="N36" i="6"/>
  <c r="N25" i="6" l="1"/>
  <c r="N29" i="6" s="1"/>
  <c r="N33" i="6" s="1"/>
  <c r="N35" i="6"/>
  <c r="N19" i="6" l="1"/>
  <c r="N20" i="6"/>
  <c r="N37" i="6"/>
  <c r="N42" i="6" s="1"/>
  <c r="N43" i="6"/>
  <c r="N21" i="6" l="1"/>
</calcChain>
</file>

<file path=xl/sharedStrings.xml><?xml version="1.0" encoding="utf-8"?>
<sst xmlns="http://schemas.openxmlformats.org/spreadsheetml/2006/main" count="534" uniqueCount="277">
  <si>
    <t>Depreciation Choice</t>
  </si>
  <si>
    <t>Less:  Depreciation (200% DDB)</t>
  </si>
  <si>
    <t>Less:  Depreciation (Straight Line)</t>
  </si>
  <si>
    <t>Market Size</t>
  </si>
  <si>
    <t>Number</t>
  </si>
  <si>
    <t>Percentage</t>
  </si>
  <si>
    <t>LT carriers in the US @ industry consolidation effect</t>
  </si>
  <si>
    <t>Industry Report (more than) / Consolidation assumption</t>
  </si>
  <si>
    <t>Class 7 &amp; 8 trucks in the US @ GDP Growth</t>
  </si>
  <si>
    <t>Units</t>
  </si>
  <si>
    <t>Class 8 trucks in the US @ % of class 7 &amp; 8</t>
  </si>
  <si>
    <t>Class 8 trucks w/sleepers in the US @ % of class 8</t>
  </si>
  <si>
    <t>Class 8 trucks w/sleepers in the US</t>
  </si>
  <si>
    <t>Team target</t>
  </si>
  <si>
    <t>Class 8 trucks in the US</t>
  </si>
  <si>
    <t>Class 7 &amp; 8 trucks in the US</t>
  </si>
  <si>
    <t>Targeted Market Share of Trucks in the US</t>
  </si>
  <si>
    <t>Average class 8 trucks w/sleepers in the US</t>
  </si>
  <si>
    <t>Average size of carrier @ size depreciation</t>
  </si>
  <si>
    <t>New carriers @ EOY</t>
  </si>
  <si>
    <t>Expected Truck &amp; Companies under Contract EOY</t>
  </si>
  <si>
    <t>Team assumption</t>
  </si>
  <si>
    <t>Cumulative carriers</t>
  </si>
  <si>
    <t>Days / Year</t>
  </si>
  <si>
    <t>Mandatory idling per day</t>
  </si>
  <si>
    <t>Hours / Day</t>
  </si>
  <si>
    <t>Weather factor (anti-idling factor)</t>
  </si>
  <si>
    <t>Hours / Year</t>
  </si>
  <si>
    <t>Idling time per truck</t>
  </si>
  <si>
    <t>Traffic &amp; Volume</t>
  </si>
  <si>
    <t>$ / Gallon</t>
  </si>
  <si>
    <t>Long-run average @ Team assumption</t>
  </si>
  <si>
    <t>Fuel cost (diesel)</t>
  </si>
  <si>
    <t>Gallons / Hour</t>
  </si>
  <si>
    <t>Pricing</t>
  </si>
  <si>
    <t>Hours</t>
  </si>
  <si>
    <t>$ / Hour</t>
  </si>
  <si>
    <t>Revenues</t>
  </si>
  <si>
    <t>Cable TV, telephone &amp; internet access</t>
  </si>
  <si>
    <t>$ / Year</t>
  </si>
  <si>
    <t>Truck Idling opportunity cost</t>
  </si>
  <si>
    <t>Truck Idling cost</t>
  </si>
  <si>
    <t>Anti-idling parking places reserved</t>
  </si>
  <si>
    <t>Anti-idling parking places spot</t>
  </si>
  <si>
    <t>Hourly reserved price</t>
  </si>
  <si>
    <t>$</t>
  </si>
  <si>
    <t>Average idling @ Market share</t>
  </si>
  <si>
    <t>Total revenues</t>
  </si>
  <si>
    <t>Anti-Idling reserved slots</t>
  </si>
  <si>
    <t>Anti-Idling spot slot</t>
  </si>
  <si>
    <t>Team Analysis &amp; DOT</t>
  </si>
  <si>
    <t>Idling time per reefer</t>
  </si>
  <si>
    <t>No weather effect</t>
  </si>
  <si>
    <t>Truck fuel consumption while idling</t>
  </si>
  <si>
    <t>Reefer fuel consumption while idling</t>
  </si>
  <si>
    <t>Team Analysis</t>
  </si>
  <si>
    <t>Reefer Idling cost</t>
  </si>
  <si>
    <t>Reefer Idling opportunity cost</t>
  </si>
  <si>
    <t>@</t>
  </si>
  <si>
    <t>Revenue Share</t>
  </si>
  <si>
    <t>Originators @ percentage of revenues</t>
  </si>
  <si>
    <t>Total revenue share</t>
  </si>
  <si>
    <t>Direct Variable Expenses</t>
  </si>
  <si>
    <t>$ / kWh</t>
  </si>
  <si>
    <t>Truck anti-idling power consumption</t>
  </si>
  <si>
    <t>Reefer anti-idling power consumption</t>
  </si>
  <si>
    <t>Total anti-idling power consumption</t>
  </si>
  <si>
    <t>Total power consumption</t>
  </si>
  <si>
    <t>kWh / Year</t>
  </si>
  <si>
    <t>kWh / Hour</t>
  </si>
  <si>
    <t>Electricity cost</t>
  </si>
  <si>
    <t>Incremental power required from anti-idling units for accessories</t>
  </si>
  <si>
    <t>Operating Expense</t>
  </si>
  <si>
    <t>Anti-idling units repairs</t>
  </si>
  <si>
    <t>Accident &amp; vandalism</t>
  </si>
  <si>
    <t>$ / Unit</t>
  </si>
  <si>
    <t>Team Analysis (IA)</t>
  </si>
  <si>
    <t>$ / Truck</t>
  </si>
  <si>
    <t>Team Analysis / NPW / AOL</t>
  </si>
  <si>
    <t>Capex &amp; Depreciation</t>
  </si>
  <si>
    <t>Total</t>
  </si>
  <si>
    <t>Argonne National Laboratories</t>
  </si>
  <si>
    <t>Average long-run price of electricity</t>
  </si>
  <si>
    <t>DOT Hours of Service Legislation</t>
  </si>
  <si>
    <t>Other Services Volume &amp; Price</t>
  </si>
  <si>
    <t>Units / Year</t>
  </si>
  <si>
    <t>New aniti-idling parking required</t>
  </si>
  <si>
    <t>Construction lead time</t>
  </si>
  <si>
    <t>Months</t>
  </si>
  <si>
    <t>Required units built</t>
  </si>
  <si>
    <t>All-In Anti-Idling Unit cost</t>
  </si>
  <si>
    <t>Depreciation</t>
  </si>
  <si>
    <t>Depreciation @ Years</t>
  </si>
  <si>
    <t>Gross revenues</t>
  </si>
  <si>
    <t>Revenues share</t>
  </si>
  <si>
    <t>Net revenues</t>
  </si>
  <si>
    <t>Direct cost</t>
  </si>
  <si>
    <t>Marginal contribution</t>
  </si>
  <si>
    <t>OPEX</t>
  </si>
  <si>
    <t>EBIT</t>
  </si>
  <si>
    <t>EBITDA</t>
  </si>
  <si>
    <t>Taxes</t>
  </si>
  <si>
    <t>Capex</t>
  </si>
  <si>
    <t>Free Cash Flow</t>
  </si>
  <si>
    <t>%</t>
  </si>
  <si>
    <t>$/Unit</t>
  </si>
  <si>
    <t>$/Truck</t>
  </si>
  <si>
    <t>Initial Development Cost</t>
  </si>
  <si>
    <t>Initial development cost (Capex)</t>
  </si>
  <si>
    <t>Total Operations Capex</t>
  </si>
  <si>
    <t>Opex and R&amp;D</t>
  </si>
  <si>
    <t>Average days trucks spent on the road</t>
  </si>
  <si>
    <t>Idling : Hours</t>
  </si>
  <si>
    <t>Average idling time</t>
  </si>
  <si>
    <t>Average hours inside truck</t>
  </si>
  <si>
    <t>Minimum</t>
  </si>
  <si>
    <t>Maximum</t>
  </si>
  <si>
    <t>Average hours driven per day</t>
  </si>
  <si>
    <t>Average</t>
  </si>
  <si>
    <t>Mandatory Idling ratio to hours driven</t>
  </si>
  <si>
    <t>Cost of diesel</t>
  </si>
  <si>
    <t>Diesel consumption while idling</t>
  </si>
  <si>
    <t>Net idling cost of fuel</t>
  </si>
  <si>
    <t>$ / Day</t>
  </si>
  <si>
    <t>Miles equivalent wear &amp; tear per hour of net idling</t>
  </si>
  <si>
    <t>Miles / Hour</t>
  </si>
  <si>
    <t>Net cost per idling mile</t>
  </si>
  <si>
    <t>$ / Mile</t>
  </si>
  <si>
    <t>Net wear &amp; tear cost</t>
  </si>
  <si>
    <t>Net idling cost of wear &amp; tear</t>
  </si>
  <si>
    <t>Total net anti-idling direct savings</t>
  </si>
  <si>
    <t>Class 8 trucks w/sleepers and reefers @ Mkt share</t>
  </si>
  <si>
    <t>Industry Report</t>
  </si>
  <si>
    <t>Growth in number of trucks</t>
  </si>
  <si>
    <t>Growth in number of carriers</t>
  </si>
  <si>
    <t>Average working days of TL</t>
  </si>
  <si>
    <t>Team Assumption - Argonne National Laboratories</t>
  </si>
  <si>
    <t>Team basic calculations - Argonne National Laboratories 305 days</t>
  </si>
  <si>
    <t>Value o Fuel Savings</t>
  </si>
  <si>
    <t>Truck manufacturers 1.0 - Argonne National Laboratories 1.2</t>
  </si>
  <si>
    <t>Team Analysis - Equipment manufacturers</t>
  </si>
  <si>
    <t>Considering net hours of idling per year</t>
  </si>
  <si>
    <t>Considering truck : reefer relationship</t>
  </si>
  <si>
    <t>Weigthed average anti-idling unit opportunity cost</t>
  </si>
  <si>
    <t>Reserved price discount (take-or-pay) over spot</t>
  </si>
  <si>
    <t>Hourly spot price</t>
  </si>
  <si>
    <t>Cable TV take rate</t>
  </si>
  <si>
    <t>Usage while idling</t>
  </si>
  <si>
    <t>Cable TV</t>
  </si>
  <si>
    <t>Local telephone services</t>
  </si>
  <si>
    <t>$ / Access</t>
  </si>
  <si>
    <t>Local telephone service take rate</t>
  </si>
  <si>
    <t>Long-distance telephone services</t>
  </si>
  <si>
    <t>Cable TV revenues</t>
  </si>
  <si>
    <t>Local telephone service revenues</t>
  </si>
  <si>
    <t>$ / Minutes</t>
  </si>
  <si>
    <t>Long-distance telephone services take-rate</t>
  </si>
  <si>
    <t>Long distance revenues</t>
  </si>
  <si>
    <t>Minutes / Event</t>
  </si>
  <si>
    <t>Internet services</t>
  </si>
  <si>
    <t>Internet services take rate</t>
  </si>
  <si>
    <t>Internet services revenues</t>
  </si>
  <si>
    <t>Carriers</t>
  </si>
  <si>
    <t>Carriers @ percentage of fuel savings</t>
  </si>
  <si>
    <t>Wear &amp; tear</t>
  </si>
  <si>
    <t>Opportunity cost</t>
  </si>
  <si>
    <t>Idling equivalent wear &amp; tear miles</t>
  </si>
  <si>
    <t>Miles</t>
  </si>
  <si>
    <t>Carriers @ percentage of fuel wear &amp; tear</t>
  </si>
  <si>
    <t>Total virtual revenue / savings to carriers</t>
  </si>
  <si>
    <t>Total virtual revenue / savings per truck</t>
  </si>
  <si>
    <t>Total virtual revenue / savings on wear &amp; tear</t>
  </si>
  <si>
    <t>Total virtual revenue / savings on fuel</t>
  </si>
  <si>
    <t>Others</t>
  </si>
  <si>
    <t>Truck stop revenues</t>
  </si>
  <si>
    <t>$ / Spot</t>
  </si>
  <si>
    <t>Truck drivers incentives @ percentage of revenues</t>
  </si>
  <si>
    <t>Truck drivers incentives</t>
  </si>
  <si>
    <t>Truck stops @ percentage of revenues</t>
  </si>
  <si>
    <t>$ / Driver</t>
  </si>
  <si>
    <t>Originators commision per fleet contract</t>
  </si>
  <si>
    <t>$ / Contract</t>
  </si>
  <si>
    <t>Team Analysis - Argonne National Laboratories</t>
  </si>
  <si>
    <t>Team target is 0.075</t>
  </si>
  <si>
    <t>Team Analysis - IdleAire</t>
  </si>
  <si>
    <t>Net Income</t>
  </si>
  <si>
    <t>Usage life</t>
  </si>
  <si>
    <t>Years</t>
  </si>
  <si>
    <t>WEAR &amp; TEAR</t>
  </si>
  <si>
    <t>MAIN CONCEPTS</t>
  </si>
  <si>
    <t>Average number of units required</t>
  </si>
  <si>
    <t>ANTI-IDLING UNITS BUIL-UP</t>
  </si>
  <si>
    <t>Capacity target</t>
  </si>
  <si>
    <t>Trucks</t>
  </si>
  <si>
    <t>Gross number of anti-idling units required</t>
  </si>
  <si>
    <t>Net number of anti-idling units required</t>
  </si>
  <si>
    <t>Total installed capacity</t>
  </si>
  <si>
    <t>Gross average idling time</t>
  </si>
  <si>
    <t>Number of truck stops equipped</t>
  </si>
  <si>
    <t>Average number of anti-idling units per truck stops</t>
  </si>
  <si>
    <t>Average parking places per truck stops</t>
  </si>
  <si>
    <t>Major truck stops in the US</t>
  </si>
  <si>
    <t>Long-haul TL places at truck stops in the US</t>
  </si>
  <si>
    <t>Capacity utilization @ truck stops</t>
  </si>
  <si>
    <t>Net idling (revenue driven) capacity utilization</t>
  </si>
  <si>
    <t>Days</t>
  </si>
  <si>
    <t>Net number of hours spent idling inside the truck</t>
  </si>
  <si>
    <t>Average number of days on the road</t>
  </si>
  <si>
    <t>Units per truck installed</t>
  </si>
  <si>
    <t>Market share of total US MAJOR LH-TL truck stops</t>
  </si>
  <si>
    <t>Market share of total US MAJOR LH-TL truck stops parking places</t>
  </si>
  <si>
    <t>PERIOD</t>
  </si>
  <si>
    <t>Fleet card fees @ percentage of revenues</t>
  </si>
  <si>
    <t>Other direct variable expenses @ percentage of revenues</t>
  </si>
  <si>
    <t>IA</t>
  </si>
  <si>
    <t>Casualty &amp; property insurance</t>
  </si>
  <si>
    <t>Telephone services</t>
  </si>
  <si>
    <t>Cable TV services</t>
  </si>
  <si>
    <t>WAN</t>
  </si>
  <si>
    <t>$ / TS</t>
  </si>
  <si>
    <t>Anti-idling units installation</t>
  </si>
  <si>
    <t>S G &amp; A</t>
  </si>
  <si>
    <t>Back office fulfillment, operations &amp; reservation system</t>
  </si>
  <si>
    <t>Total Operating Costs</t>
  </si>
  <si>
    <t>R&amp;D @ Revenues @ 1 MM cap</t>
  </si>
  <si>
    <t>Shifts per antl-Idling unit</t>
  </si>
  <si>
    <t>Simultaneous trucks on the road</t>
  </si>
  <si>
    <t>DOT Simutaneous trucks on the road @ any given moment</t>
  </si>
  <si>
    <t>IRR</t>
  </si>
  <si>
    <t>Running NPV</t>
  </si>
  <si>
    <t>Gross Idling capacity utlization</t>
  </si>
  <si>
    <t>Index</t>
  </si>
  <si>
    <t>ENE</t>
  </si>
  <si>
    <t>Heating Oil Index on average current price</t>
  </si>
  <si>
    <t>FUEL SAVINGS TRUCK</t>
  </si>
  <si>
    <t>`</t>
  </si>
  <si>
    <t>TOTAL AVERAGE SAVINGS OR OPPORTUNITY COST FROM IDLING</t>
  </si>
  <si>
    <t>Receivables</t>
  </si>
  <si>
    <t>Cash investments</t>
  </si>
  <si>
    <t>Maintainence &amp; repair reserve</t>
  </si>
  <si>
    <t>Current Assets</t>
  </si>
  <si>
    <t>Anti-Idling Units &amp; Infrastructure</t>
  </si>
  <si>
    <t>Fixed Assets</t>
  </si>
  <si>
    <t>Total Assets</t>
  </si>
  <si>
    <t>Inventory</t>
  </si>
  <si>
    <t>Accumulated depreciation</t>
  </si>
  <si>
    <t>Payables</t>
  </si>
  <si>
    <t>Common stock</t>
  </si>
  <si>
    <t>Period's net income</t>
  </si>
  <si>
    <t>Retained Earnings</t>
  </si>
  <si>
    <t>Shareholders capital</t>
  </si>
  <si>
    <t>Liabilities</t>
  </si>
  <si>
    <t>Dividends</t>
  </si>
  <si>
    <t>Equity cash flow</t>
  </si>
  <si>
    <t>Operating Cash Flow</t>
  </si>
  <si>
    <t>Capital</t>
  </si>
  <si>
    <t>Interests</t>
  </si>
  <si>
    <t>Investment in working capital</t>
  </si>
  <si>
    <t>Operating Cash @ Days of cash</t>
  </si>
  <si>
    <t>Interest</t>
  </si>
  <si>
    <t>Financing cash flow</t>
  </si>
  <si>
    <t>Working capital investment</t>
  </si>
  <si>
    <t>Net cash generated</t>
  </si>
  <si>
    <t>Cash at begginning of the year</t>
  </si>
  <si>
    <t>Liabilities &amp; Equity</t>
  </si>
  <si>
    <t>Asset cash flow</t>
  </si>
  <si>
    <t>Investment in assets</t>
  </si>
  <si>
    <t>LT Debt</t>
  </si>
  <si>
    <t>ST Debt</t>
  </si>
  <si>
    <t>New additional ST loans</t>
  </si>
  <si>
    <t>New LT debt</t>
  </si>
  <si>
    <t>LT Debt paid down</t>
  </si>
  <si>
    <t>ST debt paid down</t>
  </si>
  <si>
    <t>Net ST debt financing</t>
  </si>
  <si>
    <t>Total cash @ year end</t>
  </si>
  <si>
    <t>CASH FLOW STATEMENT</t>
  </si>
  <si>
    <t>BALANCE SHEET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</si>
</sst>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_);_(* \(#,##0.0\);_(* &quot;-&quot;??_);_(@_)"/>
    <numFmt numFmtId="173" formatCode="0.0%"/>
    <numFmt numFmtId="175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u val="singleAccounting"/>
      <sz val="8"/>
      <name val="Arial Narrow"/>
      <family val="2"/>
    </font>
    <font>
      <b/>
      <u val="singleAccounting"/>
      <sz val="8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43" fontId="3" fillId="0" borderId="0" xfId="1" applyFont="1"/>
    <xf numFmtId="0" fontId="3" fillId="0" borderId="0" xfId="0" applyFont="1"/>
    <xf numFmtId="43" fontId="3" fillId="0" borderId="0" xfId="1" applyFont="1" applyBorder="1" applyAlignment="1">
      <alignment horizontal="left"/>
    </xf>
    <xf numFmtId="43" fontId="3" fillId="0" borderId="0" xfId="1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43" fontId="3" fillId="0" borderId="0" xfId="1" applyFont="1" applyFill="1" applyBorder="1" applyAlignment="1">
      <alignment horizontal="left"/>
    </xf>
    <xf numFmtId="165" fontId="4" fillId="0" borderId="0" xfId="1" applyNumberFormat="1" applyFont="1" applyBorder="1"/>
    <xf numFmtId="9" fontId="3" fillId="0" borderId="0" xfId="0" applyNumberFormat="1" applyFont="1" applyBorder="1"/>
    <xf numFmtId="9" fontId="3" fillId="0" borderId="0" xfId="2" applyFont="1" applyBorder="1"/>
    <xf numFmtId="9" fontId="4" fillId="0" borderId="0" xfId="2" applyFont="1" applyBorder="1"/>
    <xf numFmtId="43" fontId="3" fillId="0" borderId="0" xfId="1" applyFont="1" applyBorder="1"/>
    <xf numFmtId="43" fontId="4" fillId="0" borderId="0" xfId="1" applyFont="1" applyBorder="1"/>
    <xf numFmtId="43" fontId="5" fillId="0" borderId="0" xfId="1" applyFont="1" applyBorder="1"/>
    <xf numFmtId="9" fontId="6" fillId="2" borderId="0" xfId="2" applyNumberFormat="1" applyFont="1" applyFill="1" applyBorder="1"/>
    <xf numFmtId="9" fontId="3" fillId="0" borderId="0" xfId="2" applyNumberFormat="1" applyFont="1" applyFill="1" applyBorder="1"/>
    <xf numFmtId="175" fontId="6" fillId="2" borderId="0" xfId="1" applyNumberFormat="1" applyFont="1" applyFill="1" applyBorder="1"/>
    <xf numFmtId="175" fontId="3" fillId="0" borderId="0" xfId="1" applyNumberFormat="1" applyFont="1" applyFill="1" applyBorder="1"/>
    <xf numFmtId="43" fontId="6" fillId="2" borderId="0" xfId="1" applyNumberFormat="1" applyFont="1" applyFill="1" applyBorder="1"/>
    <xf numFmtId="43" fontId="3" fillId="0" borderId="0" xfId="1" applyNumberFormat="1" applyFont="1" applyFill="1" applyBorder="1"/>
    <xf numFmtId="44" fontId="2" fillId="0" borderId="0" xfId="0" applyNumberFormat="1" applyFont="1"/>
    <xf numFmtId="43" fontId="3" fillId="0" borderId="0" xfId="2" applyNumberFormat="1" applyFont="1" applyFill="1" applyBorder="1"/>
    <xf numFmtId="165" fontId="3" fillId="0" borderId="0" xfId="1" applyNumberFormat="1" applyFont="1" applyFill="1" applyBorder="1"/>
    <xf numFmtId="43" fontId="3" fillId="0" borderId="0" xfId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175" fontId="3" fillId="0" borderId="0" xfId="0" applyNumberFormat="1" applyFont="1" applyBorder="1"/>
    <xf numFmtId="165" fontId="6" fillId="2" borderId="0" xfId="1" applyNumberFormat="1" applyFont="1" applyFill="1" applyBorder="1"/>
    <xf numFmtId="9" fontId="6" fillId="2" borderId="0" xfId="1" applyNumberFormat="1" applyFont="1" applyFill="1" applyBorder="1"/>
    <xf numFmtId="9" fontId="3" fillId="0" borderId="0" xfId="0" applyNumberFormat="1" applyFont="1" applyFill="1" applyBorder="1"/>
    <xf numFmtId="165" fontId="3" fillId="0" borderId="0" xfId="1" applyNumberFormat="1" applyFont="1"/>
    <xf numFmtId="165" fontId="6" fillId="2" borderId="0" xfId="1" applyNumberFormat="1" applyFont="1" applyFill="1"/>
    <xf numFmtId="43" fontId="3" fillId="0" borderId="0" xfId="1" applyFont="1" applyFill="1"/>
    <xf numFmtId="9" fontId="3" fillId="0" borderId="0" xfId="2" applyFont="1" applyFill="1"/>
    <xf numFmtId="165" fontId="3" fillId="0" borderId="0" xfId="1" applyNumberFormat="1" applyFont="1" applyFill="1"/>
    <xf numFmtId="43" fontId="3" fillId="0" borderId="0" xfId="1" applyFont="1" applyFill="1" applyBorder="1"/>
    <xf numFmtId="10" fontId="3" fillId="0" borderId="0" xfId="2" applyNumberFormat="1" applyFont="1" applyFill="1" applyBorder="1" applyAlignment="1">
      <alignment horizontal="center"/>
    </xf>
    <xf numFmtId="10" fontId="3" fillId="0" borderId="0" xfId="2" applyNumberFormat="1" applyFont="1" applyFill="1" applyBorder="1"/>
    <xf numFmtId="43" fontId="3" fillId="0" borderId="0" xfId="1" applyFont="1" applyBorder="1" applyAlignment="1"/>
    <xf numFmtId="43" fontId="3" fillId="0" borderId="0" xfId="1" applyFont="1" applyFill="1" applyBorder="1" applyAlignment="1">
      <alignment horizontal="left" indent="1"/>
    </xf>
    <xf numFmtId="43" fontId="2" fillId="3" borderId="1" xfId="1" applyFont="1" applyFill="1" applyBorder="1" applyAlignment="1">
      <alignment horizontal="left"/>
    </xf>
    <xf numFmtId="43" fontId="3" fillId="3" borderId="1" xfId="1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0" fontId="6" fillId="2" borderId="0" xfId="2" applyNumberFormat="1" applyFont="1" applyFill="1" applyBorder="1"/>
    <xf numFmtId="10" fontId="3" fillId="0" borderId="0" xfId="2" applyNumberFormat="1" applyFont="1" applyBorder="1"/>
    <xf numFmtId="165" fontId="3" fillId="0" borderId="0" xfId="0" applyNumberFormat="1" applyFont="1" applyBorder="1"/>
    <xf numFmtId="9" fontId="6" fillId="2" borderId="0" xfId="2" applyFont="1" applyFill="1" applyBorder="1"/>
    <xf numFmtId="0" fontId="3" fillId="0" borderId="0" xfId="0" applyFont="1" applyFill="1" applyBorder="1"/>
    <xf numFmtId="0" fontId="3" fillId="0" borderId="0" xfId="0" applyFont="1" applyFill="1"/>
    <xf numFmtId="167" fontId="6" fillId="2" borderId="0" xfId="1" applyNumberFormat="1" applyFont="1" applyFill="1"/>
    <xf numFmtId="167" fontId="3" fillId="0" borderId="0" xfId="1" applyNumberFormat="1" applyFont="1"/>
    <xf numFmtId="9" fontId="3" fillId="0" borderId="0" xfId="0" applyNumberFormat="1" applyFont="1"/>
    <xf numFmtId="43" fontId="3" fillId="0" borderId="0" xfId="1" applyFont="1" applyBorder="1" applyAlignment="1">
      <alignment horizontal="left" indent="1"/>
    </xf>
    <xf numFmtId="43" fontId="2" fillId="3" borderId="1" xfId="0" applyNumberFormat="1" applyFont="1" applyFill="1" applyBorder="1" applyAlignment="1">
      <alignment horizontal="left"/>
    </xf>
    <xf numFmtId="43" fontId="3" fillId="3" borderId="1" xfId="1" applyFont="1" applyFill="1" applyBorder="1" applyAlignment="1">
      <alignment horizontal="center"/>
    </xf>
    <xf numFmtId="43" fontId="3" fillId="0" borderId="0" xfId="1" applyNumberFormat="1" applyFont="1"/>
    <xf numFmtId="9" fontId="6" fillId="2" borderId="0" xfId="2" applyFont="1" applyFill="1"/>
    <xf numFmtId="9" fontId="3" fillId="0" borderId="0" xfId="2" applyFont="1"/>
    <xf numFmtId="43" fontId="6" fillId="2" borderId="0" xfId="1" applyFont="1" applyFill="1"/>
    <xf numFmtId="9" fontId="6" fillId="2" borderId="0" xfId="1" applyNumberFormat="1" applyFont="1" applyFill="1"/>
    <xf numFmtId="9" fontId="3" fillId="0" borderId="0" xfId="1" applyNumberFormat="1" applyFont="1"/>
    <xf numFmtId="165" fontId="4" fillId="0" borderId="0" xfId="1" applyNumberFormat="1" applyFont="1"/>
    <xf numFmtId="43" fontId="2" fillId="0" borderId="0" xfId="1" applyFont="1" applyBorder="1" applyAlignment="1"/>
    <xf numFmtId="43" fontId="2" fillId="0" borderId="0" xfId="1" applyFont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3" borderId="1" xfId="0" applyFont="1" applyFill="1" applyBorder="1" applyAlignment="1">
      <alignment horizontal="right"/>
    </xf>
    <xf numFmtId="43" fontId="3" fillId="0" borderId="0" xfId="1" applyFont="1" applyBorder="1" applyAlignment="1">
      <alignment horizontal="left" indent="2"/>
    </xf>
    <xf numFmtId="43" fontId="6" fillId="2" borderId="0" xfId="1" applyFont="1" applyFill="1" applyBorder="1"/>
    <xf numFmtId="43" fontId="3" fillId="0" borderId="0" xfId="1" applyFont="1" applyBorder="1" applyAlignment="1">
      <alignment horizontal="left" indent="3"/>
    </xf>
    <xf numFmtId="165" fontId="3" fillId="0" borderId="0" xfId="0" applyNumberFormat="1" applyFont="1"/>
    <xf numFmtId="43" fontId="3" fillId="0" borderId="0" xfId="1" applyFont="1" applyFill="1" applyBorder="1" applyAlignment="1">
      <alignment horizontal="left" indent="2"/>
    </xf>
    <xf numFmtId="43" fontId="2" fillId="0" borderId="0" xfId="1" applyFont="1" applyBorder="1" applyAlignment="1">
      <alignment horizontal="left"/>
    </xf>
    <xf numFmtId="43" fontId="3" fillId="0" borderId="0" xfId="1" applyFont="1" applyFill="1" applyBorder="1" applyAlignment="1">
      <alignment horizontal="left" indent="3"/>
    </xf>
    <xf numFmtId="0" fontId="3" fillId="0" borderId="0" xfId="0" applyFont="1" applyAlignment="1">
      <alignment horizontal="center"/>
    </xf>
    <xf numFmtId="43" fontId="3" fillId="3" borderId="2" xfId="1" applyFont="1" applyFill="1" applyBorder="1" applyAlignment="1">
      <alignment horizontal="left"/>
    </xf>
    <xf numFmtId="43" fontId="3" fillId="3" borderId="2" xfId="1" applyFont="1" applyFill="1" applyBorder="1" applyAlignment="1">
      <alignment horizontal="center"/>
    </xf>
    <xf numFmtId="43" fontId="3" fillId="3" borderId="2" xfId="0" applyNumberFormat="1" applyFont="1" applyFill="1" applyBorder="1"/>
    <xf numFmtId="43" fontId="3" fillId="2" borderId="2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center"/>
    </xf>
    <xf numFmtId="43" fontId="3" fillId="2" borderId="2" xfId="0" applyNumberFormat="1" applyFont="1" applyFill="1" applyBorder="1"/>
    <xf numFmtId="43" fontId="2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3" fontId="3" fillId="2" borderId="1" xfId="1" applyFont="1" applyFill="1" applyBorder="1" applyAlignment="1">
      <alignment horizontal="left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/>
    <xf numFmtId="43" fontId="3" fillId="3" borderId="1" xfId="1" applyFont="1" applyFill="1" applyBorder="1" applyAlignment="1">
      <alignment horizontal="left"/>
    </xf>
    <xf numFmtId="43" fontId="3" fillId="3" borderId="1" xfId="0" applyNumberFormat="1" applyFont="1" applyFill="1" applyBorder="1"/>
    <xf numFmtId="43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3" fontId="3" fillId="0" borderId="3" xfId="1" applyFont="1" applyFill="1" applyBorder="1" applyAlignment="1">
      <alignment horizontal="left"/>
    </xf>
    <xf numFmtId="43" fontId="3" fillId="0" borderId="3" xfId="1" applyFont="1" applyBorder="1" applyAlignment="1">
      <alignment horizontal="center"/>
    </xf>
    <xf numFmtId="165" fontId="6" fillId="2" borderId="3" xfId="1" applyNumberFormat="1" applyFont="1" applyFill="1" applyBorder="1"/>
    <xf numFmtId="165" fontId="3" fillId="0" borderId="3" xfId="1" applyNumberFormat="1" applyFont="1" applyBorder="1"/>
    <xf numFmtId="0" fontId="3" fillId="0" borderId="0" xfId="0" applyFont="1" applyBorder="1" applyAlignment="1">
      <alignment horizontal="center"/>
    </xf>
    <xf numFmtId="43" fontId="3" fillId="0" borderId="4" xfId="1" applyFont="1" applyFill="1" applyBorder="1" applyAlignment="1">
      <alignment horizontal="left"/>
    </xf>
    <xf numFmtId="43" fontId="3" fillId="0" borderId="4" xfId="1" applyFont="1" applyBorder="1" applyAlignment="1">
      <alignment horizontal="center"/>
    </xf>
    <xf numFmtId="43" fontId="3" fillId="0" borderId="4" xfId="1" applyFont="1" applyBorder="1"/>
    <xf numFmtId="43" fontId="6" fillId="2" borderId="4" xfId="1" applyFont="1" applyFill="1" applyBorder="1"/>
    <xf numFmtId="43" fontId="3" fillId="0" borderId="0" xfId="1" applyNumberFormat="1" applyFont="1" applyFill="1" applyBorder="1" applyAlignment="1">
      <alignment horizontal="left" indent="2"/>
    </xf>
    <xf numFmtId="165" fontId="3" fillId="3" borderId="0" xfId="1" applyNumberFormat="1" applyFont="1" applyFill="1" applyBorder="1"/>
    <xf numFmtId="9" fontId="3" fillId="0" borderId="0" xfId="2" applyNumberFormat="1" applyFont="1" applyBorder="1"/>
    <xf numFmtId="43" fontId="6" fillId="2" borderId="0" xfId="1" applyNumberFormat="1" applyFont="1" applyFill="1" applyBorder="1" applyAlignment="1">
      <alignment horizontal="left" indent="2"/>
    </xf>
    <xf numFmtId="165" fontId="7" fillId="2" borderId="0" xfId="1" applyNumberFormat="1" applyFont="1" applyFill="1" applyBorder="1"/>
    <xf numFmtId="43" fontId="3" fillId="0" borderId="2" xfId="1" applyFont="1" applyBorder="1"/>
    <xf numFmtId="0" fontId="3" fillId="0" borderId="2" xfId="0" applyFont="1" applyBorder="1" applyAlignment="1">
      <alignment horizontal="center"/>
    </xf>
    <xf numFmtId="43" fontId="3" fillId="0" borderId="2" xfId="0" applyNumberFormat="1" applyFont="1" applyBorder="1"/>
    <xf numFmtId="167" fontId="6" fillId="2" borderId="3" xfId="1" applyNumberFormat="1" applyFont="1" applyFill="1" applyBorder="1"/>
    <xf numFmtId="167" fontId="3" fillId="0" borderId="3" xfId="1" applyNumberFormat="1" applyFont="1" applyBorder="1"/>
    <xf numFmtId="173" fontId="6" fillId="2" borderId="0" xfId="2" applyNumberFormat="1" applyFont="1" applyFill="1" applyBorder="1"/>
    <xf numFmtId="43" fontId="5" fillId="3" borderId="5" xfId="1" applyFont="1" applyFill="1" applyBorder="1"/>
    <xf numFmtId="43" fontId="3" fillId="3" borderId="3" xfId="1" applyFont="1" applyFill="1" applyBorder="1" applyAlignment="1">
      <alignment horizontal="center"/>
    </xf>
    <xf numFmtId="0" fontId="3" fillId="3" borderId="3" xfId="0" applyFont="1" applyFill="1" applyBorder="1"/>
    <xf numFmtId="165" fontId="3" fillId="3" borderId="3" xfId="1" applyNumberFormat="1" applyFont="1" applyFill="1" applyBorder="1"/>
    <xf numFmtId="165" fontId="3" fillId="3" borderId="6" xfId="1" applyNumberFormat="1" applyFont="1" applyFill="1" applyBorder="1"/>
    <xf numFmtId="43" fontId="3" fillId="3" borderId="7" xfId="1" applyFont="1" applyFill="1" applyBorder="1" applyAlignment="1"/>
    <xf numFmtId="43" fontId="3" fillId="3" borderId="0" xfId="1" applyFont="1" applyFill="1" applyBorder="1" applyAlignment="1">
      <alignment horizontal="center"/>
    </xf>
    <xf numFmtId="0" fontId="3" fillId="3" borderId="0" xfId="0" applyFont="1" applyFill="1" applyBorder="1"/>
    <xf numFmtId="165" fontId="3" fillId="3" borderId="8" xfId="1" applyNumberFormat="1" applyFont="1" applyFill="1" applyBorder="1"/>
    <xf numFmtId="165" fontId="4" fillId="3" borderId="0" xfId="1" applyNumberFormat="1" applyFont="1" applyFill="1" applyBorder="1"/>
    <xf numFmtId="165" fontId="4" fillId="3" borderId="8" xfId="1" applyNumberFormat="1" applyFont="1" applyFill="1" applyBorder="1"/>
    <xf numFmtId="43" fontId="3" fillId="3" borderId="9" xfId="1" applyFont="1" applyFill="1" applyBorder="1" applyAlignme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9" fontId="3" fillId="0" borderId="0" xfId="1" applyNumberFormat="1" applyFont="1" applyBorder="1" applyAlignment="1">
      <alignment horizontal="center"/>
    </xf>
    <xf numFmtId="43" fontId="6" fillId="2" borderId="0" xfId="1" applyNumberFormat="1" applyFont="1" applyFill="1"/>
    <xf numFmtId="9" fontId="6" fillId="2" borderId="0" xfId="1" applyNumberFormat="1" applyFont="1" applyFill="1" applyBorder="1" applyAlignment="1">
      <alignment horizontal="right"/>
    </xf>
    <xf numFmtId="175" fontId="3" fillId="0" borderId="3" xfId="1" applyNumberFormat="1" applyFont="1" applyFill="1" applyBorder="1" applyAlignment="1">
      <alignment horizontal="left"/>
    </xf>
    <xf numFmtId="43" fontId="3" fillId="0" borderId="0" xfId="0" applyNumberFormat="1" applyFont="1"/>
    <xf numFmtId="9" fontId="3" fillId="0" borderId="0" xfId="1" applyNumberFormat="1" applyFont="1" applyFill="1" applyBorder="1" applyAlignment="1">
      <alignment horizontal="right"/>
    </xf>
    <xf numFmtId="43" fontId="2" fillId="3" borderId="3" xfId="1" applyFont="1" applyFill="1" applyBorder="1" applyAlignment="1">
      <alignment horizontal="left"/>
    </xf>
    <xf numFmtId="43" fontId="2" fillId="3" borderId="3" xfId="1" applyFont="1" applyFill="1" applyBorder="1" applyAlignment="1">
      <alignment horizontal="center"/>
    </xf>
    <xf numFmtId="165" fontId="2" fillId="3" borderId="3" xfId="1" applyNumberFormat="1" applyFont="1" applyFill="1" applyBorder="1"/>
    <xf numFmtId="43" fontId="2" fillId="3" borderId="4" xfId="1" applyFont="1" applyFill="1" applyBorder="1" applyAlignment="1">
      <alignment horizontal="left"/>
    </xf>
    <xf numFmtId="43" fontId="2" fillId="3" borderId="4" xfId="1" applyFont="1" applyFill="1" applyBorder="1" applyAlignment="1">
      <alignment horizontal="center"/>
    </xf>
    <xf numFmtId="165" fontId="2" fillId="3" borderId="4" xfId="1" applyNumberFormat="1" applyFont="1" applyFill="1" applyBorder="1"/>
    <xf numFmtId="43" fontId="2" fillId="2" borderId="0" xfId="1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165" fontId="7" fillId="0" borderId="0" xfId="1" applyNumberFormat="1" applyFont="1" applyFill="1" applyBorder="1"/>
    <xf numFmtId="43" fontId="2" fillId="3" borderId="2" xfId="1" applyFont="1" applyFill="1" applyBorder="1" applyAlignment="1">
      <alignment horizontal="left"/>
    </xf>
    <xf numFmtId="43" fontId="2" fillId="3" borderId="2" xfId="1" applyFont="1" applyFill="1" applyBorder="1" applyAlignment="1">
      <alignment horizontal="center"/>
    </xf>
    <xf numFmtId="165" fontId="2" fillId="3" borderId="2" xfId="1" applyNumberFormat="1" applyFont="1" applyFill="1" applyBorder="1"/>
    <xf numFmtId="43" fontId="3" fillId="2" borderId="3" xfId="1" applyFont="1" applyFill="1" applyBorder="1" applyAlignment="1">
      <alignment horizontal="left"/>
    </xf>
    <xf numFmtId="43" fontId="3" fillId="2" borderId="3" xfId="1" applyFont="1" applyFill="1" applyBorder="1" applyAlignment="1">
      <alignment horizontal="center"/>
    </xf>
    <xf numFmtId="165" fontId="3" fillId="2" borderId="3" xfId="1" applyNumberFormat="1" applyFont="1" applyFill="1" applyBorder="1"/>
    <xf numFmtId="43" fontId="3" fillId="2" borderId="4" xfId="1" applyFont="1" applyFill="1" applyBorder="1" applyAlignment="1">
      <alignment horizontal="left"/>
    </xf>
    <xf numFmtId="43" fontId="3" fillId="2" borderId="4" xfId="1" applyFont="1" applyFill="1" applyBorder="1" applyAlignment="1">
      <alignment horizontal="center"/>
    </xf>
    <xf numFmtId="9" fontId="3" fillId="2" borderId="4" xfId="2" applyNumberFormat="1" applyFont="1" applyFill="1" applyBorder="1"/>
    <xf numFmtId="43" fontId="3" fillId="3" borderId="3" xfId="1" applyFont="1" applyFill="1" applyBorder="1" applyAlignment="1">
      <alignment horizontal="left"/>
    </xf>
    <xf numFmtId="9" fontId="3" fillId="3" borderId="3" xfId="1" applyNumberFormat="1" applyFont="1" applyFill="1" applyBorder="1" applyAlignment="1">
      <alignment horizontal="center"/>
    </xf>
    <xf numFmtId="9" fontId="3" fillId="3" borderId="3" xfId="0" applyNumberFormat="1" applyFont="1" applyFill="1" applyBorder="1"/>
    <xf numFmtId="43" fontId="3" fillId="3" borderId="11" xfId="1" applyFont="1" applyFill="1" applyBorder="1" applyAlignment="1">
      <alignment horizontal="left"/>
    </xf>
    <xf numFmtId="9" fontId="3" fillId="3" borderId="11" xfId="1" applyNumberFormat="1" applyFont="1" applyFill="1" applyBorder="1" applyAlignment="1">
      <alignment horizontal="center"/>
    </xf>
    <xf numFmtId="9" fontId="3" fillId="3" borderId="11" xfId="0" applyNumberFormat="1" applyFont="1" applyFill="1" applyBorder="1"/>
    <xf numFmtId="9" fontId="3" fillId="3" borderId="11" xfId="2" applyFont="1" applyFill="1" applyBorder="1"/>
    <xf numFmtId="43" fontId="7" fillId="3" borderId="0" xfId="1" applyFont="1" applyFill="1" applyBorder="1" applyAlignment="1">
      <alignment horizontal="left"/>
    </xf>
    <xf numFmtId="43" fontId="7" fillId="3" borderId="0" xfId="1" applyFont="1" applyFill="1" applyBorder="1" applyAlignment="1">
      <alignment horizontal="center"/>
    </xf>
    <xf numFmtId="1" fontId="7" fillId="3" borderId="0" xfId="0" applyNumberFormat="1" applyFont="1" applyFill="1" applyBorder="1"/>
    <xf numFmtId="43" fontId="7" fillId="3" borderId="4" xfId="1" applyFont="1" applyFill="1" applyBorder="1"/>
    <xf numFmtId="0" fontId="7" fillId="3" borderId="4" xfId="0" applyFont="1" applyFill="1" applyBorder="1" applyAlignment="1">
      <alignment horizontal="center"/>
    </xf>
    <xf numFmtId="9" fontId="7" fillId="3" borderId="4" xfId="2" applyFont="1" applyFill="1" applyBorder="1"/>
    <xf numFmtId="9" fontId="6" fillId="2" borderId="3" xfId="2" applyFont="1" applyFill="1" applyBorder="1"/>
    <xf numFmtId="9" fontId="3" fillId="0" borderId="3" xfId="2" applyFont="1" applyBorder="1"/>
    <xf numFmtId="175" fontId="3" fillId="3" borderId="2" xfId="1" applyNumberFormat="1" applyFont="1" applyFill="1" applyBorder="1"/>
    <xf numFmtId="167" fontId="3" fillId="0" borderId="0" xfId="0" applyNumberFormat="1" applyFont="1"/>
    <xf numFmtId="0" fontId="6" fillId="2" borderId="0" xfId="0" applyFont="1" applyFill="1" applyBorder="1"/>
    <xf numFmtId="9" fontId="3" fillId="0" borderId="0" xfId="1" applyNumberFormat="1" applyFont="1" applyFill="1" applyBorder="1" applyAlignment="1">
      <alignment horizontal="center"/>
    </xf>
    <xf numFmtId="9" fontId="3" fillId="0" borderId="0" xfId="2" applyFont="1" applyFill="1" applyBorder="1"/>
    <xf numFmtId="165" fontId="3" fillId="0" borderId="0" xfId="0" applyNumberFormat="1" applyFont="1" applyFill="1"/>
    <xf numFmtId="9" fontId="6" fillId="2" borderId="0" xfId="0" applyNumberFormat="1" applyFont="1" applyFill="1" applyBorder="1"/>
    <xf numFmtId="165" fontId="3" fillId="0" borderId="0" xfId="2" applyNumberFormat="1" applyFont="1" applyFill="1" applyBorder="1"/>
    <xf numFmtId="0" fontId="2" fillId="0" borderId="0" xfId="0" applyFont="1" applyFill="1"/>
    <xf numFmtId="165" fontId="2" fillId="0" borderId="0" xfId="0" applyNumberFormat="1" applyFont="1" applyFill="1"/>
    <xf numFmtId="43" fontId="2" fillId="0" borderId="0" xfId="1" applyFont="1"/>
    <xf numFmtId="0" fontId="3" fillId="2" borderId="2" xfId="0" applyFont="1" applyFill="1" applyBorder="1"/>
    <xf numFmtId="165" fontId="3" fillId="2" borderId="2" xfId="1" applyNumberFormat="1" applyFont="1" applyFill="1" applyBorder="1"/>
    <xf numFmtId="9" fontId="3" fillId="2" borderId="3" xfId="0" applyNumberFormat="1" applyFont="1" applyFill="1" applyBorder="1"/>
    <xf numFmtId="165" fontId="3" fillId="3" borderId="1" xfId="1" applyNumberFormat="1" applyFont="1" applyFill="1" applyBorder="1"/>
    <xf numFmtId="43" fontId="3" fillId="3" borderId="1" xfId="1" applyFont="1" applyFill="1" applyBorder="1"/>
    <xf numFmtId="165" fontId="3" fillId="3" borderId="1" xfId="0" applyNumberFormat="1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/>
    <xf numFmtId="9" fontId="6" fillId="2" borderId="0" xfId="2" applyFont="1" applyFill="1" applyBorder="1" applyAlignment="1">
      <alignment horizontal="right"/>
    </xf>
    <xf numFmtId="43" fontId="2" fillId="2" borderId="2" xfId="1" applyFont="1" applyFill="1" applyBorder="1" applyAlignment="1">
      <alignment horizontal="left"/>
    </xf>
    <xf numFmtId="9" fontId="2" fillId="2" borderId="2" xfId="1" applyNumberFormat="1" applyFont="1" applyFill="1" applyBorder="1" applyAlignment="1">
      <alignment horizontal="center"/>
    </xf>
    <xf numFmtId="9" fontId="2" fillId="2" borderId="2" xfId="0" applyNumberFormat="1" applyFont="1" applyFill="1" applyBorder="1"/>
    <xf numFmtId="165" fontId="2" fillId="2" borderId="2" xfId="2" applyNumberFormat="1" applyFont="1" applyFill="1" applyBorder="1"/>
    <xf numFmtId="9" fontId="3" fillId="2" borderId="2" xfId="0" applyNumberFormat="1" applyFont="1" applyFill="1" applyBorder="1"/>
    <xf numFmtId="165" fontId="2" fillId="2" borderId="2" xfId="1" applyNumberFormat="1" applyFont="1" applyFill="1" applyBorder="1"/>
    <xf numFmtId="165" fontId="2" fillId="2" borderId="2" xfId="1" applyNumberFormat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2" fillId="2" borderId="2" xfId="0" applyFont="1" applyFill="1" applyBorder="1"/>
    <xf numFmtId="43" fontId="2" fillId="0" borderId="0" xfId="1" applyFont="1" applyBorder="1" applyAlignment="1">
      <alignment horizontal="left"/>
    </xf>
    <xf numFmtId="43" fontId="2" fillId="0" borderId="4" xfId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E21" sqref="E21"/>
    </sheetView>
  </sheetViews>
  <sheetFormatPr defaultRowHeight="12.75" x14ac:dyDescent="0.25"/>
  <cols>
    <col min="1" max="1" width="22" style="1" bestFit="1" customWidth="1"/>
    <col min="2" max="2" width="2.5703125" style="76" bestFit="1" customWidth="1"/>
    <col min="3" max="3" width="3.5703125" style="2" bestFit="1" customWidth="1"/>
    <col min="4" max="4" width="8.85546875" style="2" bestFit="1" customWidth="1"/>
    <col min="5" max="5" width="9.140625" style="2" bestFit="1"/>
    <col min="6" max="11" width="9.5703125" style="2" bestFit="1" customWidth="1"/>
    <col min="12" max="14" width="10.28515625" style="2" bestFit="1" customWidth="1"/>
    <col min="15" max="15" width="33.42578125" style="2" bestFit="1" customWidth="1"/>
    <col min="16" max="16384" width="9.140625" style="2"/>
  </cols>
  <sheetData>
    <row r="1" spans="1:15" ht="13.5" thickBot="1" x14ac:dyDescent="0.3">
      <c r="A1" s="41" t="s">
        <v>275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x14ac:dyDescent="0.25">
      <c r="A2" s="40" t="s">
        <v>99</v>
      </c>
      <c r="B2" s="172"/>
      <c r="C2" s="30"/>
      <c r="D2" s="176">
        <f>+CF!D11</f>
        <v>-4459916.3759608176</v>
      </c>
      <c r="E2" s="176">
        <f>+CF!E11</f>
        <v>-3135511.598811686</v>
      </c>
      <c r="F2" s="176">
        <f>+CF!F11</f>
        <v>4705574.8507224247</v>
      </c>
      <c r="G2" s="176">
        <f>+CF!G11</f>
        <v>13674479.670302212</v>
      </c>
      <c r="H2" s="176">
        <f>+CF!H11</f>
        <v>39277194.558886684</v>
      </c>
      <c r="I2" s="176">
        <f>+CF!I11</f>
        <v>97827779.9799826</v>
      </c>
      <c r="J2" s="176">
        <f>+CF!J11</f>
        <v>156043855.70322591</v>
      </c>
      <c r="K2" s="176">
        <f>+CF!K11</f>
        <v>158579135.02824536</v>
      </c>
      <c r="L2" s="176">
        <f>+CF!L11</f>
        <v>173291778.56571063</v>
      </c>
      <c r="M2" s="176">
        <f>+CF!M11</f>
        <v>195635266.65845296</v>
      </c>
      <c r="N2" s="176">
        <f>+CF!N11</f>
        <v>210567885.0075013</v>
      </c>
      <c r="O2" s="1"/>
    </row>
    <row r="3" spans="1:15" x14ac:dyDescent="0.25">
      <c r="A3" s="40" t="s">
        <v>91</v>
      </c>
      <c r="B3" s="172"/>
      <c r="C3" s="30"/>
      <c r="D3" s="176">
        <f>-CF!D10</f>
        <v>5104823.5491903005</v>
      </c>
      <c r="E3" s="176">
        <f>-CF!E10</f>
        <v>11477658.719273571</v>
      </c>
      <c r="F3" s="176">
        <f>-CF!F10</f>
        <v>19914342.649768427</v>
      </c>
      <c r="G3" s="176">
        <f>-CF!G10</f>
        <v>35016163.888846546</v>
      </c>
      <c r="H3" s="176">
        <f>-CF!H10</f>
        <v>58893683.699789502</v>
      </c>
      <c r="I3" s="176">
        <f>-CF!I10</f>
        <v>72184489.891572818</v>
      </c>
      <c r="J3" s="176">
        <f>-CF!J10</f>
        <v>67855327.292418465</v>
      </c>
      <c r="K3" s="176">
        <f>-CF!K10</f>
        <v>61523626.109980397</v>
      </c>
      <c r="L3" s="176">
        <f>-CF!L10</f>
        <v>48589937.101400763</v>
      </c>
      <c r="M3" s="176">
        <f>-CF!M10</f>
        <v>26945593.487871252</v>
      </c>
      <c r="N3" s="176">
        <f>-CF!N10</f>
        <v>10262250.210919362</v>
      </c>
      <c r="O3" s="1"/>
    </row>
    <row r="4" spans="1:15" x14ac:dyDescent="0.25">
      <c r="A4" s="40" t="s">
        <v>261</v>
      </c>
      <c r="B4" s="172"/>
      <c r="C4" s="30"/>
      <c r="D4" s="176">
        <f>+CF!D16</f>
        <v>-250680.08713701967</v>
      </c>
      <c r="E4" s="176">
        <f>+CF!E16</f>
        <v>-2459803.4880546113</v>
      </c>
      <c r="F4" s="176">
        <f>+CF!F16</f>
        <v>-3979255.6937732873</v>
      </c>
      <c r="G4" s="176">
        <f>+CF!G16</f>
        <v>-6603227.2738486426</v>
      </c>
      <c r="H4" s="176">
        <f>+CF!H16</f>
        <v>-13511920.599310812</v>
      </c>
      <c r="I4" s="176">
        <f>+CF!I16</f>
        <v>-17159622.417329691</v>
      </c>
      <c r="J4" s="176">
        <f>+CF!J16</f>
        <v>-8900808.9645357579</v>
      </c>
      <c r="K4" s="176">
        <f>+CF!K16</f>
        <v>247047.38753392547</v>
      </c>
      <c r="L4" s="176">
        <f>+CF!L16</f>
        <v>-942975.54600458965</v>
      </c>
      <c r="M4" s="176">
        <f>+CF!M16</f>
        <v>-893442.96952009946</v>
      </c>
      <c r="N4" s="176">
        <f>+CF!N16</f>
        <v>-653461.83551269397</v>
      </c>
      <c r="O4" s="1"/>
    </row>
    <row r="5" spans="1:15" x14ac:dyDescent="0.25">
      <c r="A5" s="40" t="s">
        <v>101</v>
      </c>
      <c r="B5" s="172"/>
      <c r="C5" s="30"/>
      <c r="D5" s="176">
        <f>+CF!D13</f>
        <v>1516371.567520678</v>
      </c>
      <c r="E5" s="176">
        <f>+CF!E13</f>
        <v>2029505.5225541985</v>
      </c>
      <c r="F5" s="176">
        <f>+CF!F13</f>
        <v>340791.05889633991</v>
      </c>
      <c r="G5" s="176">
        <f>+CF!G13</f>
        <v>-1727984.5454186175</v>
      </c>
      <c r="H5" s="176">
        <f>+CF!H13</f>
        <v>-8765918.5087755304</v>
      </c>
      <c r="I5" s="176">
        <f>+CF!I13</f>
        <v>-26547978.882761747</v>
      </c>
      <c r="J5" s="176">
        <f>+CF!J13</f>
        <v>-47191367.322272077</v>
      </c>
      <c r="K5" s="176">
        <f>+CF!K13</f>
        <v>-53111289.952351548</v>
      </c>
      <c r="L5" s="176">
        <f>+CF!L13</f>
        <v>-60154558.832016289</v>
      </c>
      <c r="M5" s="176">
        <f>+CF!M13</f>
        <v>-69420993.448726714</v>
      </c>
      <c r="N5" s="176">
        <f>+CF!N13</f>
        <v>-76024459.306907043</v>
      </c>
      <c r="O5" s="1"/>
    </row>
    <row r="6" spans="1:15" x14ac:dyDescent="0.25">
      <c r="A6" s="190" t="s">
        <v>254</v>
      </c>
      <c r="B6" s="191"/>
      <c r="C6" s="192"/>
      <c r="D6" s="193">
        <f>SUM(D2:D5)</f>
        <v>1910598.6536131413</v>
      </c>
      <c r="E6" s="193">
        <f t="shared" ref="E6:N6" si="0">SUM(E2:E5)</f>
        <v>7911849.1549614724</v>
      </c>
      <c r="F6" s="193">
        <f t="shared" si="0"/>
        <v>20981452.865613904</v>
      </c>
      <c r="G6" s="193">
        <f t="shared" si="0"/>
        <v>40359431.739881493</v>
      </c>
      <c r="H6" s="193">
        <f t="shared" si="0"/>
        <v>75893039.150589839</v>
      </c>
      <c r="I6" s="193">
        <f t="shared" si="0"/>
        <v>126304668.57146397</v>
      </c>
      <c r="J6" s="193">
        <f t="shared" si="0"/>
        <v>167807006.70883656</v>
      </c>
      <c r="K6" s="193">
        <f t="shared" si="0"/>
        <v>167238518.57340816</v>
      </c>
      <c r="L6" s="193">
        <f t="shared" si="0"/>
        <v>160784181.28909051</v>
      </c>
      <c r="M6" s="193">
        <f t="shared" si="0"/>
        <v>152266423.72807741</v>
      </c>
      <c r="N6" s="193">
        <f t="shared" si="0"/>
        <v>144152214.07600093</v>
      </c>
      <c r="O6" s="1"/>
    </row>
    <row r="7" spans="1:15" x14ac:dyDescent="0.25">
      <c r="A7" s="40" t="s">
        <v>266</v>
      </c>
      <c r="B7" s="172"/>
      <c r="C7" s="30"/>
      <c r="D7" s="23">
        <f>+CF!D17+CF!D18</f>
        <v>-25524117.745951504</v>
      </c>
      <c r="E7" s="23">
        <f>+CF!E17+CF!E18</f>
        <v>-31864175.850416351</v>
      </c>
      <c r="F7" s="23">
        <f>+CF!F17+CF!F18</f>
        <v>-42183419.652474269</v>
      </c>
      <c r="G7" s="23">
        <f>+CF!G17+CF!G18</f>
        <v>-75509106.195390597</v>
      </c>
      <c r="H7" s="23">
        <f>+CF!H17+CF!H18</f>
        <v>-119387599.05471478</v>
      </c>
      <c r="I7" s="23">
        <f>+CF!I17+CF!I18</f>
        <v>-91978148.704868093</v>
      </c>
      <c r="J7" s="23">
        <f>+CF!J17+CF!J18</f>
        <v>-10218362.85464461</v>
      </c>
      <c r="K7" s="23">
        <f>+CF!K17+CF!K18</f>
        <v>-10524913.740283951</v>
      </c>
      <c r="L7" s="23">
        <f>+CF!L17+CF!L18</f>
        <v>-10840661.152492408</v>
      </c>
      <c r="M7" s="23">
        <f>+CF!M17+CF!M18</f>
        <v>-11165880.987067234</v>
      </c>
      <c r="N7" s="23">
        <f>+CF!N17+CF!N18</f>
        <v>-8561432.3201086447</v>
      </c>
      <c r="O7" s="1"/>
    </row>
    <row r="8" spans="1:15" x14ac:dyDescent="0.25">
      <c r="A8" s="190" t="s">
        <v>265</v>
      </c>
      <c r="B8" s="191"/>
      <c r="C8" s="194"/>
      <c r="D8" s="195">
        <f>SUM(D7:D7)</f>
        <v>-25524117.745951504</v>
      </c>
      <c r="E8" s="195">
        <f t="shared" ref="E8:N8" si="1">SUM(E7:E7)</f>
        <v>-31864175.850416351</v>
      </c>
      <c r="F8" s="195">
        <f t="shared" si="1"/>
        <v>-42183419.652474269</v>
      </c>
      <c r="G8" s="195">
        <f t="shared" si="1"/>
        <v>-75509106.195390597</v>
      </c>
      <c r="H8" s="195">
        <f t="shared" si="1"/>
        <v>-119387599.05471478</v>
      </c>
      <c r="I8" s="195">
        <f t="shared" si="1"/>
        <v>-91978148.704868093</v>
      </c>
      <c r="J8" s="195">
        <f t="shared" si="1"/>
        <v>-10218362.85464461</v>
      </c>
      <c r="K8" s="195">
        <f t="shared" si="1"/>
        <v>-10524913.740283951</v>
      </c>
      <c r="L8" s="195">
        <f t="shared" si="1"/>
        <v>-10840661.152492408</v>
      </c>
      <c r="M8" s="195">
        <f t="shared" si="1"/>
        <v>-11165880.987067234</v>
      </c>
      <c r="N8" s="195">
        <f t="shared" si="1"/>
        <v>-8561432.3201086447</v>
      </c>
      <c r="O8" s="1"/>
    </row>
    <row r="9" spans="1:15" x14ac:dyDescent="0.25">
      <c r="A9" s="40" t="s">
        <v>270</v>
      </c>
      <c r="B9" s="172"/>
      <c r="C9" s="30"/>
      <c r="D9" s="23">
        <f>IF(D6+D8&lt;0,-(D8+D6),0)+IF(C18&lt;0,-C18,0)</f>
        <v>23613519.092338361</v>
      </c>
      <c r="E9" s="23">
        <f t="shared" ref="E9:N9" si="2">IF(E6+E8&lt;0,-(E8+E6),0)+IF(D18&lt;0,-D18,0)</f>
        <v>23952326.695454881</v>
      </c>
      <c r="F9" s="23">
        <f t="shared" si="2"/>
        <v>24035589.077013969</v>
      </c>
      <c r="G9" s="23">
        <f t="shared" si="2"/>
        <v>40857575.950044289</v>
      </c>
      <c r="H9" s="23">
        <f t="shared" si="2"/>
        <v>52086732.087901816</v>
      </c>
      <c r="I9" s="23">
        <f t="shared" si="2"/>
        <v>13495081.297782179</v>
      </c>
      <c r="J9" s="23">
        <f t="shared" si="2"/>
        <v>19745489.148330387</v>
      </c>
      <c r="K9" s="23">
        <f t="shared" si="2"/>
        <v>3371376.9998204503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1">
        <f>SUM(D9:N9)</f>
        <v>201157690.34868634</v>
      </c>
    </row>
    <row r="10" spans="1:15" x14ac:dyDescent="0.25">
      <c r="A10" s="40" t="s">
        <v>271</v>
      </c>
      <c r="B10" s="172"/>
      <c r="C10" s="30"/>
      <c r="D10" s="23">
        <f>-IF(CF!D20&gt;0,IF(CF!D20&gt;=SUM(C$9:$D9)+SUM(C$10:$D10),SUM(C$9:$D9)+SUM(C$10:$D10),CF!D20),0)</f>
        <v>0</v>
      </c>
      <c r="E10" s="23">
        <f>-IF(CF!E20&gt;0,IF(CF!E20&gt;=SUM(D$9:$D9)+SUM(D$10:$D10),SUM(D$9:$D9)+SUM(D$10:$D10),CF!E20),0)</f>
        <v>0</v>
      </c>
      <c r="F10" s="23">
        <f>-IF(CF!F20&gt;0,IF(CF!F20&gt;=SUM($D$9:E9)+SUM($D$10:E10),SUM($D$9:E9)+SUM($D$10:E10),CF!F20),0)</f>
        <v>0</v>
      </c>
      <c r="G10" s="23">
        <f>-IF(CF!G20&gt;0,IF(CF!G20&gt;=SUM($D$9:F9)+SUM($D$10:F10),SUM($D$9:F9)+SUM($D$10:F10),CF!G20),0)</f>
        <v>0</v>
      </c>
      <c r="H10" s="23">
        <f>-IF(CF!H20&gt;0,IF(CF!H20&gt;=SUM($D$9:G9)+SUM($D$10:G10),SUM($D$9:G9)+SUM($D$10:G10),CF!H20),0)</f>
        <v>0</v>
      </c>
      <c r="I10" s="23">
        <f>-IF(CF!I20&gt;0,IF(CF!I20&gt;=SUM($D$9:H9)+SUM($D$10:H10),SUM($D$9:H9)+SUM($D$10:H10),CF!I20),0)</f>
        <v>-34326519.866595872</v>
      </c>
      <c r="J10" s="23">
        <f>-IF(CF!J20&gt;0,IF(CF!J20&gt;=SUM($D$9:I9)+SUM($D$10:I10),SUM($D$9:I9)+SUM($D$10:I10),CF!J20),0)</f>
        <v>-143714304.33393964</v>
      </c>
      <c r="K10" s="23">
        <f>-IF(CF!K20&gt;0,IF(CF!K20&gt;=SUM($D$9:J9)+SUM($D$10:J10),SUM($D$9:J9)+SUM($D$10:J10),CF!K20),0)</f>
        <v>-19745489.14833039</v>
      </c>
      <c r="L10" s="23">
        <f>-IF(CF!L20&gt;0,IF(CF!L20&gt;=SUM($D$9:K9)+SUM($D$10:K10),SUM($D$9:K9)+SUM($D$10:K10),CF!L20),0)</f>
        <v>-3371376.999820441</v>
      </c>
      <c r="M10" s="23">
        <f>-IF(CF!M20&gt;0,IF(CF!M20&gt;=SUM($D$9:L9)+SUM($D$10:L10),SUM($D$9:L9)+SUM($D$10:L10),CF!M20),0)</f>
        <v>0</v>
      </c>
      <c r="N10" s="23">
        <f>-IF(CF!N20&gt;0,IF(CF!N20&gt;=SUM($D$9:M9)+SUM($D$10:M10),SUM($D$9:M9)+SUM($D$10:M10),CF!N20),0)</f>
        <v>0</v>
      </c>
      <c r="O10" s="1">
        <f>SUM(D10:N10)</f>
        <v>-201157690.34868634</v>
      </c>
    </row>
    <row r="11" spans="1:15" x14ac:dyDescent="0.25">
      <c r="A11" s="40" t="s">
        <v>259</v>
      </c>
      <c r="B11" s="172"/>
      <c r="C11" s="175">
        <v>0.12</v>
      </c>
      <c r="D11" s="23">
        <f>-SUM($C$9:C10)*$C$11+C25*$C$25</f>
        <v>8.9999999999999998E-4</v>
      </c>
      <c r="E11" s="23">
        <f>-SUM($C$9:D10)*$C$11+D25*$C$25</f>
        <v>-2833622.2910536034</v>
      </c>
      <c r="F11" s="23">
        <f>-SUM($C$9:E10)*$C$11+E25*$C$25</f>
        <v>-5707901.4945351891</v>
      </c>
      <c r="G11" s="23">
        <f>-SUM($C$9:F10)*$C$11+F25*$C$25</f>
        <v>-8592172.1837768666</v>
      </c>
      <c r="H11" s="23">
        <f>-SUM($C$9:G10)*$C$11+G25*$C$25</f>
        <v>-13495081.297782181</v>
      </c>
      <c r="I11" s="23">
        <f>-SUM($C$9:H10)*$C$11+H25*$C$25</f>
        <v>-19745489.148330398</v>
      </c>
      <c r="J11" s="23">
        <f>-SUM($C$9:I10)*$C$11+I25*$C$25</f>
        <v>-17245716.520072758</v>
      </c>
      <c r="K11" s="23">
        <f>-SUM($C$9:J10)*$C$11+J25*$C$25</f>
        <v>-2369458.6977996468</v>
      </c>
      <c r="L11" s="23">
        <f>-SUM($C$9:K10)*$C$11+K25*$C$25</f>
        <v>3633394.469631372</v>
      </c>
      <c r="M11" s="23">
        <f>-SUM($C$9:L10)*$C$11+L25*$C$25</f>
        <v>8544125.8378020972</v>
      </c>
      <c r="N11" s="23">
        <f>-SUM($C$9:M10)*$C$11+M25*$C$25</f>
        <v>13033465.895166466</v>
      </c>
      <c r="O11" s="1"/>
    </row>
    <row r="12" spans="1:15" x14ac:dyDescent="0.25">
      <c r="A12" s="190" t="s">
        <v>260</v>
      </c>
      <c r="B12" s="191"/>
      <c r="C12" s="194"/>
      <c r="D12" s="195">
        <f>SUM(D9:D11)</f>
        <v>23613519.093238361</v>
      </c>
      <c r="E12" s="195">
        <f t="shared" ref="E12:N12" si="3">SUM(E9:E11)</f>
        <v>21118704.404401276</v>
      </c>
      <c r="F12" s="195">
        <f t="shared" si="3"/>
        <v>18327687.58247878</v>
      </c>
      <c r="G12" s="195">
        <f t="shared" si="3"/>
        <v>32265403.766267423</v>
      </c>
      <c r="H12" s="195">
        <f t="shared" si="3"/>
        <v>38591650.790119633</v>
      </c>
      <c r="I12" s="195">
        <f t="shared" si="3"/>
        <v>-40576927.717144087</v>
      </c>
      <c r="J12" s="195">
        <f t="shared" si="3"/>
        <v>-141214531.70568201</v>
      </c>
      <c r="K12" s="195">
        <f t="shared" si="3"/>
        <v>-18743570.846309587</v>
      </c>
      <c r="L12" s="195">
        <f t="shared" si="3"/>
        <v>262017.46981093101</v>
      </c>
      <c r="M12" s="195">
        <f t="shared" si="3"/>
        <v>8544125.8378020972</v>
      </c>
      <c r="N12" s="195">
        <f t="shared" si="3"/>
        <v>13033465.895166466</v>
      </c>
      <c r="O12" s="1"/>
    </row>
    <row r="13" spans="1:15" x14ac:dyDescent="0.25">
      <c r="A13" s="40" t="s">
        <v>255</v>
      </c>
      <c r="B13" s="172"/>
      <c r="C13" s="30"/>
      <c r="D13" s="28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"/>
    </row>
    <row r="14" spans="1:15" x14ac:dyDescent="0.25">
      <c r="A14" s="40" t="s">
        <v>252</v>
      </c>
      <c r="B14" s="172"/>
      <c r="C14" s="175">
        <v>0</v>
      </c>
      <c r="D14" s="23">
        <f>$C$14*CF!D14</f>
        <v>0</v>
      </c>
      <c r="E14" s="23">
        <f>$C$14*CF!E14</f>
        <v>0</v>
      </c>
      <c r="F14" s="23">
        <f>$C$14*CF!F14</f>
        <v>0</v>
      </c>
      <c r="G14" s="23">
        <f>$C$14*CF!G14</f>
        <v>0</v>
      </c>
      <c r="H14" s="23">
        <f>$C$14*CF!H14</f>
        <v>0</v>
      </c>
      <c r="I14" s="23">
        <f>$C$14*CF!I14</f>
        <v>0</v>
      </c>
      <c r="J14" s="23">
        <f>$C$14*CF!J14</f>
        <v>0</v>
      </c>
      <c r="K14" s="23">
        <f>$C$14*CF!K14</f>
        <v>0</v>
      </c>
      <c r="L14" s="23">
        <f>$C$14*CF!L14</f>
        <v>0</v>
      </c>
      <c r="M14" s="23">
        <f>$C$14*CF!M14</f>
        <v>0</v>
      </c>
      <c r="N14" s="23">
        <f>$C$14*CF!N14</f>
        <v>0</v>
      </c>
      <c r="O14" s="1"/>
    </row>
    <row r="15" spans="1:15" x14ac:dyDescent="0.25">
      <c r="A15" s="190" t="s">
        <v>253</v>
      </c>
      <c r="B15" s="191"/>
      <c r="C15" s="194"/>
      <c r="D15" s="195">
        <f>+D13+D14</f>
        <v>0</v>
      </c>
      <c r="E15" s="195">
        <f t="shared" ref="E15:N15" si="4">+E13+E14</f>
        <v>0</v>
      </c>
      <c r="F15" s="195">
        <f t="shared" si="4"/>
        <v>0</v>
      </c>
      <c r="G15" s="195">
        <f t="shared" si="4"/>
        <v>0</v>
      </c>
      <c r="H15" s="195">
        <f t="shared" si="4"/>
        <v>0</v>
      </c>
      <c r="I15" s="195">
        <f t="shared" si="4"/>
        <v>0</v>
      </c>
      <c r="J15" s="195">
        <f t="shared" si="4"/>
        <v>0</v>
      </c>
      <c r="K15" s="195">
        <f t="shared" si="4"/>
        <v>0</v>
      </c>
      <c r="L15" s="195">
        <f t="shared" si="4"/>
        <v>0</v>
      </c>
      <c r="M15" s="195">
        <f t="shared" si="4"/>
        <v>0</v>
      </c>
      <c r="N15" s="195">
        <f t="shared" si="4"/>
        <v>0</v>
      </c>
      <c r="O15" s="1"/>
    </row>
    <row r="16" spans="1:15" x14ac:dyDescent="0.25">
      <c r="A16" s="40" t="s">
        <v>262</v>
      </c>
      <c r="B16" s="172"/>
      <c r="C16" s="30"/>
      <c r="D16" s="23">
        <f>+D15+D12+D6+D8</f>
        <v>9.0000033378601074E-4</v>
      </c>
      <c r="E16" s="23">
        <f t="shared" ref="E16:N16" si="5">+E15+E12+E6+E8</f>
        <v>-2833622.2910536043</v>
      </c>
      <c r="F16" s="23">
        <f t="shared" si="5"/>
        <v>-2874279.2043815851</v>
      </c>
      <c r="G16" s="23">
        <f t="shared" si="5"/>
        <v>-2884270.6892416775</v>
      </c>
      <c r="H16" s="23">
        <f t="shared" si="5"/>
        <v>-4902909.1140053123</v>
      </c>
      <c r="I16" s="23">
        <f t="shared" si="5"/>
        <v>-6250407.8505482078</v>
      </c>
      <c r="J16" s="23">
        <f t="shared" si="5"/>
        <v>16374112.148509936</v>
      </c>
      <c r="K16" s="23">
        <f t="shared" si="5"/>
        <v>137970033.98681462</v>
      </c>
      <c r="L16" s="23">
        <f t="shared" si="5"/>
        <v>150205537.60640904</v>
      </c>
      <c r="M16" s="23">
        <f t="shared" si="5"/>
        <v>149644668.5788123</v>
      </c>
      <c r="N16" s="23">
        <f t="shared" si="5"/>
        <v>148624247.65105873</v>
      </c>
      <c r="O16" s="1"/>
    </row>
    <row r="17" spans="1:15" x14ac:dyDescent="0.25">
      <c r="A17" s="40" t="s">
        <v>263</v>
      </c>
      <c r="B17" s="172"/>
      <c r="C17" s="30"/>
      <c r="D17" s="23">
        <f>+C18</f>
        <v>0</v>
      </c>
      <c r="E17" s="23">
        <f t="shared" ref="E17:N17" si="6">+D18</f>
        <v>9.0000033378601074E-4</v>
      </c>
      <c r="F17" s="23">
        <f t="shared" si="6"/>
        <v>-2833622.290153604</v>
      </c>
      <c r="G17" s="23">
        <f t="shared" si="6"/>
        <v>-5707901.4945351891</v>
      </c>
      <c r="H17" s="23">
        <f t="shared" si="6"/>
        <v>-8592172.1837768666</v>
      </c>
      <c r="I17" s="23">
        <f t="shared" si="6"/>
        <v>-13495081.297782179</v>
      </c>
      <c r="J17" s="23">
        <f t="shared" si="6"/>
        <v>-19745489.148330387</v>
      </c>
      <c r="K17" s="23">
        <f t="shared" si="6"/>
        <v>-3371376.9998204503</v>
      </c>
      <c r="L17" s="23">
        <f t="shared" si="6"/>
        <v>134598656.98699418</v>
      </c>
      <c r="M17" s="23">
        <f t="shared" si="6"/>
        <v>284804194.59340322</v>
      </c>
      <c r="N17" s="23">
        <f t="shared" si="6"/>
        <v>434448863.17221552</v>
      </c>
      <c r="O17" s="1"/>
    </row>
    <row r="18" spans="1:15" x14ac:dyDescent="0.25">
      <c r="A18" s="190" t="s">
        <v>274</v>
      </c>
      <c r="B18" s="196"/>
      <c r="C18" s="195"/>
      <c r="D18" s="195">
        <f>+D16+D17</f>
        <v>9.0000033378601074E-4</v>
      </c>
      <c r="E18" s="195">
        <f t="shared" ref="E18:N18" si="7">+E16+E17</f>
        <v>-2833622.290153604</v>
      </c>
      <c r="F18" s="195">
        <f t="shared" si="7"/>
        <v>-5707901.4945351891</v>
      </c>
      <c r="G18" s="195">
        <f t="shared" si="7"/>
        <v>-8592172.1837768666</v>
      </c>
      <c r="H18" s="195">
        <f t="shared" si="7"/>
        <v>-13495081.297782179</v>
      </c>
      <c r="I18" s="195">
        <f t="shared" si="7"/>
        <v>-19745489.148330387</v>
      </c>
      <c r="J18" s="195">
        <f t="shared" si="7"/>
        <v>-3371376.9998204503</v>
      </c>
      <c r="K18" s="195">
        <f t="shared" si="7"/>
        <v>134598656.98699418</v>
      </c>
      <c r="L18" s="195">
        <f t="shared" si="7"/>
        <v>284804194.59340322</v>
      </c>
      <c r="M18" s="195">
        <f t="shared" si="7"/>
        <v>434448863.17221552</v>
      </c>
      <c r="N18" s="195">
        <f t="shared" si="7"/>
        <v>583073110.82327425</v>
      </c>
      <c r="O18" s="1"/>
    </row>
    <row r="19" spans="1:15" x14ac:dyDescent="0.25">
      <c r="A19" s="40" t="s">
        <v>269</v>
      </c>
      <c r="B19" s="4"/>
      <c r="C19" s="5"/>
      <c r="D19" s="6">
        <f>IF(+D35-C35&gt;0,D35-C35,0)</f>
        <v>0</v>
      </c>
      <c r="E19" s="6">
        <f t="shared" ref="E19:N19" si="8">IF(+E35-D35&gt;0,E35-D35,0)</f>
        <v>2833622.290153604</v>
      </c>
      <c r="F19" s="6">
        <f t="shared" si="8"/>
        <v>2874279.2043815851</v>
      </c>
      <c r="G19" s="6">
        <f t="shared" si="8"/>
        <v>2884270.6892416775</v>
      </c>
      <c r="H19" s="6">
        <f t="shared" si="8"/>
        <v>4902909.1140053123</v>
      </c>
      <c r="I19" s="6">
        <f t="shared" si="8"/>
        <v>6250407.8505482078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1"/>
    </row>
    <row r="20" spans="1:15" x14ac:dyDescent="0.25">
      <c r="A20" s="40" t="s">
        <v>272</v>
      </c>
      <c r="B20" s="4"/>
      <c r="C20" s="5"/>
      <c r="D20" s="6">
        <f>IF(D35-C35&lt;0,D35-C35,0)</f>
        <v>0</v>
      </c>
      <c r="E20" s="6">
        <f t="shared" ref="E20:N20" si="9">IF(E35-D35&lt;0,E35-D35,0)</f>
        <v>0</v>
      </c>
      <c r="F20" s="6">
        <f t="shared" si="9"/>
        <v>0</v>
      </c>
      <c r="G20" s="6">
        <f t="shared" si="9"/>
        <v>0</v>
      </c>
      <c r="H20" s="6">
        <f t="shared" si="9"/>
        <v>0</v>
      </c>
      <c r="I20" s="6">
        <f t="shared" si="9"/>
        <v>0</v>
      </c>
      <c r="J20" s="6">
        <f t="shared" si="9"/>
        <v>-16374112.148509936</v>
      </c>
      <c r="K20" s="6">
        <f t="shared" si="9"/>
        <v>-3371376.9998204503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1"/>
    </row>
    <row r="21" spans="1:15" s="66" customFormat="1" x14ac:dyDescent="0.25">
      <c r="A21" s="190" t="s">
        <v>273</v>
      </c>
      <c r="B21" s="197"/>
      <c r="C21" s="198"/>
      <c r="D21" s="195">
        <f>+D19+D20</f>
        <v>0</v>
      </c>
      <c r="E21" s="195">
        <f t="shared" ref="E21:N21" si="10">+E19+E20</f>
        <v>2833622.290153604</v>
      </c>
      <c r="F21" s="195">
        <f t="shared" si="10"/>
        <v>2874279.2043815851</v>
      </c>
      <c r="G21" s="195">
        <f t="shared" si="10"/>
        <v>2884270.6892416775</v>
      </c>
      <c r="H21" s="195">
        <f t="shared" si="10"/>
        <v>4902909.1140053123</v>
      </c>
      <c r="I21" s="195">
        <f t="shared" si="10"/>
        <v>6250407.8505482078</v>
      </c>
      <c r="J21" s="195">
        <f t="shared" si="10"/>
        <v>-16374112.148509936</v>
      </c>
      <c r="K21" s="195">
        <f t="shared" si="10"/>
        <v>-3371376.9998204503</v>
      </c>
      <c r="L21" s="195">
        <f t="shared" si="10"/>
        <v>0</v>
      </c>
      <c r="M21" s="195">
        <f t="shared" si="10"/>
        <v>0</v>
      </c>
      <c r="N21" s="195">
        <f t="shared" si="10"/>
        <v>0</v>
      </c>
      <c r="O21" s="179"/>
    </row>
    <row r="22" spans="1:15" x14ac:dyDescent="0.25">
      <c r="A22" s="7"/>
      <c r="B22" s="4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</row>
    <row r="23" spans="1:15" ht="13.5" thickBot="1" x14ac:dyDescent="0.3">
      <c r="A23" s="41" t="s">
        <v>276</v>
      </c>
      <c r="B23" s="43"/>
      <c r="C23" s="68" t="str">
        <f>Revenue!C$1</f>
        <v>@</v>
      </c>
      <c r="D23" s="68">
        <f>Revenue!D$1</f>
        <v>0</v>
      </c>
      <c r="E23" s="68">
        <f>Revenue!E$1</f>
        <v>1</v>
      </c>
      <c r="F23" s="68">
        <f>Revenue!F$1</f>
        <v>2</v>
      </c>
      <c r="G23" s="68">
        <f>Revenue!G$1</f>
        <v>3</v>
      </c>
      <c r="H23" s="68">
        <f>Revenue!H$1</f>
        <v>4</v>
      </c>
      <c r="I23" s="68">
        <f>Revenue!I$1</f>
        <v>5</v>
      </c>
      <c r="J23" s="68">
        <f>Revenue!J$1</f>
        <v>6</v>
      </c>
      <c r="K23" s="68">
        <f>Revenue!K$1</f>
        <v>7</v>
      </c>
      <c r="L23" s="68">
        <f>Revenue!L$1</f>
        <v>8</v>
      </c>
      <c r="M23" s="68">
        <f>Revenue!M$1</f>
        <v>9</v>
      </c>
      <c r="N23" s="68">
        <f>Revenue!N$1</f>
        <v>10</v>
      </c>
      <c r="O23" s="1"/>
    </row>
    <row r="24" spans="1:15" x14ac:dyDescent="0.25">
      <c r="A24" s="7" t="s">
        <v>258</v>
      </c>
      <c r="B24" s="4" t="s">
        <v>45</v>
      </c>
      <c r="C24" s="28">
        <v>15</v>
      </c>
      <c r="D24" s="6">
        <f>CF!D5/365*$C$24</f>
        <v>88610.29559075342</v>
      </c>
      <c r="E24" s="6">
        <f>CF!E5/365*$C$24</f>
        <v>986260.05268318253</v>
      </c>
      <c r="F24" s="6">
        <f>CF!F5/365*$C$24</f>
        <v>2414044.8053292325</v>
      </c>
      <c r="G24" s="6">
        <f>CF!G5/365*$C$24</f>
        <v>4805821.9676107466</v>
      </c>
      <c r="H24" s="6">
        <f>CF!H5/365*$C$24</f>
        <v>9703968.7575594094</v>
      </c>
      <c r="I24" s="6">
        <f>CF!I5/365*$C$24</f>
        <v>15883394.606984064</v>
      </c>
      <c r="J24" s="6">
        <f>CF!J5/365*$C$24</f>
        <v>18998473.640040133</v>
      </c>
      <c r="K24" s="6">
        <f>CF!K5/365*$C$24</f>
        <v>18956463.872510202</v>
      </c>
      <c r="L24" s="6">
        <f>CF!L5/365*$C$24</f>
        <v>19337976.553579278</v>
      </c>
      <c r="M24" s="6">
        <f>CF!M5/365*$C$24</f>
        <v>19719260.87740989</v>
      </c>
      <c r="N24" s="6">
        <f>CF!N5/365*$C$24</f>
        <v>20042456.757894482</v>
      </c>
      <c r="O24" s="1"/>
    </row>
    <row r="25" spans="1:15" x14ac:dyDescent="0.25">
      <c r="A25" s="7" t="s">
        <v>238</v>
      </c>
      <c r="B25" s="4" t="s">
        <v>45</v>
      </c>
      <c r="C25" s="189">
        <v>0.03</v>
      </c>
      <c r="D25" s="6">
        <f>IF(D18&gt;0,D18,0)</f>
        <v>9.0000033378601074E-4</v>
      </c>
      <c r="E25" s="6">
        <f t="shared" ref="E25:N25" si="11">IF(E18&gt;0,E18,0)</f>
        <v>0</v>
      </c>
      <c r="F25" s="6">
        <f t="shared" si="11"/>
        <v>0</v>
      </c>
      <c r="G25" s="6">
        <f t="shared" si="11"/>
        <v>0</v>
      </c>
      <c r="H25" s="6">
        <f t="shared" si="11"/>
        <v>0</v>
      </c>
      <c r="I25" s="6">
        <f t="shared" si="11"/>
        <v>0</v>
      </c>
      <c r="J25" s="6">
        <f t="shared" si="11"/>
        <v>0</v>
      </c>
      <c r="K25" s="6">
        <f t="shared" si="11"/>
        <v>134598656.98699418</v>
      </c>
      <c r="L25" s="6">
        <f t="shared" si="11"/>
        <v>284804194.59340322</v>
      </c>
      <c r="M25" s="6">
        <f t="shared" si="11"/>
        <v>434448863.17221552</v>
      </c>
      <c r="N25" s="6">
        <f t="shared" si="11"/>
        <v>583073110.82327425</v>
      </c>
      <c r="O25" s="1"/>
    </row>
    <row r="26" spans="1:15" x14ac:dyDescent="0.25">
      <c r="A26" s="7" t="s">
        <v>237</v>
      </c>
      <c r="B26" s="4" t="s">
        <v>45</v>
      </c>
      <c r="C26" s="28">
        <v>30</v>
      </c>
      <c r="D26" s="6">
        <f>$C$26*(CF!D3/365)</f>
        <v>238190.16267123289</v>
      </c>
      <c r="E26" s="6">
        <f>$C$26*(CF!E3/365)</f>
        <v>2537135.8997075772</v>
      </c>
      <c r="F26" s="6">
        <f>$C$26*(CF!F3/365)</f>
        <v>6294732.9829114573</v>
      </c>
      <c r="G26" s="6">
        <f>$C$26*(CF!G3/365)</f>
        <v>12503941.279255651</v>
      </c>
      <c r="H26" s="6">
        <f>$C$26*(CF!H3/365)</f>
        <v>25219983.737095963</v>
      </c>
      <c r="I26" s="6">
        <f>$C$26*(CF!I3/365)</f>
        <v>41475086.903100744</v>
      </c>
      <c r="J26" s="6">
        <f>$C$26*(CF!J3/365)</f>
        <v>50133847.126870476</v>
      </c>
      <c r="K26" s="6">
        <f>$C$26*(CF!K3/365)</f>
        <v>49979889.519565172</v>
      </c>
      <c r="L26" s="6">
        <f>$C$26*(CF!L3/365)</f>
        <v>51034134.552370794</v>
      </c>
      <c r="M26" s="6">
        <f>$C$26*(CF!M3/365)</f>
        <v>52123832.97987777</v>
      </c>
      <c r="N26" s="6">
        <f>$C$26*(CF!N3/365)</f>
        <v>53106276.615558714</v>
      </c>
      <c r="O26" s="1"/>
    </row>
    <row r="27" spans="1:15" x14ac:dyDescent="0.25">
      <c r="A27" s="7" t="s">
        <v>239</v>
      </c>
      <c r="B27" s="4" t="s">
        <v>45</v>
      </c>
      <c r="C27" s="28">
        <v>30</v>
      </c>
      <c r="D27" s="6">
        <f>$C$27*SUM(Costs!D35,Costs!D36,Costs!D41,Costs!D44)/365</f>
        <v>31881.530481528323</v>
      </c>
      <c r="E27" s="6">
        <f>$C$27*SUM(Costs!E35,Costs!E36,Costs!E41,Costs!E44)/365</f>
        <v>310983.11563209485</v>
      </c>
      <c r="F27" s="6">
        <f>$C$27*SUM(Costs!F35,Costs!F36,Costs!F41,Costs!F44)/365</f>
        <v>501055.9230038668</v>
      </c>
      <c r="G27" s="6">
        <f>$C$27*SUM(Costs!G35,Costs!G36,Costs!G41,Costs!G44)/365</f>
        <v>984695.48276190774</v>
      </c>
      <c r="H27" s="6">
        <f>$C$27*SUM(Costs!H35,Costs!H36,Costs!H41,Costs!H44)/365</f>
        <v>1941349.4068182968</v>
      </c>
      <c r="I27" s="6">
        <f>$C$27*SUM(Costs!I35,Costs!I36,Costs!I41,Costs!I44)/365</f>
        <v>2544130.2930600424</v>
      </c>
      <c r="J27" s="6">
        <f>$C$27*SUM(Costs!J35,Costs!J36,Costs!J41,Costs!J44)/365</f>
        <v>1772440.8073790492</v>
      </c>
      <c r="K27" s="6">
        <f>$C$27*SUM(Costs!K35,Costs!K36,Costs!K41,Costs!K44)/365</f>
        <v>1823148.2781757638</v>
      </c>
      <c r="L27" s="6">
        <f>$C$27*SUM(Costs!L35,Costs!L36,Costs!L41,Costs!L44)/365</f>
        <v>1875376.9730963779</v>
      </c>
      <c r="M27" s="6">
        <f>$C$27*SUM(Costs!M35,Costs!M36,Costs!M41,Costs!M44)/365</f>
        <v>1929172.5288646123</v>
      </c>
      <c r="N27" s="6">
        <f>$C$27*SUM(Costs!N35,Costs!N36,Costs!N41,Costs!N44)/365</f>
        <v>1984581.9513058932</v>
      </c>
      <c r="O27" s="1"/>
    </row>
    <row r="28" spans="1:15" x14ac:dyDescent="0.25">
      <c r="A28" s="7" t="s">
        <v>244</v>
      </c>
      <c r="B28" s="4" t="s">
        <v>45</v>
      </c>
      <c r="C28" s="28">
        <v>30</v>
      </c>
      <c r="D28" s="6">
        <f>$C$28*SUM(Costs!D42:D43)/365</f>
        <v>27645.74835067079</v>
      </c>
      <c r="E28" s="6">
        <f>$C$28*SUM(Costs!E42:E43)/365</f>
        <v>284751.20801190916</v>
      </c>
      <c r="F28" s="6">
        <f>$C$28*SUM(Costs!F42:F43)/365</f>
        <v>586587.48850453284</v>
      </c>
      <c r="G28" s="6">
        <f>$C$28*SUM(Costs!G42:G43)/365</f>
        <v>1208370.226319338</v>
      </c>
      <c r="H28" s="6">
        <f>$C$28*SUM(Costs!H42:H43)/365</f>
        <v>2489242.6662178356</v>
      </c>
      <c r="I28" s="6">
        <f>$C$28*SUM(Costs!I42:I43)/365</f>
        <v>3845879.9193065558</v>
      </c>
      <c r="J28" s="6">
        <f>$C$28*SUM(Costs!J42:J43)/365</f>
        <v>3961256.3168857531</v>
      </c>
      <c r="K28" s="6">
        <f>$C$28*SUM(Costs!K42:K43)/365</f>
        <v>4080094.0063923262</v>
      </c>
      <c r="L28" s="6">
        <f>$C$28*SUM(Costs!L42:L43)/365</f>
        <v>4202496.8265840951</v>
      </c>
      <c r="M28" s="6">
        <f>$C$28*SUM(Costs!M42:M43)/365</f>
        <v>4328571.7313816175</v>
      </c>
      <c r="N28" s="6">
        <f>$C$28*SUM(Costs!N42:N43)/365</f>
        <v>4458428.8833230669</v>
      </c>
      <c r="O28" s="1"/>
    </row>
    <row r="29" spans="1:15" x14ac:dyDescent="0.25">
      <c r="A29" s="80" t="s">
        <v>240</v>
      </c>
      <c r="B29" s="81" t="s">
        <v>45</v>
      </c>
      <c r="C29" s="180"/>
      <c r="D29" s="181">
        <f>SUM(D24:D28)</f>
        <v>386327.73799418577</v>
      </c>
      <c r="E29" s="181">
        <f t="shared" ref="E29:N29" si="12">SUM(E24:E28)</f>
        <v>4119130.276034764</v>
      </c>
      <c r="F29" s="181">
        <f t="shared" si="12"/>
        <v>9796421.1997490898</v>
      </c>
      <c r="G29" s="181">
        <f t="shared" si="12"/>
        <v>19502828.955947645</v>
      </c>
      <c r="H29" s="181">
        <f t="shared" si="12"/>
        <v>39354544.567691505</v>
      </c>
      <c r="I29" s="181">
        <f t="shared" si="12"/>
        <v>63748491.722451404</v>
      </c>
      <c r="J29" s="181">
        <f t="shared" si="12"/>
        <v>74866017.891175419</v>
      </c>
      <c r="K29" s="181">
        <f t="shared" si="12"/>
        <v>209438252.66363764</v>
      </c>
      <c r="L29" s="181">
        <f t="shared" si="12"/>
        <v>361254179.49903375</v>
      </c>
      <c r="M29" s="181">
        <f t="shared" si="12"/>
        <v>512549701.28974938</v>
      </c>
      <c r="N29" s="181">
        <f t="shared" si="12"/>
        <v>662664855.03135645</v>
      </c>
      <c r="O29" s="1"/>
    </row>
    <row r="30" spans="1:15" x14ac:dyDescent="0.25">
      <c r="A30" s="7" t="s">
        <v>241</v>
      </c>
      <c r="B30" s="4" t="s">
        <v>45</v>
      </c>
      <c r="C30" s="5"/>
      <c r="D30" s="6">
        <f>Costs!D52+Costs!D53</f>
        <v>25524117.745951504</v>
      </c>
      <c r="E30" s="6">
        <f>Costs!E52+Costs!E53+D30</f>
        <v>57388293.596367851</v>
      </c>
      <c r="F30" s="6">
        <f>Costs!F52+Costs!F53+E30</f>
        <v>99571713.24884212</v>
      </c>
      <c r="G30" s="6">
        <f>Costs!G52+Costs!G53+F30</f>
        <v>175080819.4442327</v>
      </c>
      <c r="H30" s="6">
        <f>Costs!H52+Costs!H53+G30</f>
        <v>294468418.4989475</v>
      </c>
      <c r="I30" s="6">
        <f>Costs!I52+Costs!I53+H30</f>
        <v>386446567.20381558</v>
      </c>
      <c r="J30" s="6">
        <f>Costs!J52+Costs!J53+I30</f>
        <v>396664930.05846018</v>
      </c>
      <c r="K30" s="6">
        <f>Costs!K52+Costs!K53+J30</f>
        <v>407189843.79874414</v>
      </c>
      <c r="L30" s="6">
        <f>Costs!L52+Costs!L53+K30</f>
        <v>418030504.95123655</v>
      </c>
      <c r="M30" s="6">
        <f>Costs!M52+Costs!M53+L30</f>
        <v>429196385.93830377</v>
      </c>
      <c r="N30" s="6">
        <f>Costs!N52+Costs!N53+M30</f>
        <v>437757818.25841242</v>
      </c>
      <c r="O30" s="1">
        <f>SUM(D30:N30)</f>
        <v>3127319412.7433147</v>
      </c>
    </row>
    <row r="31" spans="1:15" s="5" customFormat="1" x14ac:dyDescent="0.25">
      <c r="A31" s="7" t="s">
        <v>245</v>
      </c>
      <c r="B31" s="4" t="s">
        <v>45</v>
      </c>
      <c r="D31" s="6">
        <f>-Costs!D55</f>
        <v>-5104823.5491903005</v>
      </c>
      <c r="E31" s="6">
        <f>-Costs!E55+D31</f>
        <v>-16582482.268463872</v>
      </c>
      <c r="F31" s="6">
        <f>-Costs!F55+E31</f>
        <v>-36496824.918232299</v>
      </c>
      <c r="G31" s="6">
        <f>-Costs!G55+F31</f>
        <v>-71512988.807078838</v>
      </c>
      <c r="H31" s="6">
        <f>-Costs!H55+G31</f>
        <v>-130406672.50686833</v>
      </c>
      <c r="I31" s="6">
        <f>-Costs!I55+H31</f>
        <v>-202591162.39844114</v>
      </c>
      <c r="J31" s="6">
        <f>-Costs!J55+I31</f>
        <v>-270446489.69085962</v>
      </c>
      <c r="K31" s="6">
        <f>-Costs!K55+J31</f>
        <v>-331970115.80084002</v>
      </c>
      <c r="L31" s="6">
        <f>-Costs!L55+K31</f>
        <v>-380560052.90224075</v>
      </c>
      <c r="M31" s="6">
        <f>-Costs!M55+L31</f>
        <v>-407505646.39011198</v>
      </c>
      <c r="N31" s="6">
        <f>-Costs!N55+M31</f>
        <v>-417767896.60103136</v>
      </c>
      <c r="O31" s="12">
        <f>SUM(D31:N31)</f>
        <v>-2270945155.8333583</v>
      </c>
    </row>
    <row r="32" spans="1:15" s="5" customFormat="1" x14ac:dyDescent="0.25">
      <c r="A32" s="148" t="s">
        <v>242</v>
      </c>
      <c r="B32" s="149" t="s">
        <v>45</v>
      </c>
      <c r="C32" s="182"/>
      <c r="D32" s="150">
        <f>+D30+D31</f>
        <v>20419294.196761202</v>
      </c>
      <c r="E32" s="150">
        <f t="shared" ref="E32:N32" si="13">+E30+E31</f>
        <v>40805811.327903979</v>
      </c>
      <c r="F32" s="150">
        <f t="shared" si="13"/>
        <v>63074888.330609821</v>
      </c>
      <c r="G32" s="150">
        <f t="shared" si="13"/>
        <v>103567830.63715386</v>
      </c>
      <c r="H32" s="150">
        <f t="shared" si="13"/>
        <v>164061745.99207917</v>
      </c>
      <c r="I32" s="150">
        <f t="shared" si="13"/>
        <v>183855404.80537444</v>
      </c>
      <c r="J32" s="150">
        <f t="shared" si="13"/>
        <v>126218440.36760056</v>
      </c>
      <c r="K32" s="150">
        <f t="shared" si="13"/>
        <v>75219727.997904122</v>
      </c>
      <c r="L32" s="150">
        <f t="shared" si="13"/>
        <v>37470452.048995793</v>
      </c>
      <c r="M32" s="150">
        <f t="shared" si="13"/>
        <v>21690739.548191786</v>
      </c>
      <c r="N32" s="150">
        <f t="shared" si="13"/>
        <v>19989921.657381058</v>
      </c>
      <c r="O32" s="12"/>
    </row>
    <row r="33" spans="1:15" s="5" customFormat="1" ht="13.5" thickBot="1" x14ac:dyDescent="0.3">
      <c r="A33" s="89" t="s">
        <v>243</v>
      </c>
      <c r="B33" s="56" t="s">
        <v>45</v>
      </c>
      <c r="C33" s="44"/>
      <c r="D33" s="183">
        <f>+D32+D29</f>
        <v>20805621.934755389</v>
      </c>
      <c r="E33" s="183">
        <f t="shared" ref="E33:N33" si="14">+E32+E29</f>
        <v>44924941.603938743</v>
      </c>
      <c r="F33" s="183">
        <f t="shared" si="14"/>
        <v>72871309.530358911</v>
      </c>
      <c r="G33" s="183">
        <f t="shared" si="14"/>
        <v>123070659.5931015</v>
      </c>
      <c r="H33" s="183">
        <f t="shared" si="14"/>
        <v>203416290.55977067</v>
      </c>
      <c r="I33" s="183">
        <f t="shared" si="14"/>
        <v>247603896.52782583</v>
      </c>
      <c r="J33" s="183">
        <f t="shared" si="14"/>
        <v>201084458.25877598</v>
      </c>
      <c r="K33" s="183">
        <f t="shared" si="14"/>
        <v>284657980.66154176</v>
      </c>
      <c r="L33" s="183">
        <f t="shared" si="14"/>
        <v>398724631.54802954</v>
      </c>
      <c r="M33" s="183">
        <f t="shared" si="14"/>
        <v>534240440.83794117</v>
      </c>
      <c r="N33" s="183">
        <f t="shared" si="14"/>
        <v>682654776.68873751</v>
      </c>
      <c r="O33" s="12"/>
    </row>
    <row r="34" spans="1:15" x14ac:dyDescent="0.25">
      <c r="A34" s="7" t="s">
        <v>246</v>
      </c>
      <c r="B34" s="4" t="s">
        <v>45</v>
      </c>
      <c r="C34" s="171">
        <v>30</v>
      </c>
      <c r="D34" s="6">
        <f>$C$34*SUM(Costs!D29,Costs!D31,Costs!D32,Costs!D34,Costs!D35,Costs!D36,Costs!D37,Costs!D38,Costs!D39,Costs!D40,Costs!D41,Costs!D42,Costs!D43,Costs!D44)/365</f>
        <v>135647.64995716576</v>
      </c>
      <c r="E34" s="6">
        <f>$C$34*SUM(Costs!E29,Costs!E31,Costs!E32,Costs!E34,Costs!E35,Costs!E36,Costs!E37,Costs!E38,Costs!E39,Costs!E40,Costs!E41,Costs!E42,Costs!E43,Costs!E44)/365</f>
        <v>1408646.700843133</v>
      </c>
      <c r="F34" s="6">
        <f>$C$34*SUM(Costs!F29,Costs!F31,Costs!F32,Costs!F34,Costs!F35,Costs!F36,Costs!F37,Costs!F38,Costs!F39,Costs!F40,Costs!F41,Costs!F42,Costs!F43,Costs!F44)/365</f>
        <v>3106681.9307841724</v>
      </c>
      <c r="G34" s="6">
        <f>$C$34*SUM(Costs!G29,Costs!G31,Costs!G32,Costs!G34,Costs!G35,Costs!G36,Costs!G37,Costs!G38,Costs!G39,Costs!G40,Costs!G41,Costs!G42,Costs!G43,Costs!G44)/365</f>
        <v>6209862.413134085</v>
      </c>
      <c r="H34" s="6">
        <f>$C$34*SUM(Costs!H29,Costs!H31,Costs!H32,Costs!H34,Costs!H35,Costs!H36,Costs!H37,Costs!H38,Costs!H39,Costs!H40,Costs!H41,Costs!H42,Costs!H43,Costs!H44)/365</f>
        <v>12549657.425567141</v>
      </c>
      <c r="I34" s="6">
        <f>$C$34*SUM(Costs!I29,Costs!I31,Costs!I32,Costs!I34,Costs!I35,Costs!I36,Costs!I37,Costs!I38,Costs!I39,Costs!I40,Costs!I41,Costs!I42,Costs!I43,Costs!I44)/365</f>
        <v>19783982.162997339</v>
      </c>
      <c r="J34" s="6">
        <f>$C$34*SUM(Costs!J29,Costs!J31,Costs!J32,Costs!J34,Costs!J35,Costs!J36,Costs!J37,Costs!J38,Costs!J39,Costs!J40,Costs!J41,Costs!J42,Costs!J43,Costs!J44)/365</f>
        <v>22000699.367185581</v>
      </c>
      <c r="K34" s="6">
        <f>$C$34*SUM(Costs!K29,Costs!K31,Costs!K32,Costs!K34,Costs!K35,Costs!K36,Costs!K37,Costs!K38,Costs!K39,Costs!K40,Costs!K41,Costs!K42,Costs!K43,Costs!K44)/365</f>
        <v>22221324.540187553</v>
      </c>
      <c r="L34" s="6">
        <f>$C$34*SUM(Costs!L29,Costs!L31,Costs!L32,Costs!L34,Costs!L35,Costs!L36,Costs!L37,Costs!L38,Costs!L39,Costs!L40,Costs!L41,Costs!L42,Costs!L43,Costs!L44)/365</f>
        <v>22888738.223170046</v>
      </c>
      <c r="M34" s="6">
        <f>$C$34*SUM(Costs!M29,Costs!M31,Costs!M32,Costs!M34,Costs!M35,Costs!M36,Costs!M37,Costs!M38,Costs!M39,Costs!M40,Costs!M41,Costs!M42,Costs!M43,Costs!M44)/365</f>
        <v>23646148.465553295</v>
      </c>
      <c r="N34" s="6">
        <f>$C$34*SUM(Costs!N29,Costs!N31,Costs!N32,Costs!N34,Costs!N35,Costs!N36,Costs!N37,Costs!N38,Costs!N39,Costs!N40,Costs!N41,Costs!N42,Costs!N43,Costs!N44)/365</f>
        <v>24483592.720588878</v>
      </c>
      <c r="O34" s="1"/>
    </row>
    <row r="35" spans="1:15" x14ac:dyDescent="0.25">
      <c r="A35" s="7" t="s">
        <v>268</v>
      </c>
      <c r="B35" s="4" t="s">
        <v>45</v>
      </c>
      <c r="C35" s="4"/>
      <c r="D35" s="6">
        <f>IF(D18&lt;0,-D18,0)</f>
        <v>0</v>
      </c>
      <c r="E35" s="6">
        <f t="shared" ref="E35:N35" si="15">IF(E18&lt;0,-E18,0)</f>
        <v>2833622.290153604</v>
      </c>
      <c r="F35" s="6">
        <f t="shared" si="15"/>
        <v>5707901.4945351891</v>
      </c>
      <c r="G35" s="6">
        <f t="shared" si="15"/>
        <v>8592172.1837768666</v>
      </c>
      <c r="H35" s="6">
        <f t="shared" si="15"/>
        <v>13495081.297782179</v>
      </c>
      <c r="I35" s="6">
        <f t="shared" si="15"/>
        <v>19745489.148330387</v>
      </c>
      <c r="J35" s="6">
        <f t="shared" si="15"/>
        <v>3371376.9998204503</v>
      </c>
      <c r="K35" s="6">
        <f t="shared" si="15"/>
        <v>0</v>
      </c>
      <c r="L35" s="6">
        <f t="shared" si="15"/>
        <v>0</v>
      </c>
      <c r="M35" s="6">
        <f t="shared" si="15"/>
        <v>0</v>
      </c>
      <c r="N35" s="6">
        <f t="shared" si="15"/>
        <v>0</v>
      </c>
      <c r="O35" s="1"/>
    </row>
    <row r="36" spans="1:15" x14ac:dyDescent="0.25">
      <c r="A36" s="1" t="s">
        <v>267</v>
      </c>
      <c r="B36" s="76" t="s">
        <v>45</v>
      </c>
      <c r="D36" s="31">
        <f>+D9+D10</f>
        <v>23613519.092338361</v>
      </c>
      <c r="E36" s="31">
        <f t="shared" ref="E36:N36" si="16">+E9+E10+D36</f>
        <v>47565845.787793241</v>
      </c>
      <c r="F36" s="31">
        <f t="shared" si="16"/>
        <v>71601434.864807218</v>
      </c>
      <c r="G36" s="31">
        <f t="shared" si="16"/>
        <v>112459010.81485151</v>
      </c>
      <c r="H36" s="31">
        <f t="shared" si="16"/>
        <v>164545742.90275332</v>
      </c>
      <c r="I36" s="31">
        <f t="shared" si="16"/>
        <v>143714304.33393964</v>
      </c>
      <c r="J36" s="31">
        <f t="shared" si="16"/>
        <v>19745489.14833039</v>
      </c>
      <c r="K36" s="31">
        <f t="shared" si="16"/>
        <v>3371376.9998204503</v>
      </c>
      <c r="L36" s="31">
        <f t="shared" si="16"/>
        <v>9.3132257461547852E-9</v>
      </c>
      <c r="M36" s="31">
        <f t="shared" si="16"/>
        <v>9.3132257461547852E-9</v>
      </c>
      <c r="N36" s="31">
        <f t="shared" si="16"/>
        <v>9.3132257461547852E-9</v>
      </c>
    </row>
    <row r="37" spans="1:15" x14ac:dyDescent="0.25">
      <c r="A37" s="186" t="s">
        <v>251</v>
      </c>
      <c r="B37" s="187" t="s">
        <v>45</v>
      </c>
      <c r="C37" s="180"/>
      <c r="D37" s="188">
        <f t="shared" ref="D37:N37" si="17">SUM(D34:D36)</f>
        <v>23749166.742295526</v>
      </c>
      <c r="E37" s="188">
        <f t="shared" si="17"/>
        <v>51808114.778789982</v>
      </c>
      <c r="F37" s="188">
        <f t="shared" si="17"/>
        <v>80416018.290126577</v>
      </c>
      <c r="G37" s="188">
        <f t="shared" si="17"/>
        <v>127261045.41176246</v>
      </c>
      <c r="H37" s="188">
        <f t="shared" si="17"/>
        <v>190590481.62610263</v>
      </c>
      <c r="I37" s="188">
        <f t="shared" si="17"/>
        <v>183243775.64526737</v>
      </c>
      <c r="J37" s="188">
        <f t="shared" si="17"/>
        <v>45117565.515336424</v>
      </c>
      <c r="K37" s="188">
        <f t="shared" si="17"/>
        <v>25592701.540008001</v>
      </c>
      <c r="L37" s="188">
        <f t="shared" si="17"/>
        <v>22888738.223170057</v>
      </c>
      <c r="M37" s="188">
        <f t="shared" si="17"/>
        <v>23646148.465553306</v>
      </c>
      <c r="N37" s="188">
        <f t="shared" si="17"/>
        <v>24483592.720588885</v>
      </c>
    </row>
    <row r="38" spans="1:15" x14ac:dyDescent="0.25">
      <c r="A38" s="1" t="s">
        <v>247</v>
      </c>
      <c r="B38" s="76" t="s">
        <v>45</v>
      </c>
      <c r="D38" s="1">
        <f>BS!D13+C38</f>
        <v>0</v>
      </c>
      <c r="E38" s="1">
        <f>BS!E13+D38</f>
        <v>0</v>
      </c>
      <c r="F38" s="1">
        <f>BS!F13+E38</f>
        <v>0</v>
      </c>
      <c r="G38" s="1">
        <f>BS!G13+F38</f>
        <v>0</v>
      </c>
      <c r="H38" s="1">
        <f>BS!H13+G38</f>
        <v>0</v>
      </c>
      <c r="I38" s="1">
        <f>BS!I13+H38</f>
        <v>0</v>
      </c>
      <c r="J38" s="1">
        <f>BS!J13+I38</f>
        <v>0</v>
      </c>
      <c r="K38" s="1">
        <f>BS!K13+J38</f>
        <v>0</v>
      </c>
      <c r="L38" s="1">
        <f>BS!L13+K38</f>
        <v>0</v>
      </c>
      <c r="M38" s="1">
        <f>BS!M13+L38</f>
        <v>0</v>
      </c>
      <c r="N38" s="1">
        <f>BS!N13+M38</f>
        <v>0</v>
      </c>
    </row>
    <row r="39" spans="1:15" x14ac:dyDescent="0.25">
      <c r="A39" s="1" t="s">
        <v>248</v>
      </c>
      <c r="B39" s="76" t="s">
        <v>45</v>
      </c>
      <c r="D39" s="31">
        <f>CF!D14</f>
        <v>-2943544.8075401392</v>
      </c>
      <c r="E39" s="31">
        <f>CF!E14</f>
        <v>-3939628.3673110912</v>
      </c>
      <c r="F39" s="31">
        <f>CF!F14</f>
        <v>-661535.58491642447</v>
      </c>
      <c r="G39" s="31">
        <f>CF!G14</f>
        <v>3354322.9411067283</v>
      </c>
      <c r="H39" s="31">
        <f>CF!H14</f>
        <v>17016194.75232897</v>
      </c>
      <c r="I39" s="31">
        <f>CF!I14</f>
        <v>51534311.948890448</v>
      </c>
      <c r="J39" s="31">
        <f>CF!J14</f>
        <v>91606771.860881075</v>
      </c>
      <c r="K39" s="31">
        <f>CF!K14</f>
        <v>103098386.37809417</v>
      </c>
      <c r="L39" s="31">
        <f>CF!L14</f>
        <v>116770614.20332572</v>
      </c>
      <c r="M39" s="31">
        <f>CF!M14</f>
        <v>134758399.04752833</v>
      </c>
      <c r="N39" s="31">
        <f>CF!N14</f>
        <v>147576891.5957607</v>
      </c>
    </row>
    <row r="40" spans="1:15" x14ac:dyDescent="0.25">
      <c r="A40" s="1" t="s">
        <v>249</v>
      </c>
      <c r="B40" s="76" t="s">
        <v>45</v>
      </c>
      <c r="D40" s="72">
        <f>+C39+C40</f>
        <v>0</v>
      </c>
      <c r="E40" s="72">
        <f t="shared" ref="E40:N40" si="18">+D39+D40</f>
        <v>-2943544.8075401392</v>
      </c>
      <c r="F40" s="72">
        <f t="shared" si="18"/>
        <v>-6883173.1748512303</v>
      </c>
      <c r="G40" s="72">
        <f t="shared" si="18"/>
        <v>-7544708.7597676553</v>
      </c>
      <c r="H40" s="72">
        <f t="shared" si="18"/>
        <v>-4190385.818660927</v>
      </c>
      <c r="I40" s="72">
        <f t="shared" si="18"/>
        <v>12825808.933668043</v>
      </c>
      <c r="J40" s="72">
        <f t="shared" si="18"/>
        <v>64360120.882558495</v>
      </c>
      <c r="K40" s="72">
        <f t="shared" si="18"/>
        <v>155966892.74343956</v>
      </c>
      <c r="L40" s="72">
        <f t="shared" si="18"/>
        <v>259065279.12153372</v>
      </c>
      <c r="M40" s="72">
        <f t="shared" si="18"/>
        <v>375835893.32485944</v>
      </c>
      <c r="N40" s="72">
        <f t="shared" si="18"/>
        <v>510594292.37238777</v>
      </c>
    </row>
    <row r="41" spans="1:15" x14ac:dyDescent="0.25">
      <c r="A41" s="186" t="s">
        <v>250</v>
      </c>
      <c r="B41" s="187" t="s">
        <v>45</v>
      </c>
      <c r="C41" s="180"/>
      <c r="D41" s="181">
        <f>SUM(D38:D40)</f>
        <v>-2943544.8075401392</v>
      </c>
      <c r="E41" s="181">
        <f t="shared" ref="E41:N41" si="19">SUM(E38:E40)</f>
        <v>-6883173.1748512303</v>
      </c>
      <c r="F41" s="181">
        <f t="shared" si="19"/>
        <v>-7544708.7597676553</v>
      </c>
      <c r="G41" s="181">
        <f t="shared" si="19"/>
        <v>-4190385.818660927</v>
      </c>
      <c r="H41" s="181">
        <f t="shared" si="19"/>
        <v>12825808.933668043</v>
      </c>
      <c r="I41" s="181">
        <f t="shared" si="19"/>
        <v>64360120.882558495</v>
      </c>
      <c r="J41" s="181">
        <f t="shared" si="19"/>
        <v>155966892.74343956</v>
      </c>
      <c r="K41" s="181">
        <f t="shared" si="19"/>
        <v>259065279.12153372</v>
      </c>
      <c r="L41" s="181">
        <f t="shared" si="19"/>
        <v>375835893.32485944</v>
      </c>
      <c r="M41" s="181">
        <f t="shared" si="19"/>
        <v>510594292.37238777</v>
      </c>
      <c r="N41" s="181">
        <f t="shared" si="19"/>
        <v>658171183.96814847</v>
      </c>
    </row>
    <row r="42" spans="1:15" ht="13.5" thickBot="1" x14ac:dyDescent="0.3">
      <c r="A42" s="184" t="s">
        <v>264</v>
      </c>
      <c r="B42" s="43" t="s">
        <v>45</v>
      </c>
      <c r="C42" s="44"/>
      <c r="D42" s="185">
        <f>+D41+D37</f>
        <v>20805621.934755385</v>
      </c>
      <c r="E42" s="185">
        <f t="shared" ref="E42:N42" si="20">+E41+E37</f>
        <v>44924941.603938751</v>
      </c>
      <c r="F42" s="185">
        <f t="shared" si="20"/>
        <v>72871309.530358925</v>
      </c>
      <c r="G42" s="185">
        <f t="shared" si="20"/>
        <v>123070659.59310153</v>
      </c>
      <c r="H42" s="185">
        <f t="shared" si="20"/>
        <v>203416290.55977067</v>
      </c>
      <c r="I42" s="185">
        <f t="shared" si="20"/>
        <v>247603896.52782586</v>
      </c>
      <c r="J42" s="185">
        <f t="shared" si="20"/>
        <v>201084458.25877598</v>
      </c>
      <c r="K42" s="185">
        <f t="shared" si="20"/>
        <v>284657980.6615417</v>
      </c>
      <c r="L42" s="185">
        <f t="shared" si="20"/>
        <v>398724631.54802948</v>
      </c>
      <c r="M42" s="185">
        <f t="shared" si="20"/>
        <v>534240440.83794105</v>
      </c>
      <c r="N42" s="185">
        <f t="shared" si="20"/>
        <v>682654776.68873739</v>
      </c>
    </row>
    <row r="43" spans="1:15" x14ac:dyDescent="0.25">
      <c r="D43" s="31">
        <f>+D42-D33</f>
        <v>0</v>
      </c>
      <c r="E43" s="72">
        <f t="shared" ref="E43:N43" si="21">+E33-E42</f>
        <v>0</v>
      </c>
      <c r="F43" s="72">
        <f t="shared" si="21"/>
        <v>0</v>
      </c>
      <c r="G43" s="72">
        <f t="shared" si="21"/>
        <v>0</v>
      </c>
      <c r="H43" s="72">
        <f t="shared" si="21"/>
        <v>0</v>
      </c>
      <c r="I43" s="72">
        <f t="shared" si="21"/>
        <v>0</v>
      </c>
      <c r="J43" s="72">
        <f t="shared" si="21"/>
        <v>0</v>
      </c>
      <c r="K43" s="72">
        <f t="shared" si="21"/>
        <v>0</v>
      </c>
      <c r="L43" s="72">
        <f t="shared" si="21"/>
        <v>0</v>
      </c>
      <c r="M43" s="72">
        <f t="shared" si="21"/>
        <v>0</v>
      </c>
      <c r="N43" s="72">
        <f t="shared" si="21"/>
        <v>0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zoomScaleNormal="100" workbookViewId="0">
      <selection activeCell="D12" sqref="D12"/>
    </sheetView>
  </sheetViews>
  <sheetFormatPr defaultRowHeight="12.75" x14ac:dyDescent="0.25"/>
  <cols>
    <col min="1" max="1" width="22" style="2" bestFit="1" customWidth="1"/>
    <col min="2" max="2" width="6.42578125" style="2" bestFit="1" customWidth="1"/>
    <col min="3" max="3" width="3.5703125" style="2" bestFit="1" customWidth="1"/>
    <col min="4" max="4" width="11" style="2" bestFit="1" customWidth="1"/>
    <col min="5" max="6" width="10.28515625" style="2" bestFit="1" customWidth="1"/>
    <col min="7" max="7" width="10.7109375" style="2" bestFit="1" customWidth="1"/>
    <col min="8" max="9" width="10.85546875" style="2" bestFit="1" customWidth="1"/>
    <col min="10" max="11" width="11.42578125" style="2" bestFit="1" customWidth="1"/>
    <col min="12" max="12" width="10.7109375" style="2" bestFit="1" customWidth="1"/>
    <col min="13" max="14" width="10.5703125" style="2" bestFit="1" customWidth="1"/>
    <col min="15" max="15" width="9.5703125" style="2" bestFit="1" customWidth="1"/>
    <col min="16" max="16384" width="9.140625" style="2"/>
  </cols>
  <sheetData>
    <row r="2" spans="1:14" ht="13.5" thickBot="1" x14ac:dyDescent="0.3">
      <c r="A2" s="55" t="s">
        <v>211</v>
      </c>
      <c r="B2" s="43"/>
      <c r="C2" s="68" t="str">
        <f>Revenue!C$1</f>
        <v>@</v>
      </c>
      <c r="D2" s="68">
        <f>Revenue!D$1</f>
        <v>0</v>
      </c>
      <c r="E2" s="68">
        <f>Revenue!E$1</f>
        <v>1</v>
      </c>
      <c r="F2" s="68">
        <f>Revenue!F$1</f>
        <v>2</v>
      </c>
      <c r="G2" s="68">
        <f>Revenue!G$1</f>
        <v>3</v>
      </c>
      <c r="H2" s="68">
        <f>Revenue!H$1</f>
        <v>4</v>
      </c>
      <c r="I2" s="68">
        <f>Revenue!I$1</f>
        <v>5</v>
      </c>
      <c r="J2" s="68">
        <f>Revenue!J$1</f>
        <v>6</v>
      </c>
      <c r="K2" s="68">
        <f>Revenue!K$1</f>
        <v>7</v>
      </c>
      <c r="L2" s="68">
        <f>Revenue!L$1</f>
        <v>8</v>
      </c>
      <c r="M2" s="68">
        <f>Revenue!M$1</f>
        <v>9</v>
      </c>
      <c r="N2" s="68">
        <f>Revenue!N$1</f>
        <v>10</v>
      </c>
    </row>
    <row r="3" spans="1:14" x14ac:dyDescent="0.25">
      <c r="A3" s="3" t="s">
        <v>93</v>
      </c>
      <c r="B3" s="4" t="s">
        <v>45</v>
      </c>
      <c r="C3" s="5"/>
      <c r="D3" s="6">
        <f>Revenue!D63</f>
        <v>2897980.3125</v>
      </c>
      <c r="E3" s="6">
        <f>Revenue!E63</f>
        <v>30868486.779775523</v>
      </c>
      <c r="F3" s="6">
        <f>Revenue!F63</f>
        <v>76585917.958756059</v>
      </c>
      <c r="G3" s="6">
        <f>Revenue!G63</f>
        <v>152131285.56427708</v>
      </c>
      <c r="H3" s="6">
        <f>Revenue!H63</f>
        <v>306843135.46800089</v>
      </c>
      <c r="I3" s="6">
        <f>Revenue!I63</f>
        <v>504613557.32105911</v>
      </c>
      <c r="J3" s="6">
        <f>Revenue!J63</f>
        <v>609961806.71025753</v>
      </c>
      <c r="K3" s="6">
        <f>Revenue!K63</f>
        <v>608088655.8213762</v>
      </c>
      <c r="L3" s="6">
        <f>Revenue!L63</f>
        <v>620915303.72051132</v>
      </c>
      <c r="M3" s="6">
        <f>Revenue!M63</f>
        <v>634173301.25517952</v>
      </c>
      <c r="N3" s="6">
        <f>Revenue!N63</f>
        <v>646126365.48929763</v>
      </c>
    </row>
    <row r="4" spans="1:14" ht="15" x14ac:dyDescent="0.4">
      <c r="A4" s="7" t="s">
        <v>94</v>
      </c>
      <c r="B4" s="4" t="s">
        <v>45</v>
      </c>
      <c r="C4" s="5"/>
      <c r="D4" s="8">
        <f>-Costs!D57</f>
        <v>-741796.453125</v>
      </c>
      <c r="E4" s="8">
        <f>-Costs!E57</f>
        <v>-6869492.1644847514</v>
      </c>
      <c r="F4" s="8">
        <f>-Costs!F57</f>
        <v>-17844161.02907807</v>
      </c>
      <c r="G4" s="8">
        <f>-Costs!G57</f>
        <v>-35189617.685748935</v>
      </c>
      <c r="H4" s="8">
        <f>-Costs!H57</f>
        <v>-70713229.034055218</v>
      </c>
      <c r="I4" s="8">
        <f>-Costs!I57</f>
        <v>-118117621.88444689</v>
      </c>
      <c r="J4" s="8">
        <f>-Costs!J57</f>
        <v>-147665614.80261427</v>
      </c>
      <c r="K4" s="8">
        <f>-Costs!K57</f>
        <v>-146814701.5902946</v>
      </c>
      <c r="L4" s="8">
        <f>-Costs!L57</f>
        <v>-150357874.25008228</v>
      </c>
      <c r="M4" s="8">
        <f>-Costs!M57</f>
        <v>-154337953.23820558</v>
      </c>
      <c r="N4" s="8">
        <f>-Costs!N57</f>
        <v>-158426584.38053188</v>
      </c>
    </row>
    <row r="5" spans="1:14" x14ac:dyDescent="0.25">
      <c r="A5" s="7" t="s">
        <v>95</v>
      </c>
      <c r="B5" s="4" t="s">
        <v>45</v>
      </c>
      <c r="C5" s="5"/>
      <c r="D5" s="6">
        <f>+D3+D4</f>
        <v>2156183.859375</v>
      </c>
      <c r="E5" s="6">
        <f t="shared" ref="E5:N5" si="0">+E3+E4</f>
        <v>23998994.615290772</v>
      </c>
      <c r="F5" s="6">
        <f t="shared" si="0"/>
        <v>58741756.929677993</v>
      </c>
      <c r="G5" s="6">
        <f t="shared" si="0"/>
        <v>116941667.87852815</v>
      </c>
      <c r="H5" s="6">
        <f t="shared" si="0"/>
        <v>236129906.43394566</v>
      </c>
      <c r="I5" s="6">
        <f t="shared" si="0"/>
        <v>386495935.43661225</v>
      </c>
      <c r="J5" s="6">
        <f t="shared" si="0"/>
        <v>462296191.90764326</v>
      </c>
      <c r="K5" s="6">
        <f t="shared" si="0"/>
        <v>461273954.2310816</v>
      </c>
      <c r="L5" s="6">
        <f t="shared" si="0"/>
        <v>470557429.47042906</v>
      </c>
      <c r="M5" s="6">
        <f t="shared" si="0"/>
        <v>479835348.01697397</v>
      </c>
      <c r="N5" s="6">
        <f t="shared" si="0"/>
        <v>487699781.10876572</v>
      </c>
    </row>
    <row r="6" spans="1:14" ht="15" x14ac:dyDescent="0.4">
      <c r="A6" s="7" t="s">
        <v>96</v>
      </c>
      <c r="B6" s="4" t="s">
        <v>45</v>
      </c>
      <c r="C6" s="5"/>
      <c r="D6" s="8">
        <f>-Costs!D58</f>
        <v>-598382.69400000002</v>
      </c>
      <c r="E6" s="8">
        <f>-Costs!E58</f>
        <v>-6465698.5970497699</v>
      </c>
      <c r="F6" s="8">
        <f>-Costs!F58</f>
        <v>-16886165.791340847</v>
      </c>
      <c r="G6" s="8">
        <f>-Costs!G58</f>
        <v>-33323206.53536639</v>
      </c>
      <c r="H6" s="8">
        <f>-Costs!H58</f>
        <v>-67067723.540202715</v>
      </c>
      <c r="I6" s="8">
        <f>-Costs!I58</f>
        <v>-112495530.14631507</v>
      </c>
      <c r="J6" s="8">
        <f>-Costs!J58</f>
        <v>-141606725.73011386</v>
      </c>
      <c r="K6" s="8">
        <f>-Costs!K58</f>
        <v>-141507201.41551429</v>
      </c>
      <c r="L6" s="8">
        <f>-Costs!L58</f>
        <v>-146051802.37565592</v>
      </c>
      <c r="M6" s="8">
        <f>-Costs!M58</f>
        <v>-151581859.10015813</v>
      </c>
      <c r="N6" s="8">
        <f>-Costs!N58</f>
        <v>-158056838.25673866</v>
      </c>
    </row>
    <row r="7" spans="1:14" x14ac:dyDescent="0.25">
      <c r="A7" s="7" t="s">
        <v>97</v>
      </c>
      <c r="B7" s="4" t="s">
        <v>45</v>
      </c>
      <c r="C7" s="5"/>
      <c r="D7" s="6">
        <f>+D5+D6</f>
        <v>1557801.1653749999</v>
      </c>
      <c r="E7" s="6">
        <f t="shared" ref="E7:N7" si="1">+E5+E6</f>
        <v>17533296.018241003</v>
      </c>
      <c r="F7" s="6">
        <f t="shared" si="1"/>
        <v>41855591.13833715</v>
      </c>
      <c r="G7" s="6">
        <f t="shared" si="1"/>
        <v>83618461.343161762</v>
      </c>
      <c r="H7" s="6">
        <f t="shared" si="1"/>
        <v>169062182.89374295</v>
      </c>
      <c r="I7" s="6">
        <f t="shared" si="1"/>
        <v>274000405.29029715</v>
      </c>
      <c r="J7" s="6">
        <f t="shared" si="1"/>
        <v>320689466.17752939</v>
      </c>
      <c r="K7" s="6">
        <f t="shared" si="1"/>
        <v>319766752.81556731</v>
      </c>
      <c r="L7" s="6">
        <f t="shared" si="1"/>
        <v>324505627.09477317</v>
      </c>
      <c r="M7" s="6">
        <f t="shared" si="1"/>
        <v>328253488.91681588</v>
      </c>
      <c r="N7" s="6">
        <f t="shared" si="1"/>
        <v>329642942.85202706</v>
      </c>
    </row>
    <row r="8" spans="1:14" ht="15" x14ac:dyDescent="0.4">
      <c r="A8" s="7" t="s">
        <v>98</v>
      </c>
      <c r="B8" s="4" t="s">
        <v>45</v>
      </c>
      <c r="C8" s="5"/>
      <c r="D8" s="8">
        <f>-Costs!D59</f>
        <v>-912893.99214551679</v>
      </c>
      <c r="E8" s="8">
        <f>-Costs!E59</f>
        <v>-9191148.8977791183</v>
      </c>
      <c r="F8" s="8">
        <f>-Costs!F59</f>
        <v>-17235673.637846299</v>
      </c>
      <c r="G8" s="8">
        <f>-Costs!G59</f>
        <v>-34927817.784013003</v>
      </c>
      <c r="H8" s="8">
        <f>-Costs!H59</f>
        <v>-70891304.635066763</v>
      </c>
      <c r="I8" s="8">
        <f>-Costs!I59</f>
        <v>-103988135.41874173</v>
      </c>
      <c r="J8" s="8">
        <f>-Costs!J59</f>
        <v>-96790283.181884989</v>
      </c>
      <c r="K8" s="8">
        <f>-Costs!K59</f>
        <v>-99663991.677341551</v>
      </c>
      <c r="L8" s="8">
        <f>-Costs!L59</f>
        <v>-102623911.42766178</v>
      </c>
      <c r="M8" s="8">
        <f>-Costs!M59</f>
        <v>-105672628.77049164</v>
      </c>
      <c r="N8" s="8">
        <f>-Costs!N59</f>
        <v>-108812807.6336064</v>
      </c>
    </row>
    <row r="9" spans="1:14" x14ac:dyDescent="0.25">
      <c r="A9" s="7" t="s">
        <v>100</v>
      </c>
      <c r="B9" s="4" t="s">
        <v>45</v>
      </c>
      <c r="C9" s="5"/>
      <c r="D9" s="6">
        <f>+D7+D8</f>
        <v>644907.17322948307</v>
      </c>
      <c r="E9" s="6">
        <f t="shared" ref="E9:N9" si="2">+E7+E8</f>
        <v>8342147.1204618849</v>
      </c>
      <c r="F9" s="6">
        <f t="shared" si="2"/>
        <v>24619917.500490852</v>
      </c>
      <c r="G9" s="6">
        <f t="shared" si="2"/>
        <v>48690643.559148759</v>
      </c>
      <c r="H9" s="6">
        <f t="shared" si="2"/>
        <v>98170878.258676186</v>
      </c>
      <c r="I9" s="6">
        <f t="shared" si="2"/>
        <v>170012269.87155542</v>
      </c>
      <c r="J9" s="6">
        <f t="shared" si="2"/>
        <v>223899182.99564439</v>
      </c>
      <c r="K9" s="6">
        <f t="shared" si="2"/>
        <v>220102761.13822576</v>
      </c>
      <c r="L9" s="6">
        <f t="shared" si="2"/>
        <v>221881715.6671114</v>
      </c>
      <c r="M9" s="6">
        <f t="shared" si="2"/>
        <v>222580860.14632422</v>
      </c>
      <c r="N9" s="6">
        <f t="shared" si="2"/>
        <v>220830135.21842065</v>
      </c>
    </row>
    <row r="10" spans="1:14" ht="15" x14ac:dyDescent="0.4">
      <c r="A10" s="7" t="s">
        <v>91</v>
      </c>
      <c r="B10" s="4" t="s">
        <v>45</v>
      </c>
      <c r="C10" s="5"/>
      <c r="D10" s="8">
        <f>-Costs!D60</f>
        <v>-5104823.5491903005</v>
      </c>
      <c r="E10" s="8">
        <f>-Costs!E60</f>
        <v>-11477658.719273571</v>
      </c>
      <c r="F10" s="8">
        <f>-Costs!F60</f>
        <v>-19914342.649768427</v>
      </c>
      <c r="G10" s="8">
        <f>-Costs!G60</f>
        <v>-35016163.888846546</v>
      </c>
      <c r="H10" s="8">
        <f>-Costs!H60</f>
        <v>-58893683.699789502</v>
      </c>
      <c r="I10" s="8">
        <f>-Costs!I60</f>
        <v>-72184489.891572818</v>
      </c>
      <c r="J10" s="8">
        <f>-Costs!J60</f>
        <v>-67855327.292418465</v>
      </c>
      <c r="K10" s="8">
        <f>-Costs!K60</f>
        <v>-61523626.109980397</v>
      </c>
      <c r="L10" s="8">
        <f>-Costs!L60</f>
        <v>-48589937.101400763</v>
      </c>
      <c r="M10" s="8">
        <f>-Costs!M60</f>
        <v>-26945593.487871252</v>
      </c>
      <c r="N10" s="8">
        <f>-Costs!N60</f>
        <v>-10262250.210919362</v>
      </c>
    </row>
    <row r="11" spans="1:14" x14ac:dyDescent="0.25">
      <c r="A11" s="7" t="s">
        <v>99</v>
      </c>
      <c r="B11" s="4" t="s">
        <v>45</v>
      </c>
      <c r="C11" s="5"/>
      <c r="D11" s="6">
        <f>+D9+D10</f>
        <v>-4459916.3759608176</v>
      </c>
      <c r="E11" s="6">
        <f t="shared" ref="E11:N11" si="3">+E9+E10</f>
        <v>-3135511.598811686</v>
      </c>
      <c r="F11" s="6">
        <f t="shared" si="3"/>
        <v>4705574.8507224247</v>
      </c>
      <c r="G11" s="6">
        <f t="shared" si="3"/>
        <v>13674479.670302212</v>
      </c>
      <c r="H11" s="6">
        <f t="shared" si="3"/>
        <v>39277194.558886684</v>
      </c>
      <c r="I11" s="6">
        <f t="shared" si="3"/>
        <v>97827779.9799826</v>
      </c>
      <c r="J11" s="6">
        <f t="shared" si="3"/>
        <v>156043855.70322591</v>
      </c>
      <c r="K11" s="6">
        <f t="shared" si="3"/>
        <v>158579135.02824536</v>
      </c>
      <c r="L11" s="6">
        <f t="shared" si="3"/>
        <v>173291778.56571063</v>
      </c>
      <c r="M11" s="6">
        <f t="shared" si="3"/>
        <v>195635266.65845296</v>
      </c>
      <c r="N11" s="6">
        <f t="shared" si="3"/>
        <v>210567885.0075013</v>
      </c>
    </row>
    <row r="12" spans="1:14" x14ac:dyDescent="0.25">
      <c r="A12" s="7" t="s">
        <v>256</v>
      </c>
      <c r="B12" s="4" t="s">
        <v>45</v>
      </c>
      <c r="D12" s="72">
        <f>+BS!D11</f>
        <v>8.9999999999999998E-4</v>
      </c>
      <c r="E12" s="72">
        <f>+BS!E11</f>
        <v>-2833622.2910536034</v>
      </c>
      <c r="F12" s="72">
        <f>+BS!F11</f>
        <v>-5707901.4945351891</v>
      </c>
      <c r="G12" s="72">
        <f>+BS!G11</f>
        <v>-8592172.1837768666</v>
      </c>
      <c r="H12" s="72">
        <f>+BS!H11</f>
        <v>-13495081.297782181</v>
      </c>
      <c r="I12" s="72">
        <f>+BS!I11</f>
        <v>-19745489.148330398</v>
      </c>
      <c r="J12" s="72">
        <f>+BS!J11</f>
        <v>-17245716.520072758</v>
      </c>
      <c r="K12" s="72">
        <f>+BS!K11</f>
        <v>-2369458.6977996468</v>
      </c>
      <c r="L12" s="72">
        <f>+BS!L11</f>
        <v>3633394.469631372</v>
      </c>
      <c r="M12" s="72">
        <f>+BS!M11</f>
        <v>8544125.8378020972</v>
      </c>
      <c r="N12" s="72">
        <f>+BS!N11</f>
        <v>13033465.895166466</v>
      </c>
    </row>
    <row r="13" spans="1:14" ht="15" x14ac:dyDescent="0.4">
      <c r="A13" s="7" t="s">
        <v>101</v>
      </c>
      <c r="B13" s="4" t="s">
        <v>45</v>
      </c>
      <c r="C13" s="9">
        <v>0.34</v>
      </c>
      <c r="D13" s="8">
        <f>-(D11+D12)*$C$13</f>
        <v>1516371.567520678</v>
      </c>
      <c r="E13" s="8">
        <f t="shared" ref="E13:N13" si="4">-(E11+E12)*$C$13</f>
        <v>2029505.5225541985</v>
      </c>
      <c r="F13" s="8">
        <f t="shared" si="4"/>
        <v>340791.05889633991</v>
      </c>
      <c r="G13" s="8">
        <f t="shared" si="4"/>
        <v>-1727984.5454186175</v>
      </c>
      <c r="H13" s="8">
        <f t="shared" si="4"/>
        <v>-8765918.5087755304</v>
      </c>
      <c r="I13" s="8">
        <f t="shared" si="4"/>
        <v>-26547978.882761747</v>
      </c>
      <c r="J13" s="8">
        <f t="shared" si="4"/>
        <v>-47191367.322272077</v>
      </c>
      <c r="K13" s="8">
        <f t="shared" si="4"/>
        <v>-53111289.952351548</v>
      </c>
      <c r="L13" s="8">
        <f t="shared" si="4"/>
        <v>-60154558.832016289</v>
      </c>
      <c r="M13" s="8">
        <f t="shared" si="4"/>
        <v>-69420993.448726714</v>
      </c>
      <c r="N13" s="8">
        <f t="shared" si="4"/>
        <v>-76024459.306907043</v>
      </c>
    </row>
    <row r="14" spans="1:14" x14ac:dyDescent="0.25">
      <c r="A14" s="7" t="s">
        <v>185</v>
      </c>
      <c r="B14" s="4" t="s">
        <v>45</v>
      </c>
      <c r="C14" s="9"/>
      <c r="D14" s="6">
        <f>SUM(D11:D13)</f>
        <v>-2943544.8075401392</v>
      </c>
      <c r="E14" s="6">
        <f t="shared" ref="E14:N14" si="5">SUM(E11:E13)</f>
        <v>-3939628.3673110912</v>
      </c>
      <c r="F14" s="6">
        <f t="shared" si="5"/>
        <v>-661535.58491642447</v>
      </c>
      <c r="G14" s="6">
        <f t="shared" si="5"/>
        <v>3354322.9411067283</v>
      </c>
      <c r="H14" s="6">
        <f t="shared" si="5"/>
        <v>17016194.75232897</v>
      </c>
      <c r="I14" s="6">
        <f t="shared" si="5"/>
        <v>51534311.948890448</v>
      </c>
      <c r="J14" s="6">
        <f t="shared" si="5"/>
        <v>91606771.860881075</v>
      </c>
      <c r="K14" s="6">
        <f t="shared" si="5"/>
        <v>103098386.37809417</v>
      </c>
      <c r="L14" s="6">
        <f t="shared" si="5"/>
        <v>116770614.20332572</v>
      </c>
      <c r="M14" s="6">
        <f t="shared" si="5"/>
        <v>134758399.04752833</v>
      </c>
      <c r="N14" s="6">
        <f t="shared" si="5"/>
        <v>147576891.5957607</v>
      </c>
    </row>
    <row r="15" spans="1:14" x14ac:dyDescent="0.25">
      <c r="A15" s="7" t="s">
        <v>256</v>
      </c>
      <c r="B15" s="4" t="s">
        <v>45</v>
      </c>
      <c r="D15" s="72">
        <f>-D12</f>
        <v>-8.9999999999999998E-4</v>
      </c>
      <c r="E15" s="72">
        <f t="shared" ref="E15:N15" si="6">-E12</f>
        <v>2833622.2910536034</v>
      </c>
      <c r="F15" s="72">
        <f t="shared" si="6"/>
        <v>5707901.4945351891</v>
      </c>
      <c r="G15" s="72">
        <f t="shared" si="6"/>
        <v>8592172.1837768666</v>
      </c>
      <c r="H15" s="72">
        <f t="shared" si="6"/>
        <v>13495081.297782181</v>
      </c>
      <c r="I15" s="72">
        <f t="shared" si="6"/>
        <v>19745489.148330398</v>
      </c>
      <c r="J15" s="72">
        <f t="shared" si="6"/>
        <v>17245716.520072758</v>
      </c>
      <c r="K15" s="72">
        <f t="shared" si="6"/>
        <v>2369458.6977996468</v>
      </c>
      <c r="L15" s="72">
        <f t="shared" si="6"/>
        <v>-3633394.469631372</v>
      </c>
      <c r="M15" s="72">
        <f t="shared" si="6"/>
        <v>-8544125.8378020972</v>
      </c>
      <c r="N15" s="72">
        <f t="shared" si="6"/>
        <v>-13033465.895166466</v>
      </c>
    </row>
    <row r="16" spans="1:14" x14ac:dyDescent="0.25">
      <c r="A16" s="7" t="s">
        <v>257</v>
      </c>
      <c r="B16" s="4" t="s">
        <v>45</v>
      </c>
      <c r="D16" s="72">
        <f>BS!D34-BS!D24-BS!D26-BS!D27-BS!D28</f>
        <v>-250680.08713701967</v>
      </c>
      <c r="E16" s="72">
        <f>-BS!E24-BS!E26-BS!E27-BS!E28+BS!D28+BS!D27+BS!D26+BS!D24+BS!E34-BS!D34</f>
        <v>-2459803.4880546113</v>
      </c>
      <c r="F16" s="72">
        <f>-BS!F24-BS!F26-BS!F27-BS!F28+BS!E28+BS!E27+BS!E26+BS!E24+BS!F34-BS!E34</f>
        <v>-3979255.6937732873</v>
      </c>
      <c r="G16" s="72">
        <f>-BS!G24-BS!G26-BS!G27-BS!G28+BS!F28+BS!F27+BS!F26+BS!F24+BS!G34-BS!F34</f>
        <v>-6603227.2738486426</v>
      </c>
      <c r="H16" s="72">
        <f>-BS!H24-BS!H26-BS!H27-BS!H28+BS!G28+BS!G27+BS!G26+BS!G24+BS!H34-BS!G34</f>
        <v>-13511920.599310812</v>
      </c>
      <c r="I16" s="72">
        <f>-BS!I24-BS!I26-BS!I27-BS!I28+BS!H28+BS!H27+BS!H26+BS!H24+BS!I34-BS!H34</f>
        <v>-17159622.417329691</v>
      </c>
      <c r="J16" s="72">
        <f>-BS!J24-BS!J26-BS!J27-BS!J28+BS!I28+BS!I27+BS!I26+BS!I24+BS!J34-BS!I34</f>
        <v>-8900808.9645357579</v>
      </c>
      <c r="K16" s="72">
        <f>-BS!K24-BS!K26-BS!K27-BS!K28+BS!J28+BS!J27+BS!J26+BS!J24+BS!K34-BS!J34</f>
        <v>247047.38753392547</v>
      </c>
      <c r="L16" s="72">
        <f>-BS!L24-BS!L26-BS!L27-BS!L28+BS!K28+BS!K27+BS!K26+BS!K24+BS!L34-BS!K34</f>
        <v>-942975.54600458965</v>
      </c>
      <c r="M16" s="72">
        <f>-BS!M24-BS!M26-BS!M27-BS!M28+BS!L28+BS!L27+BS!L26+BS!L24+BS!M34-BS!L34</f>
        <v>-893442.96952009946</v>
      </c>
      <c r="N16" s="72">
        <f>-BS!N24-BS!N26-BS!N27-BS!N28+BS!M28+BS!M27+BS!M26+BS!M24+BS!N34-BS!M34</f>
        <v>-653461.83551269397</v>
      </c>
    </row>
    <row r="17" spans="1:15" x14ac:dyDescent="0.25">
      <c r="A17" s="7" t="s">
        <v>102</v>
      </c>
      <c r="B17" s="4" t="s">
        <v>45</v>
      </c>
      <c r="C17" s="5"/>
      <c r="D17" s="6">
        <f>-Costs!D52</f>
        <v>-21006574.782066282</v>
      </c>
      <c r="E17" s="6">
        <f>-Costs!E52</f>
        <v>-31864175.850416351</v>
      </c>
      <c r="F17" s="6">
        <f>-Costs!F52</f>
        <v>-42183419.652474269</v>
      </c>
      <c r="G17" s="6">
        <f>-Costs!G52</f>
        <v>-75509106.195390597</v>
      </c>
      <c r="H17" s="6">
        <f>-Costs!H52</f>
        <v>-119387599.05471478</v>
      </c>
      <c r="I17" s="6">
        <f>-Costs!I52</f>
        <v>-91978148.704868093</v>
      </c>
      <c r="J17" s="6">
        <f>-Costs!J52</f>
        <v>-10218362.85464461</v>
      </c>
      <c r="K17" s="6">
        <f>-Costs!K52</f>
        <v>-10524913.740283951</v>
      </c>
      <c r="L17" s="6">
        <f>-Costs!L52</f>
        <v>-10840661.152492408</v>
      </c>
      <c r="M17" s="6">
        <f>-Costs!M52</f>
        <v>-11165880.987067234</v>
      </c>
      <c r="N17" s="6">
        <f>-Costs!N52</f>
        <v>-8561432.3201086447</v>
      </c>
    </row>
    <row r="18" spans="1:15" x14ac:dyDescent="0.25">
      <c r="A18" s="7" t="s">
        <v>107</v>
      </c>
      <c r="B18" s="4"/>
      <c r="C18" s="5"/>
      <c r="D18" s="6">
        <f>-Costs!D53</f>
        <v>-4517542.9638852216</v>
      </c>
      <c r="E18" s="6">
        <f>-Costs!E53</f>
        <v>0</v>
      </c>
      <c r="F18" s="6">
        <f>-Costs!F53</f>
        <v>0</v>
      </c>
      <c r="G18" s="6">
        <f>-Costs!G53</f>
        <v>0</v>
      </c>
      <c r="H18" s="6">
        <f>-Costs!H53</f>
        <v>0</v>
      </c>
      <c r="I18" s="6">
        <f>-Costs!I53</f>
        <v>0</v>
      </c>
      <c r="J18" s="6">
        <f>-Costs!J53</f>
        <v>0</v>
      </c>
      <c r="K18" s="6">
        <f>-Costs!K53</f>
        <v>0</v>
      </c>
      <c r="L18" s="6">
        <f>-Costs!L53</f>
        <v>0</v>
      </c>
      <c r="M18" s="6">
        <f>-Costs!M53</f>
        <v>0</v>
      </c>
      <c r="N18" s="6">
        <f>-Costs!N53</f>
        <v>0</v>
      </c>
    </row>
    <row r="19" spans="1:15" ht="15" x14ac:dyDescent="0.4">
      <c r="A19" s="7" t="s">
        <v>91</v>
      </c>
      <c r="B19" s="4" t="s">
        <v>45</v>
      </c>
      <c r="C19" s="5"/>
      <c r="D19" s="8">
        <f>-D10</f>
        <v>5104823.5491903005</v>
      </c>
      <c r="E19" s="8">
        <f t="shared" ref="E19:N19" si="7">-E10</f>
        <v>11477658.719273571</v>
      </c>
      <c r="F19" s="8">
        <f t="shared" si="7"/>
        <v>19914342.649768427</v>
      </c>
      <c r="G19" s="8">
        <f t="shared" si="7"/>
        <v>35016163.888846546</v>
      </c>
      <c r="H19" s="8">
        <f t="shared" si="7"/>
        <v>58893683.699789502</v>
      </c>
      <c r="I19" s="8">
        <f t="shared" si="7"/>
        <v>72184489.891572818</v>
      </c>
      <c r="J19" s="8">
        <f t="shared" si="7"/>
        <v>67855327.292418465</v>
      </c>
      <c r="K19" s="8">
        <f t="shared" si="7"/>
        <v>61523626.109980397</v>
      </c>
      <c r="L19" s="8">
        <f t="shared" si="7"/>
        <v>48589937.101400763</v>
      </c>
      <c r="M19" s="8">
        <f t="shared" si="7"/>
        <v>26945593.487871252</v>
      </c>
      <c r="N19" s="8">
        <f t="shared" si="7"/>
        <v>10262250.210919362</v>
      </c>
    </row>
    <row r="20" spans="1:15" x14ac:dyDescent="0.25">
      <c r="A20" s="7" t="s">
        <v>103</v>
      </c>
      <c r="B20" s="4" t="s">
        <v>45</v>
      </c>
      <c r="C20" s="5"/>
      <c r="D20" s="6">
        <f>SUM(D14:D19)</f>
        <v>-23613519.092338361</v>
      </c>
      <c r="E20" s="6">
        <f t="shared" ref="E20:N20" si="8">SUM(E14:E19)</f>
        <v>-23952326.695454877</v>
      </c>
      <c r="F20" s="6">
        <f t="shared" si="8"/>
        <v>-21201966.786860362</v>
      </c>
      <c r="G20" s="6">
        <f t="shared" si="8"/>
        <v>-35149674.455509096</v>
      </c>
      <c r="H20" s="6">
        <f t="shared" si="8"/>
        <v>-43494559.904124938</v>
      </c>
      <c r="I20" s="6">
        <f t="shared" si="8"/>
        <v>34326519.866595872</v>
      </c>
      <c r="J20" s="6">
        <f t="shared" si="8"/>
        <v>157588643.85419193</v>
      </c>
      <c r="K20" s="6">
        <f t="shared" si="8"/>
        <v>156713604.83312419</v>
      </c>
      <c r="L20" s="6">
        <f t="shared" si="8"/>
        <v>149943520.13659811</v>
      </c>
      <c r="M20" s="6">
        <f t="shared" si="8"/>
        <v>141100542.74101013</v>
      </c>
      <c r="N20" s="6">
        <f t="shared" si="8"/>
        <v>135590781.75589225</v>
      </c>
    </row>
    <row r="21" spans="1:15" x14ac:dyDescent="0.25">
      <c r="A21" s="154" t="s">
        <v>229</v>
      </c>
      <c r="B21" s="155">
        <v>0.15</v>
      </c>
      <c r="C21" s="156">
        <v>0.03</v>
      </c>
      <c r="D21" s="117">
        <f>NPV($B$21,$D$20:D20)+MAX(PV($B$21,D2,,-D20/($B$21-$C$21)),SUM(Costs!$D$52:'Costs'!D52)-SUM(Costs!$D$55:D55))</f>
        <v>-4631743.630026944</v>
      </c>
      <c r="E21" s="117">
        <f>NPV($B$21,$D$20:E20)+MAX(PV($B$21,E2,,-E20/($B$21-$C$21)),SUM(Costs!$D$52:'Costs'!E52)-SUM(Costs!$D$55:E55))</f>
        <v>-2356626.6466761306</v>
      </c>
      <c r="F21" s="117">
        <f>NPV($B$21,$D$20:F20)+MAX(PV($B$21,F2,,-F20/($B$21-$C$21)),SUM(Costs!$D$52:'Costs'!F52)-SUM(Costs!$D$55:F55))</f>
        <v>5971813.0341851339</v>
      </c>
      <c r="G21" s="117">
        <f>NPV($B$21,$D$20:G20)+MAX(PV($B$21,G2,,-G20/($B$21-$C$21)),SUM(Costs!$D$52:'Costs'!G52)-SUM(Costs!$D$55:G55))</f>
        <v>26367814.889253348</v>
      </c>
      <c r="H21" s="117">
        <f>NPV($B$21,$D$20:H20)+MAX(PV($B$21,H2,,-H20/($B$21-$C$21)),SUM(Costs!$D$52:'Costs'!H52)-SUM(Costs!$D$55:H55))</f>
        <v>65237246.947809905</v>
      </c>
      <c r="I21" s="117">
        <f>NPV($B$21,$D$20:I20)+MAX(PV($B$21,I2,,-I20/($B$21-$C$21)),SUM(Costs!$D$52:'Costs'!I52)-SUM(Costs!$D$55:I55))</f>
        <v>99871207.571040854</v>
      </c>
      <c r="J21" s="117">
        <f>NPV($B$21,$D$20:J20)+MAX(PV($B$21,J2,,-J20/($B$21-$C$21)),SUM(Costs!$D$52:'Costs'!J52)-SUM(Costs!$D$55:J55))</f>
        <v>547526083.52930164</v>
      </c>
      <c r="K21" s="117">
        <f>NPV($B$21,$D$20:K20)+MAX(PV($B$21,K2,,-K20/($B$21-$C$21)),SUM(Costs!$D$52:'Costs'!K52)-SUM(Costs!$D$55:K55))</f>
        <v>521960448.73671639</v>
      </c>
      <c r="L21" s="117">
        <f>NPV($B$21,$D$20:L20)+MAX(PV($B$21,L2,,-L20/($B$21-$C$21)),SUM(Costs!$D$52:'Costs'!L52)-SUM(Costs!$D$55:L55))</f>
        <v>482103372.04679006</v>
      </c>
      <c r="M21" s="117">
        <f>NPV($B$21,$D$20:M20)+MAX(PV($B$21,M2,,-M20/($B$21-$C$21)),SUM(Costs!$D$52:'Costs'!M52)-SUM(Costs!$D$55:M55))</f>
        <v>442754417.49070191</v>
      </c>
      <c r="N21" s="117">
        <f>NPV($B$21,$D$20:N20)+MAX(PV($B$21,N2,,-N20/($B$21-$C$21)),SUM(Costs!$D$52:'Costs'!N52)-SUM(Costs!$D$55:N55))</f>
        <v>416951961.43697321</v>
      </c>
    </row>
    <row r="22" spans="1:15" ht="13.5" thickBot="1" x14ac:dyDescent="0.3">
      <c r="A22" s="157" t="s">
        <v>228</v>
      </c>
      <c r="B22" s="158"/>
      <c r="C22" s="159"/>
      <c r="D22" s="160" t="e">
        <f>IRR($D$20:D20)</f>
        <v>#NUM!</v>
      </c>
      <c r="E22" s="160" t="e">
        <f>IRR($D$20:E20)</f>
        <v>#NUM!</v>
      </c>
      <c r="F22" s="160" t="e">
        <f>IRR($D$20:F20)</f>
        <v>#NUM!</v>
      </c>
      <c r="G22" s="160" t="e">
        <f>IRR($D$20:G20)</f>
        <v>#NUM!</v>
      </c>
      <c r="H22" s="160" t="e">
        <f>IRR($D$20:H20)</f>
        <v>#NUM!</v>
      </c>
      <c r="I22" s="160">
        <f>IRR($D$20:I20)</f>
        <v>-0.50970779315162451</v>
      </c>
      <c r="J22" s="160">
        <f>IRR($D$20:J20)</f>
        <v>7.7171368498421211E-2</v>
      </c>
      <c r="K22" s="160">
        <f>IRR($D$20:K20)</f>
        <v>0.22852001124924137</v>
      </c>
      <c r="L22" s="160">
        <f>IRR($D$20:L20)</f>
        <v>0.29823766151925524</v>
      </c>
      <c r="M22" s="160">
        <f>IRR($D$20:M20)</f>
        <v>0.33528111573463759</v>
      </c>
      <c r="N22" s="160">
        <f>IRR($D$20:N20)</f>
        <v>0.35702430393866291</v>
      </c>
    </row>
    <row r="23" spans="1:15" s="50" customFormat="1" x14ac:dyDescent="0.25">
      <c r="A23" s="7"/>
      <c r="B23" s="172"/>
      <c r="C23" s="30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</row>
    <row r="24" spans="1:15" s="50" customFormat="1" x14ac:dyDescent="0.25">
      <c r="A24" s="7"/>
      <c r="B24" s="172"/>
      <c r="C24" s="30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</row>
    <row r="25" spans="1:15" s="50" customFormat="1" x14ac:dyDescent="0.25">
      <c r="A25" s="7"/>
      <c r="B25" s="172"/>
      <c r="C25" s="30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</row>
    <row r="26" spans="1:15" s="50" customFormat="1" x14ac:dyDescent="0.25"/>
    <row r="27" spans="1:15" s="50" customFormat="1" x14ac:dyDescent="0.25"/>
    <row r="28" spans="1:15" s="50" customFormat="1" x14ac:dyDescent="0.25"/>
    <row r="29" spans="1:15" s="50" customFormat="1" x14ac:dyDescent="0.25"/>
    <row r="30" spans="1:15" s="177" customFormat="1" x14ac:dyDescent="0.25"/>
    <row r="31" spans="1:15" s="50" customFormat="1" x14ac:dyDescent="0.25">
      <c r="O31" s="177"/>
    </row>
    <row r="32" spans="1:15" s="50" customFormat="1" x14ac:dyDescent="0.25">
      <c r="O32" s="177"/>
    </row>
    <row r="33" spans="1:15" s="50" customFormat="1" x14ac:dyDescent="0.25">
      <c r="O33" s="174"/>
    </row>
    <row r="34" spans="1:15" s="177" customFormat="1" x14ac:dyDescent="0.25">
      <c r="O34" s="178"/>
    </row>
    <row r="35" spans="1:15" s="50" customFormat="1" x14ac:dyDescent="0.25"/>
    <row r="36" spans="1:15" s="50" customFormat="1" x14ac:dyDescent="0.25"/>
    <row r="37" spans="1:15" s="50" customFormat="1" x14ac:dyDescent="0.25"/>
    <row r="38" spans="1:15" s="50" customFormat="1" x14ac:dyDescent="0.25"/>
    <row r="39" spans="1:15" x14ac:dyDescent="0.25">
      <c r="A39" s="7"/>
      <c r="B39" s="130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5" x14ac:dyDescent="0.25">
      <c r="A40" s="7"/>
      <c r="B40" s="130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5" x14ac:dyDescent="0.25">
      <c r="A41" s="7"/>
      <c r="B41" s="130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5" x14ac:dyDescent="0.25">
      <c r="A42" s="7"/>
      <c r="B42" s="130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x14ac:dyDescent="0.25">
      <c r="A43" s="7"/>
      <c r="B43" s="130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x14ac:dyDescent="0.25">
      <c r="A44" s="7"/>
      <c r="B44" s="130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x14ac:dyDescent="0.25">
      <c r="A45" s="7"/>
      <c r="B45" s="130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x14ac:dyDescent="0.25">
      <c r="A46" s="7"/>
      <c r="B46" s="130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5" x14ac:dyDescent="0.25">
      <c r="A47" s="7"/>
      <c r="B47" s="130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x14ac:dyDescent="0.25">
      <c r="A48" s="7"/>
      <c r="B48" s="130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7"/>
      <c r="B49" s="130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7"/>
      <c r="B50" s="130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7"/>
      <c r="B51" s="130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7"/>
      <c r="B52" s="130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7"/>
      <c r="B53" s="130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thickBot="1" x14ac:dyDescent="0.3">
      <c r="A54" s="55" t="str">
        <f>A2</f>
        <v>PERIOD</v>
      </c>
      <c r="B54" s="43"/>
      <c r="C54" s="68" t="str">
        <f>Revenue!C$1</f>
        <v>@</v>
      </c>
      <c r="D54" s="68">
        <f>Revenue!D$1</f>
        <v>0</v>
      </c>
      <c r="E54" s="68">
        <f>Revenue!E$1</f>
        <v>1</v>
      </c>
      <c r="F54" s="68">
        <f>Revenue!F$1</f>
        <v>2</v>
      </c>
      <c r="G54" s="68">
        <f>Revenue!G$1</f>
        <v>3</v>
      </c>
      <c r="H54" s="68">
        <f>Revenue!H$1</f>
        <v>4</v>
      </c>
      <c r="I54" s="68">
        <f>Revenue!I$1</f>
        <v>5</v>
      </c>
      <c r="J54" s="68">
        <f>Revenue!J$1</f>
        <v>6</v>
      </c>
      <c r="K54" s="68">
        <f>Revenue!K$1</f>
        <v>7</v>
      </c>
      <c r="L54" s="68">
        <f>Revenue!L$1</f>
        <v>8</v>
      </c>
      <c r="M54" s="68">
        <f>Revenue!M$1</f>
        <v>9</v>
      </c>
      <c r="N54" s="68">
        <f>Revenue!N$1</f>
        <v>10</v>
      </c>
    </row>
    <row r="55" spans="1:14" x14ac:dyDescent="0.25">
      <c r="A55" s="3" t="s">
        <v>93</v>
      </c>
      <c r="B55" s="4" t="s">
        <v>104</v>
      </c>
      <c r="C55" s="5"/>
      <c r="D55" s="10">
        <f>D3/D$3</f>
        <v>1</v>
      </c>
      <c r="E55" s="10">
        <f t="shared" ref="E55:N55" si="9">E3/E$3</f>
        <v>1</v>
      </c>
      <c r="F55" s="10">
        <f t="shared" si="9"/>
        <v>1</v>
      </c>
      <c r="G55" s="10">
        <f t="shared" si="9"/>
        <v>1</v>
      </c>
      <c r="H55" s="10">
        <f t="shared" si="9"/>
        <v>1</v>
      </c>
      <c r="I55" s="10">
        <f t="shared" si="9"/>
        <v>1</v>
      </c>
      <c r="J55" s="10">
        <f t="shared" si="9"/>
        <v>1</v>
      </c>
      <c r="K55" s="10">
        <f t="shared" si="9"/>
        <v>1</v>
      </c>
      <c r="L55" s="10">
        <f t="shared" si="9"/>
        <v>1</v>
      </c>
      <c r="M55" s="10">
        <f t="shared" si="9"/>
        <v>1</v>
      </c>
      <c r="N55" s="10">
        <f t="shared" si="9"/>
        <v>1</v>
      </c>
    </row>
    <row r="56" spans="1:14" ht="15" x14ac:dyDescent="0.4">
      <c r="A56" s="7" t="s">
        <v>94</v>
      </c>
      <c r="B56" s="4" t="s">
        <v>104</v>
      </c>
      <c r="C56" s="5"/>
      <c r="D56" s="11">
        <f t="shared" ref="D56:N56" si="10">D4/D$3</f>
        <v>-0.25597014925373135</v>
      </c>
      <c r="E56" s="11">
        <f t="shared" si="10"/>
        <v>-0.22254061928897401</v>
      </c>
      <c r="F56" s="11">
        <f t="shared" si="10"/>
        <v>-0.23299532740062887</v>
      </c>
      <c r="G56" s="11">
        <f t="shared" si="10"/>
        <v>-0.23131085466888365</v>
      </c>
      <c r="H56" s="11">
        <f t="shared" si="10"/>
        <v>-0.23045400356179563</v>
      </c>
      <c r="I56" s="11">
        <f t="shared" si="10"/>
        <v>-0.23407540318877096</v>
      </c>
      <c r="J56" s="11">
        <f t="shared" si="10"/>
        <v>-0.24208993608801149</v>
      </c>
      <c r="K56" s="11">
        <f t="shared" si="10"/>
        <v>-0.2414363435081428</v>
      </c>
      <c r="L56" s="11">
        <f t="shared" si="10"/>
        <v>-0.24215520756074313</v>
      </c>
      <c r="M56" s="11">
        <f t="shared" si="10"/>
        <v>-0.24336873364541542</v>
      </c>
      <c r="N56" s="11">
        <f t="shared" si="10"/>
        <v>-0.24519442765744257</v>
      </c>
    </row>
    <row r="57" spans="1:14" x14ac:dyDescent="0.25">
      <c r="A57" s="7" t="s">
        <v>95</v>
      </c>
      <c r="B57" s="4" t="s">
        <v>104</v>
      </c>
      <c r="C57" s="5"/>
      <c r="D57" s="10">
        <f t="shared" ref="D57:N57" si="11">D5/D$3</f>
        <v>0.74402985074626871</v>
      </c>
      <c r="E57" s="10">
        <f t="shared" si="11"/>
        <v>0.77745938071102605</v>
      </c>
      <c r="F57" s="10">
        <f t="shared" si="11"/>
        <v>0.76700467259937122</v>
      </c>
      <c r="G57" s="10">
        <f t="shared" si="11"/>
        <v>0.76868914533111632</v>
      </c>
      <c r="H57" s="10">
        <f t="shared" si="11"/>
        <v>0.76954599643820432</v>
      </c>
      <c r="I57" s="10">
        <f t="shared" si="11"/>
        <v>0.76592459681122915</v>
      </c>
      <c r="J57" s="10">
        <f t="shared" si="11"/>
        <v>0.75791006391198845</v>
      </c>
      <c r="K57" s="10">
        <f t="shared" si="11"/>
        <v>0.7585636564918572</v>
      </c>
      <c r="L57" s="10">
        <f t="shared" si="11"/>
        <v>0.75784479243925695</v>
      </c>
      <c r="M57" s="10">
        <f t="shared" si="11"/>
        <v>0.75663126635458466</v>
      </c>
      <c r="N57" s="10">
        <f t="shared" si="11"/>
        <v>0.75480557234255741</v>
      </c>
    </row>
    <row r="58" spans="1:14" ht="15" x14ac:dyDescent="0.4">
      <c r="A58" s="7" t="s">
        <v>96</v>
      </c>
      <c r="B58" s="4" t="s">
        <v>104</v>
      </c>
      <c r="C58" s="5"/>
      <c r="D58" s="11">
        <f t="shared" ref="D58:N58" si="12">D6/D$3</f>
        <v>-0.20648266360505166</v>
      </c>
      <c r="E58" s="11">
        <f t="shared" si="12"/>
        <v>-0.20945952560544626</v>
      </c>
      <c r="F58" s="11">
        <f t="shared" si="12"/>
        <v>-0.22048656256146962</v>
      </c>
      <c r="G58" s="11">
        <f t="shared" si="12"/>
        <v>-0.21904243043609187</v>
      </c>
      <c r="H58" s="11">
        <f t="shared" si="12"/>
        <v>-0.21857332228700571</v>
      </c>
      <c r="I58" s="11">
        <f t="shared" si="12"/>
        <v>-0.22293402250930819</v>
      </c>
      <c r="J58" s="11">
        <f t="shared" si="12"/>
        <v>-0.2321567091124109</v>
      </c>
      <c r="K58" s="11">
        <f t="shared" si="12"/>
        <v>-0.23270817513339948</v>
      </c>
      <c r="L58" s="11">
        <f t="shared" si="12"/>
        <v>-0.23522016851657002</v>
      </c>
      <c r="M58" s="11">
        <f t="shared" si="12"/>
        <v>-0.23902276995916044</v>
      </c>
      <c r="N58" s="11">
        <f t="shared" si="12"/>
        <v>-0.24462217717589285</v>
      </c>
    </row>
    <row r="59" spans="1:14" x14ac:dyDescent="0.25">
      <c r="A59" s="7" t="s">
        <v>97</v>
      </c>
      <c r="B59" s="4" t="s">
        <v>104</v>
      </c>
      <c r="C59" s="5"/>
      <c r="D59" s="10">
        <f t="shared" ref="D59:N59" si="13">D7/D$3</f>
        <v>0.53754718714121696</v>
      </c>
      <c r="E59" s="10">
        <f t="shared" si="13"/>
        <v>0.56799985510557982</v>
      </c>
      <c r="F59" s="10">
        <f t="shared" si="13"/>
        <v>0.54651811003790163</v>
      </c>
      <c r="G59" s="10">
        <f t="shared" si="13"/>
        <v>0.54964671489502448</v>
      </c>
      <c r="H59" s="10">
        <f t="shared" si="13"/>
        <v>0.55097267415119866</v>
      </c>
      <c r="I59" s="10">
        <f t="shared" si="13"/>
        <v>0.54299057430192088</v>
      </c>
      <c r="J59" s="10">
        <f t="shared" si="13"/>
        <v>0.52575335479957763</v>
      </c>
      <c r="K59" s="10">
        <f t="shared" si="13"/>
        <v>0.52585548135845772</v>
      </c>
      <c r="L59" s="10">
        <f t="shared" si="13"/>
        <v>0.52262462392268694</v>
      </c>
      <c r="M59" s="10">
        <f t="shared" si="13"/>
        <v>0.51760849639542428</v>
      </c>
      <c r="N59" s="10">
        <f t="shared" si="13"/>
        <v>0.51018339516666456</v>
      </c>
    </row>
    <row r="60" spans="1:14" ht="15" x14ac:dyDescent="0.4">
      <c r="A60" s="7" t="s">
        <v>98</v>
      </c>
      <c r="B60" s="4" t="s">
        <v>104</v>
      </c>
      <c r="C60" s="5"/>
      <c r="D60" s="11">
        <f t="shared" ref="D60:N60" si="14">D8/D$3</f>
        <v>-0.31501041887961989</v>
      </c>
      <c r="E60" s="11">
        <f t="shared" si="14"/>
        <v>-0.29775184521843789</v>
      </c>
      <c r="F60" s="11">
        <f t="shared" si="14"/>
        <v>-0.22505016714859061</v>
      </c>
      <c r="G60" s="11">
        <f t="shared" si="14"/>
        <v>-0.22958997325540662</v>
      </c>
      <c r="H60" s="11">
        <f t="shared" si="14"/>
        <v>-0.23103435091335017</v>
      </c>
      <c r="I60" s="11">
        <f t="shared" si="14"/>
        <v>-0.20607479507844365</v>
      </c>
      <c r="J60" s="11">
        <f t="shared" si="14"/>
        <v>-0.15868253080288691</v>
      </c>
      <c r="K60" s="11">
        <f t="shared" si="14"/>
        <v>-0.16389714020025639</v>
      </c>
      <c r="L60" s="11">
        <f t="shared" si="14"/>
        <v>-0.16527843783643514</v>
      </c>
      <c r="M60" s="11">
        <f t="shared" si="14"/>
        <v>-0.16663052285761704</v>
      </c>
      <c r="N60" s="11">
        <f t="shared" si="14"/>
        <v>-0.1684079360408158</v>
      </c>
    </row>
    <row r="61" spans="1:14" x14ac:dyDescent="0.25">
      <c r="A61" s="7" t="s">
        <v>100</v>
      </c>
      <c r="B61" s="4" t="s">
        <v>104</v>
      </c>
      <c r="C61" s="5"/>
      <c r="D61" s="10">
        <f t="shared" ref="D61:N61" si="15">D9/D$3</f>
        <v>0.22253676826159705</v>
      </c>
      <c r="E61" s="10">
        <f t="shared" si="15"/>
        <v>0.27024800988714193</v>
      </c>
      <c r="F61" s="10">
        <f t="shared" si="15"/>
        <v>0.32146794288931102</v>
      </c>
      <c r="G61" s="10">
        <f t="shared" si="15"/>
        <v>0.32005674163961789</v>
      </c>
      <c r="H61" s="10">
        <f t="shared" si="15"/>
        <v>0.31993832323784843</v>
      </c>
      <c r="I61" s="10">
        <f t="shared" si="15"/>
        <v>0.33691577922347721</v>
      </c>
      <c r="J61" s="10">
        <f t="shared" si="15"/>
        <v>0.36707082399669066</v>
      </c>
      <c r="K61" s="10">
        <f t="shared" si="15"/>
        <v>0.36195834115820136</v>
      </c>
      <c r="L61" s="10">
        <f t="shared" si="15"/>
        <v>0.35734618608625179</v>
      </c>
      <c r="M61" s="10">
        <f t="shared" si="15"/>
        <v>0.35097797353780719</v>
      </c>
      <c r="N61" s="10">
        <f t="shared" si="15"/>
        <v>0.34177545912584878</v>
      </c>
    </row>
    <row r="63" spans="1:14" ht="13.5" thickBot="1" x14ac:dyDescent="0.3">
      <c r="A63" s="55" t="str">
        <f>A54</f>
        <v>PERIOD</v>
      </c>
      <c r="B63" s="43"/>
      <c r="C63" s="68" t="str">
        <f>Revenue!C$1</f>
        <v>@</v>
      </c>
      <c r="D63" s="68">
        <f>Revenue!D$1</f>
        <v>0</v>
      </c>
      <c r="E63" s="68">
        <f>Revenue!E$1</f>
        <v>1</v>
      </c>
      <c r="F63" s="68">
        <f>Revenue!F$1</f>
        <v>2</v>
      </c>
      <c r="G63" s="68">
        <f>Revenue!G$1</f>
        <v>3</v>
      </c>
      <c r="H63" s="68">
        <f>Revenue!H$1</f>
        <v>4</v>
      </c>
      <c r="I63" s="68">
        <f>Revenue!I$1</f>
        <v>5</v>
      </c>
      <c r="J63" s="68">
        <f>Revenue!J$1</f>
        <v>6</v>
      </c>
      <c r="K63" s="68">
        <f>Revenue!K$1</f>
        <v>7</v>
      </c>
      <c r="L63" s="68">
        <f>Revenue!L$1</f>
        <v>8</v>
      </c>
      <c r="M63" s="68">
        <f>Revenue!M$1</f>
        <v>9</v>
      </c>
      <c r="N63" s="68">
        <f>Revenue!N$1</f>
        <v>10</v>
      </c>
    </row>
    <row r="64" spans="1:14" x14ac:dyDescent="0.25">
      <c r="A64" s="3" t="s">
        <v>93</v>
      </c>
      <c r="B64" s="4" t="s">
        <v>105</v>
      </c>
      <c r="C64" s="5"/>
      <c r="D64" s="12">
        <f>D3/Costs!D$47</f>
        <v>4571.9334275959</v>
      </c>
      <c r="E64" s="12">
        <f>E3/Costs!E$47</f>
        <v>4728.0556838261218</v>
      </c>
      <c r="F64" s="12">
        <f>F3/Costs!F$47</f>
        <v>5694.4127663628669</v>
      </c>
      <c r="G64" s="12">
        <f>G3/Costs!G$47</f>
        <v>5490.9986507105496</v>
      </c>
      <c r="H64" s="12">
        <f>H3/Costs!H$47</f>
        <v>5376.2814156473369</v>
      </c>
      <c r="I64" s="12">
        <f>I3/Costs!I$47</f>
        <v>5722.634543332153</v>
      </c>
      <c r="J64" s="12">
        <f>J3/Costs!J$47</f>
        <v>6715.873621826534</v>
      </c>
      <c r="K64" s="12">
        <f>K3/Costs!K$47</f>
        <v>6500.2423634759161</v>
      </c>
      <c r="L64" s="12">
        <f>L3/Costs!L$47</f>
        <v>6444.0334716111547</v>
      </c>
      <c r="M64" s="12">
        <f>M3/Costs!M$47</f>
        <v>6389.930771780495</v>
      </c>
      <c r="N64" s="12">
        <f>N3/Costs!N$47</f>
        <v>6320.7474350412895</v>
      </c>
    </row>
    <row r="65" spans="1:14" ht="15" x14ac:dyDescent="0.4">
      <c r="A65" s="7" t="s">
        <v>94</v>
      </c>
      <c r="B65" s="4" t="s">
        <v>105</v>
      </c>
      <c r="C65" s="5"/>
      <c r="D65" s="13">
        <f>D4/Costs!D$47</f>
        <v>-1170.2784818398459</v>
      </c>
      <c r="E65" s="13">
        <f>E4/Costs!E$47</f>
        <v>-1052.1844399114186</v>
      </c>
      <c r="F65" s="13">
        <f>F4/Costs!F$47</f>
        <v>-1326.7715668530368</v>
      </c>
      <c r="G65" s="13">
        <f>G4/Costs!G$47</f>
        <v>-1270.1275908815442</v>
      </c>
      <c r="H65" s="13">
        <f>H4/Costs!H$47</f>
        <v>-1238.985576510807</v>
      </c>
      <c r="I65" s="13">
        <f>I4/Costs!I$47</f>
        <v>-1339.5279880324617</v>
      </c>
      <c r="J65" s="13">
        <f>J4/Costs!J$47</f>
        <v>-1625.845415883148</v>
      </c>
      <c r="K65" s="13">
        <f>K4/Costs!K$47</f>
        <v>-1569.3947481543532</v>
      </c>
      <c r="L65" s="13">
        <f>L4/Costs!L$47</f>
        <v>-1560.4562628463755</v>
      </c>
      <c r="M65" s="13">
        <f>M4/Costs!M$47</f>
        <v>-1555.1093600100912</v>
      </c>
      <c r="N65" s="13">
        <f>N4/Costs!N$47</f>
        <v>-1549.8120497021971</v>
      </c>
    </row>
    <row r="66" spans="1:14" x14ac:dyDescent="0.25">
      <c r="A66" s="7" t="s">
        <v>95</v>
      </c>
      <c r="B66" s="4" t="s">
        <v>105</v>
      </c>
      <c r="C66" s="5"/>
      <c r="D66" s="12">
        <f>D5/Costs!D$47</f>
        <v>3401.6549457560536</v>
      </c>
      <c r="E66" s="12">
        <f>E5/Costs!E$47</f>
        <v>3675.871243914703</v>
      </c>
      <c r="F66" s="12">
        <f>F5/Costs!F$47</f>
        <v>4367.6411995098306</v>
      </c>
      <c r="G66" s="12">
        <f>G5/Costs!G$47</f>
        <v>4220.8710598290054</v>
      </c>
      <c r="H66" s="12">
        <f>H5/Costs!H$47</f>
        <v>4137.2958391365291</v>
      </c>
      <c r="I66" s="12">
        <f>I5/Costs!I$47</f>
        <v>4383.1065552996915</v>
      </c>
      <c r="J66" s="12">
        <f>J5/Costs!J$47</f>
        <v>5090.0282059433857</v>
      </c>
      <c r="K66" s="12">
        <f>K5/Costs!K$47</f>
        <v>4930.8476153215624</v>
      </c>
      <c r="L66" s="12">
        <f>L5/Costs!L$47</f>
        <v>4883.5772087647802</v>
      </c>
      <c r="M66" s="12">
        <f>M5/Costs!M$47</f>
        <v>4834.8214117704047</v>
      </c>
      <c r="N66" s="12">
        <f>N5/Costs!N$47</f>
        <v>4770.9353853390921</v>
      </c>
    </row>
    <row r="67" spans="1:14" ht="15" x14ac:dyDescent="0.4">
      <c r="A67" s="7" t="s">
        <v>96</v>
      </c>
      <c r="B67" s="4" t="s">
        <v>105</v>
      </c>
      <c r="C67" s="5"/>
      <c r="D67" s="13">
        <f>D6/Costs!D$47</f>
        <v>-944.02499195497501</v>
      </c>
      <c r="E67" s="13">
        <f>E6/Costs!E$47</f>
        <v>-990.33630057035316</v>
      </c>
      <c r="F67" s="13">
        <f>F6/Costs!F$47</f>
        <v>-1255.5414966614974</v>
      </c>
      <c r="G67" s="13">
        <f>G6/Costs!G$47</f>
        <v>-1202.7616899729398</v>
      </c>
      <c r="H67" s="13">
        <f>H6/Costs!H$47</f>
        <v>-1175.1116905679246</v>
      </c>
      <c r="I67" s="13">
        <f>I6/Costs!I$47</f>
        <v>-1275.7699380957547</v>
      </c>
      <c r="J67" s="13">
        <f>J6/Costs!J$47</f>
        <v>-1559.1351188580961</v>
      </c>
      <c r="K67" s="13">
        <f>K6/Costs!K$47</f>
        <v>-1512.6595383292961</v>
      </c>
      <c r="L67" s="13">
        <f>L6/Costs!L$47</f>
        <v>-1515.7666391187936</v>
      </c>
      <c r="M67" s="13">
        <f>M6/Costs!M$47</f>
        <v>-1527.3389529182498</v>
      </c>
      <c r="N67" s="13">
        <f>N6/Costs!N$47</f>
        <v>-1546.1949989387406</v>
      </c>
    </row>
    <row r="68" spans="1:14" x14ac:dyDescent="0.25">
      <c r="A68" s="7" t="s">
        <v>97</v>
      </c>
      <c r="B68" s="4" t="s">
        <v>105</v>
      </c>
      <c r="C68" s="5"/>
      <c r="D68" s="12">
        <f>D7/Costs!D$47</f>
        <v>2457.6299538010785</v>
      </c>
      <c r="E68" s="12">
        <f>E7/Costs!E$47</f>
        <v>2685.5349433443503</v>
      </c>
      <c r="F68" s="12">
        <f>F7/Costs!F$47</f>
        <v>3112.099702848333</v>
      </c>
      <c r="G68" s="12">
        <f>G7/Costs!G$47</f>
        <v>3018.1093698560653</v>
      </c>
      <c r="H68" s="12">
        <f>H7/Costs!H$47</f>
        <v>2962.184148568605</v>
      </c>
      <c r="I68" s="12">
        <f>I7/Costs!I$47</f>
        <v>3107.3366172039364</v>
      </c>
      <c r="J68" s="12">
        <f>J7/Costs!J$47</f>
        <v>3530.8930870852901</v>
      </c>
      <c r="K68" s="12">
        <f>K7/Costs!K$47</f>
        <v>3418.1880769922668</v>
      </c>
      <c r="L68" s="12">
        <f>L7/Costs!L$47</f>
        <v>3367.8105696459866</v>
      </c>
      <c r="M68" s="12">
        <f>M7/Costs!M$47</f>
        <v>3307.4824588521547</v>
      </c>
      <c r="N68" s="12">
        <f>N7/Costs!N$47</f>
        <v>3224.7403864003518</v>
      </c>
    </row>
    <row r="69" spans="1:14" ht="15" x14ac:dyDescent="0.4">
      <c r="A69" s="7" t="s">
        <v>98</v>
      </c>
      <c r="B69" s="4" t="s">
        <v>105</v>
      </c>
      <c r="C69" s="5"/>
      <c r="D69" s="13">
        <f>D8/Costs!D$47</f>
        <v>-1440.2066641167207</v>
      </c>
      <c r="E69" s="13">
        <f>E8/Costs!E$47</f>
        <v>-1407.7873041547509</v>
      </c>
      <c r="F69" s="13">
        <f>F8/Costs!F$47</f>
        <v>-1281.5285448830314</v>
      </c>
      <c r="G69" s="13">
        <f>G8/Costs!G$47</f>
        <v>-1260.6782333621088</v>
      </c>
      <c r="H69" s="13">
        <f>H8/Costs!H$47</f>
        <v>-1242.1056871915898</v>
      </c>
      <c r="I69" s="13">
        <f>I8/Costs!I$47</f>
        <v>-1179.2907408259964</v>
      </c>
      <c r="J69" s="13">
        <f>J8/Costs!J$47</f>
        <v>-1065.6918228637846</v>
      </c>
      <c r="K69" s="13">
        <f>K8/Costs!K$47</f>
        <v>-1065.3711339822582</v>
      </c>
      <c r="L69" s="13">
        <f>L8/Costs!L$47</f>
        <v>-1065.0597855535916</v>
      </c>
      <c r="M69" s="13">
        <f>M8/Costs!M$47</f>
        <v>-1064.7575055257603</v>
      </c>
      <c r="N69" s="13">
        <f>N8/Costs!N$47</f>
        <v>-1064.4640297705839</v>
      </c>
    </row>
    <row r="70" spans="1:14" x14ac:dyDescent="0.25">
      <c r="A70" s="7" t="s">
        <v>100</v>
      </c>
      <c r="B70" s="4" t="s">
        <v>105</v>
      </c>
      <c r="C70" s="5"/>
      <c r="D70" s="12">
        <f>D9/Costs!D$47</f>
        <v>1017.4232896843578</v>
      </c>
      <c r="E70" s="12">
        <f>E9/Costs!E$47</f>
        <v>1277.7476391895991</v>
      </c>
      <c r="F70" s="12">
        <f>F9/Costs!F$47</f>
        <v>1830.5711579653016</v>
      </c>
      <c r="G70" s="12">
        <f>G9/Costs!G$47</f>
        <v>1757.4311364939567</v>
      </c>
      <c r="H70" s="12">
        <f>H9/Costs!H$47</f>
        <v>1720.0784613770149</v>
      </c>
      <c r="I70" s="12">
        <f>I9/Costs!I$47</f>
        <v>1928.04587637794</v>
      </c>
      <c r="J70" s="12">
        <f>J9/Costs!J$47</f>
        <v>2465.201264221505</v>
      </c>
      <c r="K70" s="12">
        <f>K9/Costs!K$47</f>
        <v>2352.8169430100088</v>
      </c>
      <c r="L70" s="12">
        <f>L9/Costs!L$47</f>
        <v>2302.750784092395</v>
      </c>
      <c r="M70" s="12">
        <f>M9/Costs!M$47</f>
        <v>2242.7249533263944</v>
      </c>
      <c r="N70" s="12">
        <f>N9/Costs!N$47</f>
        <v>2160.2763566297676</v>
      </c>
    </row>
    <row r="72" spans="1:14" ht="13.5" thickBot="1" x14ac:dyDescent="0.3">
      <c r="A72" s="55" t="str">
        <f>Revenue!A$1</f>
        <v>PERIOD</v>
      </c>
      <c r="B72" s="43"/>
      <c r="C72" s="68" t="str">
        <f>Revenue!C$1</f>
        <v>@</v>
      </c>
      <c r="D72" s="68">
        <f>Revenue!D$1</f>
        <v>0</v>
      </c>
      <c r="E72" s="68">
        <f>Revenue!E$1</f>
        <v>1</v>
      </c>
      <c r="F72" s="68">
        <f>Revenue!F$1</f>
        <v>2</v>
      </c>
      <c r="G72" s="68">
        <f>Revenue!G$1</f>
        <v>3</v>
      </c>
      <c r="H72" s="68">
        <f>Revenue!H$1</f>
        <v>4</v>
      </c>
      <c r="I72" s="68">
        <f>Revenue!I$1</f>
        <v>5</v>
      </c>
      <c r="J72" s="68">
        <f>Revenue!J$1</f>
        <v>6</v>
      </c>
      <c r="K72" s="68">
        <f>Revenue!K$1</f>
        <v>7</v>
      </c>
      <c r="L72" s="68">
        <f>Revenue!L$1</f>
        <v>8</v>
      </c>
      <c r="M72" s="68">
        <f>Revenue!M$1</f>
        <v>9</v>
      </c>
      <c r="N72" s="68">
        <f>Revenue!N$1</f>
        <v>10</v>
      </c>
    </row>
    <row r="73" spans="1:14" x14ac:dyDescent="0.25">
      <c r="A73" s="3" t="s">
        <v>93</v>
      </c>
      <c r="B73" s="4" t="s">
        <v>106</v>
      </c>
      <c r="C73" s="5"/>
      <c r="D73" s="12">
        <f>D3/Revenue!D$12</f>
        <v>2229.2156249999998</v>
      </c>
      <c r="E73" s="12">
        <f>E3/Revenue!E$12</f>
        <v>2305.3388185045196</v>
      </c>
      <c r="F73" s="12">
        <f>F3/Revenue!F$12</f>
        <v>2776.522037122184</v>
      </c>
      <c r="G73" s="12">
        <f>G3/Revenue!G$12</f>
        <v>2677.339944438882</v>
      </c>
      <c r="H73" s="12">
        <f>H3/Revenue!H$12</f>
        <v>2621.4053038957491</v>
      </c>
      <c r="I73" s="12">
        <f>I3/Revenue!I$12</f>
        <v>2790.2826106697912</v>
      </c>
      <c r="J73" s="12">
        <f>J3/Revenue!J$12</f>
        <v>3274.5731429369152</v>
      </c>
      <c r="K73" s="12">
        <f>K3/Revenue!K$12</f>
        <v>3169.4341294394303</v>
      </c>
      <c r="L73" s="12">
        <f>L3/Revenue!L$12</f>
        <v>3142.0274005372667</v>
      </c>
      <c r="M73" s="12">
        <f>M3/Revenue!M$12</f>
        <v>3115.6476236382377</v>
      </c>
      <c r="N73" s="12">
        <f>N3/Revenue!N$12</f>
        <v>3081.9147231725874</v>
      </c>
    </row>
    <row r="74" spans="1:14" ht="15" x14ac:dyDescent="0.4">
      <c r="A74" s="7" t="s">
        <v>94</v>
      </c>
      <c r="B74" s="4" t="s">
        <v>106</v>
      </c>
      <c r="C74" s="5"/>
      <c r="D74" s="13">
        <f>D4/Revenue!D$12</f>
        <v>-570.61265624999999</v>
      </c>
      <c r="E74" s="13">
        <f>E4/Revenue!E$12</f>
        <v>-513.03152834090747</v>
      </c>
      <c r="F74" s="13">
        <f>F4/Revenue!F$12</f>
        <v>-646.91666107434435</v>
      </c>
      <c r="G74" s="13">
        <f>G4/Revenue!G$12</f>
        <v>-619.29779078729928</v>
      </c>
      <c r="H74" s="13">
        <f>H4/Revenue!H$12</f>
        <v>-604.11334724090091</v>
      </c>
      <c r="I74" s="13">
        <f>I4/Revenue!I$12</f>
        <v>-653.13652710314773</v>
      </c>
      <c r="J74" s="13">
        <f>J4/Revenue!J$12</f>
        <v>-792.74120288911683</v>
      </c>
      <c r="K74" s="13">
        <f>K4/Revenue!K$12</f>
        <v>-765.21658720176981</v>
      </c>
      <c r="L74" s="13">
        <f>L4/Revenue!L$12</f>
        <v>-760.85829733864409</v>
      </c>
      <c r="M74" s="13">
        <f>M4/Revenue!M$12</f>
        <v>-758.25121665018582</v>
      </c>
      <c r="N74" s="13">
        <f>N4/Revenue!N$12</f>
        <v>-755.66831663734808</v>
      </c>
    </row>
    <row r="75" spans="1:14" x14ac:dyDescent="0.25">
      <c r="A75" s="7" t="s">
        <v>95</v>
      </c>
      <c r="B75" s="4" t="s">
        <v>106</v>
      </c>
      <c r="C75" s="5"/>
      <c r="D75" s="12">
        <f>D5/Revenue!D$12</f>
        <v>1658.6029687499999</v>
      </c>
      <c r="E75" s="12">
        <f>E5/Revenue!E$12</f>
        <v>1792.3072901636124</v>
      </c>
      <c r="F75" s="12">
        <f>F5/Revenue!F$12</f>
        <v>2129.6053760478399</v>
      </c>
      <c r="G75" s="12">
        <f>G5/Revenue!G$12</f>
        <v>2058.0421536515828</v>
      </c>
      <c r="H75" s="12">
        <f>H5/Revenue!H$12</f>
        <v>2017.2919566548478</v>
      </c>
      <c r="I75" s="12">
        <f>I5/Revenue!I$12</f>
        <v>2137.1460835666435</v>
      </c>
      <c r="J75" s="12">
        <f>J5/Revenue!J$12</f>
        <v>2481.8319400477985</v>
      </c>
      <c r="K75" s="12">
        <f>K5/Revenue!K$12</f>
        <v>2404.2175422376604</v>
      </c>
      <c r="L75" s="12">
        <f>L5/Revenue!L$12</f>
        <v>2381.1691031986229</v>
      </c>
      <c r="M75" s="12">
        <f>M5/Revenue!M$12</f>
        <v>2357.3964069880521</v>
      </c>
      <c r="N75" s="12">
        <f>N5/Revenue!N$12</f>
        <v>2326.2464065352392</v>
      </c>
    </row>
    <row r="76" spans="1:14" ht="15" x14ac:dyDescent="0.4">
      <c r="A76" s="7" t="s">
        <v>96</v>
      </c>
      <c r="B76" s="4" t="s">
        <v>106</v>
      </c>
      <c r="C76" s="5"/>
      <c r="D76" s="13">
        <f>D6/Revenue!D$12</f>
        <v>-460.29437999999999</v>
      </c>
      <c r="E76" s="13">
        <f>E6/Revenue!E$12</f>
        <v>-482.87517528377663</v>
      </c>
      <c r="F76" s="13">
        <f>F6/Revenue!F$12</f>
        <v>-612.18579984123949</v>
      </c>
      <c r="G76" s="13">
        <f>G6/Revenue!G$12</f>
        <v>-586.45104853352393</v>
      </c>
      <c r="H76" s="13">
        <f>H6/Revenue!H$12</f>
        <v>-572.96926633327166</v>
      </c>
      <c r="I76" s="13">
        <f>I6/Revenue!I$12</f>
        <v>-622.04892633439044</v>
      </c>
      <c r="J76" s="13">
        <f>J6/Revenue!J$12</f>
        <v>-760.21412461211867</v>
      </c>
      <c r="K76" s="13">
        <f>K6/Revenue!K$12</f>
        <v>-737.55323246736441</v>
      </c>
      <c r="L76" s="13">
        <f>L6/Revenue!L$12</f>
        <v>-739.06821463805636</v>
      </c>
      <c r="M76" s="13">
        <f>M6/Revenue!M$12</f>
        <v>-744.71072521868746</v>
      </c>
      <c r="N76" s="13">
        <f>N6/Revenue!N$12</f>
        <v>-753.90468945291741</v>
      </c>
    </row>
    <row r="77" spans="1:14" x14ac:dyDescent="0.25">
      <c r="A77" s="7" t="s">
        <v>97</v>
      </c>
      <c r="B77" s="4" t="s">
        <v>106</v>
      </c>
      <c r="C77" s="5"/>
      <c r="D77" s="12">
        <f>D7/Revenue!D$12</f>
        <v>1198.3085887499999</v>
      </c>
      <c r="E77" s="12">
        <f>E7/Revenue!E$12</f>
        <v>1309.4321148798358</v>
      </c>
      <c r="F77" s="12">
        <f>F7/Revenue!F$12</f>
        <v>1517.4195762066006</v>
      </c>
      <c r="G77" s="12">
        <f>G7/Revenue!G$12</f>
        <v>1471.591105118059</v>
      </c>
      <c r="H77" s="12">
        <f>H7/Revenue!H$12</f>
        <v>1444.3226903215761</v>
      </c>
      <c r="I77" s="12">
        <f>I7/Revenue!I$12</f>
        <v>1515.0971572322528</v>
      </c>
      <c r="J77" s="12">
        <f>J7/Revenue!J$12</f>
        <v>1721.6178154356801</v>
      </c>
      <c r="K77" s="12">
        <f>K7/Revenue!K$12</f>
        <v>1666.6643097702961</v>
      </c>
      <c r="L77" s="12">
        <f>L7/Revenue!L$12</f>
        <v>1642.1008885605668</v>
      </c>
      <c r="M77" s="12">
        <f>M7/Revenue!M$12</f>
        <v>1612.6856817693649</v>
      </c>
      <c r="N77" s="12">
        <f>N7/Revenue!N$12</f>
        <v>1572.3417170823218</v>
      </c>
    </row>
    <row r="78" spans="1:14" ht="15" x14ac:dyDescent="0.4">
      <c r="A78" s="7" t="s">
        <v>98</v>
      </c>
      <c r="B78" s="4" t="s">
        <v>106</v>
      </c>
      <c r="C78" s="5"/>
      <c r="D78" s="13">
        <f>D8/Revenue!D$12</f>
        <v>-702.22614780424374</v>
      </c>
      <c r="E78" s="13">
        <f>E8/Revenue!E$12</f>
        <v>-686.41888706341422</v>
      </c>
      <c r="F78" s="13">
        <f>F8/Revenue!F$12</f>
        <v>-624.85674854609283</v>
      </c>
      <c r="G78" s="13">
        <f>G8/Revenue!G$12</f>
        <v>-614.69040623935484</v>
      </c>
      <c r="H78" s="13">
        <f>H8/Revenue!H$12</f>
        <v>-605.63467286636785</v>
      </c>
      <c r="I78" s="13">
        <f>I8/Revenue!I$12</f>
        <v>-575.00691720472196</v>
      </c>
      <c r="J78" s="13">
        <f>J8/Revenue!J$12</f>
        <v>-519.61755362039332</v>
      </c>
      <c r="K78" s="13">
        <f>K8/Revenue!K$12</f>
        <v>-519.46118986821182</v>
      </c>
      <c r="L78" s="13">
        <f>L8/Revenue!L$12</f>
        <v>-519.30938040007459</v>
      </c>
      <c r="M78" s="13">
        <f>M8/Revenue!M$12</f>
        <v>-519.16199256693164</v>
      </c>
      <c r="N78" s="13">
        <f>N8/Revenue!N$12</f>
        <v>-519.01889758329764</v>
      </c>
    </row>
    <row r="79" spans="1:14" x14ac:dyDescent="0.25">
      <c r="A79" s="7" t="s">
        <v>100</v>
      </c>
      <c r="B79" s="4" t="s">
        <v>106</v>
      </c>
      <c r="C79" s="5"/>
      <c r="D79" s="12">
        <f>D9/Revenue!D$12</f>
        <v>496.08244094575622</v>
      </c>
      <c r="E79" s="12">
        <f>E9/Revenue!E$12</f>
        <v>623.01322781642148</v>
      </c>
      <c r="F79" s="12">
        <f>F9/Revenue!F$12</f>
        <v>892.56282766050776</v>
      </c>
      <c r="G79" s="12">
        <f>G9/Revenue!G$12</f>
        <v>856.90069887870413</v>
      </c>
      <c r="H79" s="12">
        <f>H9/Revenue!H$12</f>
        <v>838.68801745520841</v>
      </c>
      <c r="I79" s="12">
        <f>I9/Revenue!I$12</f>
        <v>940.09024002753097</v>
      </c>
      <c r="J79" s="12">
        <f>J9/Revenue!J$12</f>
        <v>1202.0002618152866</v>
      </c>
      <c r="K79" s="12">
        <f>K9/Revenue!K$12</f>
        <v>1147.2031199020842</v>
      </c>
      <c r="L79" s="12">
        <f>L9/Revenue!L$12</f>
        <v>1122.7915081604922</v>
      </c>
      <c r="M79" s="12">
        <f>M9/Revenue!M$12</f>
        <v>1093.5236892024332</v>
      </c>
      <c r="N79" s="12">
        <f>N9/Revenue!N$12</f>
        <v>1053.322819499024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topLeftCell="A7" zoomScaleNormal="100" workbookViewId="0">
      <selection activeCell="D34" sqref="D34"/>
    </sheetView>
  </sheetViews>
  <sheetFormatPr defaultRowHeight="12.75" x14ac:dyDescent="0.25"/>
  <cols>
    <col min="1" max="1" width="35.28515625" style="2" bestFit="1" customWidth="1"/>
    <col min="2" max="2" width="11.140625" style="2" bestFit="1" customWidth="1"/>
    <col min="3" max="3" width="3.5703125" style="2" bestFit="1" customWidth="1"/>
    <col min="4" max="4" width="7.7109375" style="2" bestFit="1" customWidth="1"/>
    <col min="5" max="5" width="8.42578125" style="2" bestFit="1" customWidth="1"/>
    <col min="6" max="9" width="9.140625" style="2" bestFit="1"/>
    <col min="10" max="13" width="10.28515625" style="2" hidden="1" customWidth="1"/>
    <col min="14" max="14" width="10.28515625" style="2" bestFit="1" customWidth="1"/>
    <col min="15" max="15" width="42.140625" style="1" bestFit="1" customWidth="1"/>
    <col min="16" max="22" width="9.140625" style="2"/>
    <col min="23" max="23" width="12.7109375" style="2" bestFit="1" customWidth="1"/>
    <col min="24" max="24" width="21" style="2" bestFit="1" customWidth="1"/>
    <col min="25" max="25" width="20.140625" style="2" bestFit="1" customWidth="1"/>
    <col min="26" max="16384" width="9.140625" style="2"/>
  </cols>
  <sheetData>
    <row r="1" spans="1:25" ht="13.5" thickBot="1" x14ac:dyDescent="0.3">
      <c r="A1" s="41" t="str">
        <f>CF!A2</f>
        <v>PERIOD</v>
      </c>
      <c r="B1" s="42"/>
      <c r="C1" s="43" t="s">
        <v>58</v>
      </c>
      <c r="D1" s="44">
        <v>0</v>
      </c>
      <c r="E1" s="44">
        <v>1</v>
      </c>
      <c r="F1" s="44">
        <v>2</v>
      </c>
      <c r="G1" s="44">
        <v>3</v>
      </c>
      <c r="H1" s="44">
        <v>4</v>
      </c>
      <c r="I1" s="44">
        <v>5</v>
      </c>
      <c r="J1" s="44">
        <v>6</v>
      </c>
      <c r="K1" s="44">
        <v>7</v>
      </c>
      <c r="L1" s="44">
        <v>8</v>
      </c>
      <c r="M1" s="44">
        <v>9</v>
      </c>
      <c r="N1" s="44">
        <v>10</v>
      </c>
    </row>
    <row r="2" spans="1:25" ht="15" x14ac:dyDescent="0.4">
      <c r="A2" s="14" t="s">
        <v>3</v>
      </c>
      <c r="B2" s="14"/>
    </row>
    <row r="3" spans="1:25" x14ac:dyDescent="0.25">
      <c r="A3" s="3" t="s">
        <v>6</v>
      </c>
      <c r="B3" s="4" t="s">
        <v>4</v>
      </c>
      <c r="C3" s="15">
        <v>0.05</v>
      </c>
      <c r="D3" s="28">
        <v>500000</v>
      </c>
      <c r="E3" s="6">
        <f>D3*(1-$C$3)</f>
        <v>475000</v>
      </c>
      <c r="F3" s="6">
        <f t="shared" ref="F3:N3" si="0">E3*(1-$C$3)</f>
        <v>451250</v>
      </c>
      <c r="G3" s="6">
        <f t="shared" si="0"/>
        <v>428687.5</v>
      </c>
      <c r="H3" s="6">
        <f t="shared" si="0"/>
        <v>407253.125</v>
      </c>
      <c r="I3" s="6">
        <f t="shared" si="0"/>
        <v>386890.46875</v>
      </c>
      <c r="J3" s="6">
        <f t="shared" si="0"/>
        <v>367545.9453125</v>
      </c>
      <c r="K3" s="6">
        <f t="shared" si="0"/>
        <v>349168.64804687497</v>
      </c>
      <c r="L3" s="6">
        <f t="shared" si="0"/>
        <v>331710.21564453118</v>
      </c>
      <c r="M3" s="6">
        <f t="shared" si="0"/>
        <v>315124.70486230461</v>
      </c>
      <c r="N3" s="6">
        <f t="shared" si="0"/>
        <v>299368.46961918939</v>
      </c>
      <c r="O3" s="1" t="s">
        <v>7</v>
      </c>
    </row>
    <row r="4" spans="1:25" x14ac:dyDescent="0.25">
      <c r="A4" s="7" t="s">
        <v>8</v>
      </c>
      <c r="B4" s="4" t="s">
        <v>9</v>
      </c>
      <c r="C4" s="15">
        <v>0.03</v>
      </c>
      <c r="D4" s="28">
        <v>4200000</v>
      </c>
      <c r="E4" s="6">
        <f>D4*(1+$C$4)</f>
        <v>4326000</v>
      </c>
      <c r="F4" s="6">
        <f t="shared" ref="F4:N4" si="1">E4*(1+$C$4)</f>
        <v>4455780</v>
      </c>
      <c r="G4" s="6">
        <f t="shared" si="1"/>
        <v>4589453.4000000004</v>
      </c>
      <c r="H4" s="6">
        <f t="shared" si="1"/>
        <v>4727137.0020000003</v>
      </c>
      <c r="I4" s="6">
        <f t="shared" si="1"/>
        <v>4868951.1120600002</v>
      </c>
      <c r="J4" s="6">
        <f t="shared" si="1"/>
        <v>5015019.6454218002</v>
      </c>
      <c r="K4" s="6">
        <f t="shared" si="1"/>
        <v>5165470.2347844541</v>
      </c>
      <c r="L4" s="6">
        <f t="shared" si="1"/>
        <v>5320434.3418279877</v>
      </c>
      <c r="M4" s="6">
        <f t="shared" si="1"/>
        <v>5480047.3720828276</v>
      </c>
      <c r="N4" s="6">
        <f t="shared" si="1"/>
        <v>5644448.7932453128</v>
      </c>
      <c r="O4" s="1" t="s">
        <v>81</v>
      </c>
    </row>
    <row r="5" spans="1:25" x14ac:dyDescent="0.25">
      <c r="A5" s="7" t="s">
        <v>10</v>
      </c>
      <c r="B5" s="4" t="s">
        <v>9</v>
      </c>
      <c r="C5" s="10">
        <f>+D5/D4</f>
        <v>0.5512719047619048</v>
      </c>
      <c r="D5" s="28">
        <v>2315342</v>
      </c>
      <c r="E5" s="6">
        <f t="shared" ref="E5:N5" si="2">+E4*$C$5</f>
        <v>2384802.2600000002</v>
      </c>
      <c r="F5" s="6">
        <f t="shared" si="2"/>
        <v>2456346.3278000001</v>
      </c>
      <c r="G5" s="6">
        <f t="shared" si="2"/>
        <v>2530036.7176340003</v>
      </c>
      <c r="H5" s="6">
        <f t="shared" si="2"/>
        <v>2605937.8191630202</v>
      </c>
      <c r="I5" s="6">
        <f t="shared" si="2"/>
        <v>2684115.9537379108</v>
      </c>
      <c r="J5" s="6">
        <f t="shared" si="2"/>
        <v>2764639.4323500483</v>
      </c>
      <c r="K5" s="6">
        <f t="shared" si="2"/>
        <v>2847578.6153205498</v>
      </c>
      <c r="L5" s="6">
        <f t="shared" si="2"/>
        <v>2933005.9737801659</v>
      </c>
      <c r="M5" s="6">
        <f t="shared" si="2"/>
        <v>3020996.152993571</v>
      </c>
      <c r="N5" s="6">
        <f t="shared" si="2"/>
        <v>3111626.0375833786</v>
      </c>
      <c r="O5" s="1" t="s">
        <v>132</v>
      </c>
    </row>
    <row r="6" spans="1:25" x14ac:dyDescent="0.25">
      <c r="A6" s="7" t="s">
        <v>11</v>
      </c>
      <c r="B6" s="4" t="s">
        <v>9</v>
      </c>
      <c r="C6" s="10">
        <f>+D6/D5</f>
        <v>0.56147212809165992</v>
      </c>
      <c r="D6" s="28">
        <v>1300000</v>
      </c>
      <c r="E6" s="6">
        <f>E5*$C$6</f>
        <v>1339000.0000000002</v>
      </c>
      <c r="F6" s="6">
        <f t="shared" ref="F6:N6" si="3">F5*$C$6</f>
        <v>1379170</v>
      </c>
      <c r="G6" s="6">
        <f t="shared" si="3"/>
        <v>1420545.1000000003</v>
      </c>
      <c r="H6" s="6">
        <f t="shared" si="3"/>
        <v>1463161.4530000002</v>
      </c>
      <c r="I6" s="6">
        <f t="shared" si="3"/>
        <v>1507056.2965900002</v>
      </c>
      <c r="J6" s="6">
        <f t="shared" si="3"/>
        <v>1552267.9854877002</v>
      </c>
      <c r="K6" s="6">
        <f t="shared" si="3"/>
        <v>1598836.0250523314</v>
      </c>
      <c r="L6" s="6">
        <f t="shared" si="3"/>
        <v>1646801.1058039011</v>
      </c>
      <c r="M6" s="6">
        <f t="shared" si="3"/>
        <v>1696205.1389780182</v>
      </c>
      <c r="N6" s="6">
        <f t="shared" si="3"/>
        <v>1747091.293147359</v>
      </c>
      <c r="O6" s="1" t="s">
        <v>132</v>
      </c>
    </row>
    <row r="7" spans="1:25" ht="15" x14ac:dyDescent="0.4">
      <c r="A7" s="14" t="s">
        <v>16</v>
      </c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W7" s="2" t="s">
        <v>0</v>
      </c>
      <c r="Y7" s="2" t="s">
        <v>1</v>
      </c>
    </row>
    <row r="8" spans="1:25" x14ac:dyDescent="0.25">
      <c r="A8" s="7" t="s">
        <v>12</v>
      </c>
      <c r="B8" s="4" t="s">
        <v>9</v>
      </c>
      <c r="C8" s="9"/>
      <c r="D8" s="45">
        <v>1E-3</v>
      </c>
      <c r="E8" s="45">
        <v>0.01</v>
      </c>
      <c r="F8" s="45">
        <v>0.02</v>
      </c>
      <c r="G8" s="45">
        <v>0.04</v>
      </c>
      <c r="H8" s="45">
        <v>0.08</v>
      </c>
      <c r="I8" s="45">
        <v>0.12</v>
      </c>
      <c r="J8" s="38">
        <f>I8</f>
        <v>0.12</v>
      </c>
      <c r="K8" s="38">
        <f>J8</f>
        <v>0.12</v>
      </c>
      <c r="L8" s="38">
        <f>K8</f>
        <v>0.12</v>
      </c>
      <c r="M8" s="38">
        <f>L8</f>
        <v>0.12</v>
      </c>
      <c r="N8" s="38">
        <f>M8</f>
        <v>0.12</v>
      </c>
      <c r="O8" s="1" t="s">
        <v>13</v>
      </c>
    </row>
    <row r="9" spans="1:25" x14ac:dyDescent="0.25">
      <c r="A9" s="7" t="s">
        <v>14</v>
      </c>
      <c r="B9" s="4" t="s">
        <v>9</v>
      </c>
      <c r="C9" s="9"/>
      <c r="D9" s="46">
        <f>+D8*D6/D5</f>
        <v>5.6147212809165993E-4</v>
      </c>
      <c r="E9" s="46">
        <f t="shared" ref="E9:N9" si="4">+E8*E6/E5</f>
        <v>5.6147212809165995E-3</v>
      </c>
      <c r="F9" s="46">
        <f t="shared" si="4"/>
        <v>1.1229442561833197E-2</v>
      </c>
      <c r="G9" s="46">
        <f t="shared" si="4"/>
        <v>2.2458885123666398E-2</v>
      </c>
      <c r="H9" s="46">
        <f t="shared" si="4"/>
        <v>4.4917770247332796E-2</v>
      </c>
      <c r="I9" s="46">
        <f t="shared" si="4"/>
        <v>6.7376655370999183E-2</v>
      </c>
      <c r="J9" s="46">
        <f t="shared" si="4"/>
        <v>6.7376655370999183E-2</v>
      </c>
      <c r="K9" s="46">
        <f t="shared" si="4"/>
        <v>6.7376655370999197E-2</v>
      </c>
      <c r="L9" s="46">
        <f t="shared" si="4"/>
        <v>6.7376655370999183E-2</v>
      </c>
      <c r="M9" s="46">
        <f t="shared" si="4"/>
        <v>6.7376655370999197E-2</v>
      </c>
      <c r="N9" s="46">
        <f t="shared" si="4"/>
        <v>6.7376655370999183E-2</v>
      </c>
      <c r="O9" s="1" t="s">
        <v>13</v>
      </c>
    </row>
    <row r="10" spans="1:25" x14ac:dyDescent="0.25">
      <c r="A10" s="7" t="s">
        <v>15</v>
      </c>
      <c r="B10" s="4" t="s">
        <v>9</v>
      </c>
      <c r="C10" s="10"/>
      <c r="D10" s="46">
        <f>+D9*D5/D4</f>
        <v>3.095238095238095E-4</v>
      </c>
      <c r="E10" s="46">
        <f t="shared" ref="E10:N10" si="5">+E9*E5/E4</f>
        <v>3.0952380952380958E-3</v>
      </c>
      <c r="F10" s="46">
        <f t="shared" si="5"/>
        <v>6.1904761904761898E-3</v>
      </c>
      <c r="G10" s="46">
        <f t="shared" si="5"/>
        <v>1.2380952380952383E-2</v>
      </c>
      <c r="H10" s="46">
        <f t="shared" si="5"/>
        <v>2.4761904761904766E-2</v>
      </c>
      <c r="I10" s="46">
        <f t="shared" si="5"/>
        <v>3.7142857142857137E-2</v>
      </c>
      <c r="J10" s="46">
        <f t="shared" si="5"/>
        <v>3.7142857142857144E-2</v>
      </c>
      <c r="K10" s="46">
        <f t="shared" si="5"/>
        <v>3.7142857142857151E-2</v>
      </c>
      <c r="L10" s="46">
        <f t="shared" si="5"/>
        <v>3.7142857142857137E-2</v>
      </c>
      <c r="M10" s="46">
        <f t="shared" si="5"/>
        <v>3.7142857142857151E-2</v>
      </c>
      <c r="N10" s="46">
        <f t="shared" si="5"/>
        <v>3.7142857142857144E-2</v>
      </c>
      <c r="O10" s="1" t="s">
        <v>13</v>
      </c>
    </row>
    <row r="11" spans="1:25" ht="15" x14ac:dyDescent="0.4">
      <c r="A11" s="14" t="s">
        <v>20</v>
      </c>
      <c r="B11" s="1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W11" s="2" t="s">
        <v>0</v>
      </c>
      <c r="Y11" s="2" t="s">
        <v>1</v>
      </c>
    </row>
    <row r="12" spans="1:25" x14ac:dyDescent="0.25">
      <c r="A12" s="7" t="s">
        <v>17</v>
      </c>
      <c r="B12" s="4" t="s">
        <v>9</v>
      </c>
      <c r="C12" s="5"/>
      <c r="D12" s="47">
        <f>+D8*D6</f>
        <v>1300</v>
      </c>
      <c r="E12" s="47">
        <f t="shared" ref="E12:N12" si="6">+E8*E6</f>
        <v>13390.000000000002</v>
      </c>
      <c r="F12" s="47">
        <f t="shared" si="6"/>
        <v>27583.4</v>
      </c>
      <c r="G12" s="47">
        <f t="shared" si="6"/>
        <v>56821.804000000011</v>
      </c>
      <c r="H12" s="47">
        <f t="shared" si="6"/>
        <v>117052.91624000002</v>
      </c>
      <c r="I12" s="47">
        <f t="shared" si="6"/>
        <v>180846.75559080002</v>
      </c>
      <c r="J12" s="47">
        <f t="shared" si="6"/>
        <v>186272.15825852402</v>
      </c>
      <c r="K12" s="47">
        <f t="shared" si="6"/>
        <v>191860.32300627977</v>
      </c>
      <c r="L12" s="47">
        <f t="shared" si="6"/>
        <v>197616.13269646812</v>
      </c>
      <c r="M12" s="47">
        <f t="shared" si="6"/>
        <v>203544.61667736218</v>
      </c>
      <c r="N12" s="47">
        <f t="shared" si="6"/>
        <v>209650.95517768306</v>
      </c>
    </row>
    <row r="13" spans="1:25" x14ac:dyDescent="0.25">
      <c r="A13" s="40" t="s">
        <v>133</v>
      </c>
      <c r="B13" s="4" t="s">
        <v>5</v>
      </c>
      <c r="C13" s="5"/>
      <c r="D13" s="47"/>
      <c r="E13" s="10">
        <f t="shared" ref="E13:N13" si="7">+E12/D12-1</f>
        <v>9.3000000000000007</v>
      </c>
      <c r="F13" s="10">
        <f t="shared" si="7"/>
        <v>1.0599999999999996</v>
      </c>
      <c r="G13" s="10">
        <f t="shared" si="7"/>
        <v>1.0600000000000005</v>
      </c>
      <c r="H13" s="10">
        <f t="shared" si="7"/>
        <v>1.06</v>
      </c>
      <c r="I13" s="10">
        <f t="shared" si="7"/>
        <v>0.54499999999999993</v>
      </c>
      <c r="J13" s="10">
        <f t="shared" si="7"/>
        <v>3.0000000000000027E-2</v>
      </c>
      <c r="K13" s="10">
        <f t="shared" si="7"/>
        <v>3.0000000000000027E-2</v>
      </c>
      <c r="L13" s="10">
        <f t="shared" si="7"/>
        <v>2.9999999999999805E-2</v>
      </c>
      <c r="M13" s="10">
        <f t="shared" si="7"/>
        <v>3.0000000000000027E-2</v>
      </c>
      <c r="N13" s="10">
        <f t="shared" si="7"/>
        <v>3.0000000000000027E-2</v>
      </c>
    </row>
    <row r="14" spans="1:25" x14ac:dyDescent="0.25">
      <c r="A14" s="3" t="s">
        <v>18</v>
      </c>
      <c r="B14" s="4" t="s">
        <v>9</v>
      </c>
      <c r="C14" s="48">
        <v>0.2</v>
      </c>
      <c r="D14" s="28">
        <v>5000</v>
      </c>
      <c r="E14" s="6">
        <f t="shared" ref="E14:N14" si="8">+D14*(1-$C$14)</f>
        <v>4000</v>
      </c>
      <c r="F14" s="6">
        <f t="shared" si="8"/>
        <v>3200</v>
      </c>
      <c r="G14" s="6">
        <f t="shared" si="8"/>
        <v>2560</v>
      </c>
      <c r="H14" s="6">
        <f t="shared" si="8"/>
        <v>2048</v>
      </c>
      <c r="I14" s="6">
        <f t="shared" si="8"/>
        <v>1638.4</v>
      </c>
      <c r="J14" s="6">
        <f t="shared" si="8"/>
        <v>1310.7200000000003</v>
      </c>
      <c r="K14" s="6">
        <f t="shared" si="8"/>
        <v>1048.5760000000002</v>
      </c>
      <c r="L14" s="6">
        <f t="shared" si="8"/>
        <v>838.86080000000027</v>
      </c>
      <c r="M14" s="6">
        <f t="shared" si="8"/>
        <v>671.08864000000028</v>
      </c>
      <c r="N14" s="6">
        <f t="shared" si="8"/>
        <v>536.8709120000002</v>
      </c>
      <c r="O14" s="1" t="s">
        <v>21</v>
      </c>
    </row>
    <row r="15" spans="1:25" x14ac:dyDescent="0.25">
      <c r="A15" s="3" t="s">
        <v>19</v>
      </c>
      <c r="B15" s="4" t="s">
        <v>4</v>
      </c>
      <c r="C15" s="5"/>
      <c r="D15" s="5">
        <f t="shared" ref="D15:N15" si="9">ROUNDUP((D12-C12)/D14,0)</f>
        <v>1</v>
      </c>
      <c r="E15" s="5">
        <f t="shared" si="9"/>
        <v>4</v>
      </c>
      <c r="F15" s="5">
        <f t="shared" si="9"/>
        <v>5</v>
      </c>
      <c r="G15" s="5">
        <f t="shared" si="9"/>
        <v>12</v>
      </c>
      <c r="H15" s="5">
        <f t="shared" si="9"/>
        <v>30</v>
      </c>
      <c r="I15" s="5">
        <f t="shared" si="9"/>
        <v>39</v>
      </c>
      <c r="J15" s="5">
        <f t="shared" si="9"/>
        <v>5</v>
      </c>
      <c r="K15" s="5">
        <f t="shared" si="9"/>
        <v>6</v>
      </c>
      <c r="L15" s="5">
        <f t="shared" si="9"/>
        <v>7</v>
      </c>
      <c r="M15" s="5">
        <f t="shared" si="9"/>
        <v>9</v>
      </c>
      <c r="N15" s="5">
        <f t="shared" si="9"/>
        <v>12</v>
      </c>
      <c r="W15" s="2">
        <v>1</v>
      </c>
      <c r="X15" s="2" t="s">
        <v>2</v>
      </c>
    </row>
    <row r="16" spans="1:25" s="50" customFormat="1" x14ac:dyDescent="0.25">
      <c r="A16" s="7" t="s">
        <v>22</v>
      </c>
      <c r="B16" s="4" t="s">
        <v>4</v>
      </c>
      <c r="C16" s="49"/>
      <c r="D16" s="49">
        <f t="shared" ref="D16:N16" si="10">C16+D15</f>
        <v>1</v>
      </c>
      <c r="E16" s="49">
        <f t="shared" si="10"/>
        <v>5</v>
      </c>
      <c r="F16" s="49">
        <f t="shared" si="10"/>
        <v>10</v>
      </c>
      <c r="G16" s="49">
        <f t="shared" si="10"/>
        <v>22</v>
      </c>
      <c r="H16" s="49">
        <f t="shared" si="10"/>
        <v>52</v>
      </c>
      <c r="I16" s="49">
        <f t="shared" si="10"/>
        <v>91</v>
      </c>
      <c r="J16" s="49">
        <f t="shared" si="10"/>
        <v>96</v>
      </c>
      <c r="K16" s="49">
        <f t="shared" si="10"/>
        <v>102</v>
      </c>
      <c r="L16" s="49">
        <f t="shared" si="10"/>
        <v>109</v>
      </c>
      <c r="M16" s="49">
        <f t="shared" si="10"/>
        <v>118</v>
      </c>
      <c r="N16" s="49">
        <f t="shared" si="10"/>
        <v>130</v>
      </c>
      <c r="O16" s="33"/>
      <c r="W16" s="50">
        <v>3</v>
      </c>
      <c r="X16" s="50" t="s">
        <v>1</v>
      </c>
    </row>
    <row r="17" spans="1:15" x14ac:dyDescent="0.25">
      <c r="A17" s="40" t="s">
        <v>134</v>
      </c>
      <c r="B17" s="4" t="s">
        <v>5</v>
      </c>
      <c r="C17" s="5"/>
      <c r="D17" s="47"/>
      <c r="E17" s="10">
        <f t="shared" ref="E17:N17" si="11">+E16/D16-1</f>
        <v>4</v>
      </c>
      <c r="F17" s="10">
        <f t="shared" si="11"/>
        <v>1</v>
      </c>
      <c r="G17" s="10">
        <f t="shared" si="11"/>
        <v>1.2000000000000002</v>
      </c>
      <c r="H17" s="10">
        <f t="shared" si="11"/>
        <v>1.3636363636363638</v>
      </c>
      <c r="I17" s="10">
        <f t="shared" si="11"/>
        <v>0.75</v>
      </c>
      <c r="J17" s="10">
        <f t="shared" si="11"/>
        <v>5.4945054945054972E-2</v>
      </c>
      <c r="K17" s="10">
        <f t="shared" si="11"/>
        <v>6.25E-2</v>
      </c>
      <c r="L17" s="10">
        <f t="shared" si="11"/>
        <v>6.8627450980392135E-2</v>
      </c>
      <c r="M17" s="10">
        <f t="shared" si="11"/>
        <v>8.256880733944949E-2</v>
      </c>
      <c r="N17" s="10">
        <f t="shared" si="11"/>
        <v>0.10169491525423724</v>
      </c>
    </row>
    <row r="18" spans="1:15" x14ac:dyDescent="0.25">
      <c r="A18" s="7" t="s">
        <v>131</v>
      </c>
      <c r="B18" s="4" t="s">
        <v>9</v>
      </c>
      <c r="C18" s="48">
        <f>'Basic Calculations'!D17</f>
        <v>0.3</v>
      </c>
      <c r="D18" s="47">
        <f t="shared" ref="D18:N18" si="12">+$C$18*D12</f>
        <v>390</v>
      </c>
      <c r="E18" s="47">
        <f t="shared" si="12"/>
        <v>4017.0000000000005</v>
      </c>
      <c r="F18" s="47">
        <f t="shared" si="12"/>
        <v>8275.02</v>
      </c>
      <c r="G18" s="47">
        <f t="shared" si="12"/>
        <v>17046.541200000003</v>
      </c>
      <c r="H18" s="47">
        <f t="shared" si="12"/>
        <v>35115.874872000008</v>
      </c>
      <c r="I18" s="47">
        <f t="shared" si="12"/>
        <v>54254.026677240006</v>
      </c>
      <c r="J18" s="47">
        <f t="shared" si="12"/>
        <v>55881.647477557206</v>
      </c>
      <c r="K18" s="47">
        <f t="shared" si="12"/>
        <v>57558.096901883931</v>
      </c>
      <c r="L18" s="47">
        <f t="shared" si="12"/>
        <v>59284.839808940436</v>
      </c>
      <c r="M18" s="47">
        <f t="shared" si="12"/>
        <v>61063.385003208648</v>
      </c>
      <c r="N18" s="47">
        <f t="shared" si="12"/>
        <v>62895.286553304919</v>
      </c>
      <c r="O18" s="1" t="s">
        <v>50</v>
      </c>
    </row>
    <row r="19" spans="1:15" ht="15" x14ac:dyDescent="0.4">
      <c r="A19" s="14" t="s">
        <v>29</v>
      </c>
      <c r="B19" s="14"/>
      <c r="E19" s="72">
        <f>+D12*D23</f>
        <v>2484300</v>
      </c>
    </row>
    <row r="20" spans="1:15" x14ac:dyDescent="0.25">
      <c r="A20" s="12" t="s">
        <v>135</v>
      </c>
      <c r="B20" s="4" t="s">
        <v>23</v>
      </c>
      <c r="D20" s="51">
        <f>+Capacity!D8</f>
        <v>273</v>
      </c>
      <c r="E20" s="31">
        <f t="shared" ref="E20:N20" si="13">+D20</f>
        <v>273</v>
      </c>
      <c r="F20" s="31">
        <f t="shared" si="13"/>
        <v>273</v>
      </c>
      <c r="G20" s="31">
        <f t="shared" si="13"/>
        <v>273</v>
      </c>
      <c r="H20" s="31">
        <f t="shared" si="13"/>
        <v>273</v>
      </c>
      <c r="I20" s="31">
        <f t="shared" si="13"/>
        <v>273</v>
      </c>
      <c r="J20" s="31">
        <f t="shared" si="13"/>
        <v>273</v>
      </c>
      <c r="K20" s="31">
        <f t="shared" si="13"/>
        <v>273</v>
      </c>
      <c r="L20" s="31">
        <f t="shared" si="13"/>
        <v>273</v>
      </c>
      <c r="M20" s="31">
        <f t="shared" si="13"/>
        <v>273</v>
      </c>
      <c r="N20" s="31">
        <f t="shared" si="13"/>
        <v>273</v>
      </c>
      <c r="O20" s="1" t="s">
        <v>137</v>
      </c>
    </row>
    <row r="21" spans="1:15" x14ac:dyDescent="0.25">
      <c r="A21" s="12" t="s">
        <v>24</v>
      </c>
      <c r="B21" s="4" t="s">
        <v>25</v>
      </c>
      <c r="D21" s="51">
        <f>'Basic Calculations'!D7</f>
        <v>10.666666666666666</v>
      </c>
      <c r="E21" s="52">
        <f t="shared" ref="E21:N21" si="14">+D21</f>
        <v>10.666666666666666</v>
      </c>
      <c r="F21" s="52">
        <f t="shared" si="14"/>
        <v>10.666666666666666</v>
      </c>
      <c r="G21" s="52">
        <f t="shared" si="14"/>
        <v>10.666666666666666</v>
      </c>
      <c r="H21" s="52">
        <f t="shared" si="14"/>
        <v>10.666666666666666</v>
      </c>
      <c r="I21" s="52">
        <f t="shared" si="14"/>
        <v>10.666666666666666</v>
      </c>
      <c r="J21" s="52">
        <f t="shared" si="14"/>
        <v>10.666666666666666</v>
      </c>
      <c r="K21" s="52">
        <f t="shared" si="14"/>
        <v>10.666666666666666</v>
      </c>
      <c r="L21" s="52">
        <f t="shared" si="14"/>
        <v>10.666666666666666</v>
      </c>
      <c r="M21" s="52">
        <f t="shared" si="14"/>
        <v>10.666666666666666</v>
      </c>
      <c r="N21" s="52">
        <f t="shared" si="14"/>
        <v>10.666666666666666</v>
      </c>
      <c r="O21" s="1" t="s">
        <v>83</v>
      </c>
    </row>
    <row r="22" spans="1:15" x14ac:dyDescent="0.25">
      <c r="A22" s="12" t="s">
        <v>26</v>
      </c>
      <c r="B22" s="4" t="s">
        <v>5</v>
      </c>
      <c r="D22" s="48">
        <f>1-'Basic Calculations'!D9/'Basic Calculations'!D7</f>
        <v>0.34375</v>
      </c>
      <c r="E22" s="53">
        <f>D22</f>
        <v>0.34375</v>
      </c>
      <c r="F22" s="53">
        <f t="shared" ref="F22:N22" si="15">+E22</f>
        <v>0.34375</v>
      </c>
      <c r="G22" s="53">
        <f t="shared" si="15"/>
        <v>0.34375</v>
      </c>
      <c r="H22" s="53">
        <f t="shared" si="15"/>
        <v>0.34375</v>
      </c>
      <c r="I22" s="53">
        <f t="shared" si="15"/>
        <v>0.34375</v>
      </c>
      <c r="J22" s="53">
        <f t="shared" si="15"/>
        <v>0.34375</v>
      </c>
      <c r="K22" s="53">
        <f t="shared" si="15"/>
        <v>0.34375</v>
      </c>
      <c r="L22" s="53">
        <f t="shared" si="15"/>
        <v>0.34375</v>
      </c>
      <c r="M22" s="53">
        <f t="shared" si="15"/>
        <v>0.34375</v>
      </c>
      <c r="N22" s="53">
        <f t="shared" si="15"/>
        <v>0.34375</v>
      </c>
      <c r="O22" s="1" t="s">
        <v>136</v>
      </c>
    </row>
    <row r="23" spans="1:15" x14ac:dyDescent="0.25">
      <c r="A23" s="12" t="s">
        <v>28</v>
      </c>
      <c r="B23" s="4" t="s">
        <v>27</v>
      </c>
      <c r="D23" s="31">
        <f>+D20*D21*(1-D22)</f>
        <v>1911</v>
      </c>
      <c r="E23" s="31">
        <f t="shared" ref="E23:N23" si="16">+E20*E21*(1-E22)</f>
        <v>1911</v>
      </c>
      <c r="F23" s="31">
        <f t="shared" si="16"/>
        <v>1911</v>
      </c>
      <c r="G23" s="31">
        <f t="shared" si="16"/>
        <v>1911</v>
      </c>
      <c r="H23" s="31">
        <f t="shared" si="16"/>
        <v>1911</v>
      </c>
      <c r="I23" s="31">
        <f t="shared" si="16"/>
        <v>1911</v>
      </c>
      <c r="J23" s="31">
        <f t="shared" si="16"/>
        <v>1911</v>
      </c>
      <c r="K23" s="31">
        <f t="shared" si="16"/>
        <v>1911</v>
      </c>
      <c r="L23" s="31">
        <f t="shared" si="16"/>
        <v>1911</v>
      </c>
      <c r="M23" s="31">
        <f t="shared" si="16"/>
        <v>1911</v>
      </c>
      <c r="N23" s="31">
        <f t="shared" si="16"/>
        <v>1911</v>
      </c>
    </row>
    <row r="24" spans="1:15" x14ac:dyDescent="0.25">
      <c r="A24" s="12" t="s">
        <v>51</v>
      </c>
      <c r="B24" s="4" t="s">
        <v>27</v>
      </c>
      <c r="D24" s="31">
        <f>+D21*D20</f>
        <v>2912</v>
      </c>
      <c r="E24" s="31">
        <f t="shared" ref="E24:N24" si="17">+E21*E20</f>
        <v>2912</v>
      </c>
      <c r="F24" s="31">
        <f t="shared" si="17"/>
        <v>2912</v>
      </c>
      <c r="G24" s="31">
        <f t="shared" si="17"/>
        <v>2912</v>
      </c>
      <c r="H24" s="31">
        <f t="shared" si="17"/>
        <v>2912</v>
      </c>
      <c r="I24" s="31">
        <f t="shared" si="17"/>
        <v>2912</v>
      </c>
      <c r="J24" s="31">
        <f t="shared" si="17"/>
        <v>2912</v>
      </c>
      <c r="K24" s="31">
        <f t="shared" si="17"/>
        <v>2912</v>
      </c>
      <c r="L24" s="31">
        <f t="shared" si="17"/>
        <v>2912</v>
      </c>
      <c r="M24" s="31">
        <f t="shared" si="17"/>
        <v>2912</v>
      </c>
      <c r="N24" s="31">
        <f t="shared" si="17"/>
        <v>2912</v>
      </c>
      <c r="O24" s="1" t="s">
        <v>52</v>
      </c>
    </row>
    <row r="25" spans="1:15" x14ac:dyDescent="0.25">
      <c r="A25" s="12" t="s">
        <v>46</v>
      </c>
      <c r="B25" s="4" t="s">
        <v>35</v>
      </c>
      <c r="D25" s="31">
        <f>(C12+(D12-C12)/2)*D23+(C12+(D12-C12)/2)*$C$18*D24</f>
        <v>1809990</v>
      </c>
      <c r="E25" s="31">
        <f>(D12+(E12-D12)/2)*E23+(D12+(E12-D12)/2)*$C$18*E24</f>
        <v>20452887</v>
      </c>
      <c r="F25" s="31">
        <f t="shared" ref="F25:N25" si="18">(E12+(F12-E12)/2)*F23+(E12+(F12-E12)/2)*$C$18*F24</f>
        <v>57047264.820000008</v>
      </c>
      <c r="G25" s="31">
        <f t="shared" si="18"/>
        <v>117517365.52920002</v>
      </c>
      <c r="H25" s="31">
        <f t="shared" si="18"/>
        <v>242085772.99015203</v>
      </c>
      <c r="I25" s="31">
        <f t="shared" si="18"/>
        <v>414765713.09002286</v>
      </c>
      <c r="J25" s="31">
        <f t="shared" si="18"/>
        <v>511139663.75241387</v>
      </c>
      <c r="K25" s="31">
        <f t="shared" si="18"/>
        <v>526473853.66498637</v>
      </c>
      <c r="L25" s="31">
        <f t="shared" si="18"/>
        <v>542268069.27493596</v>
      </c>
      <c r="M25" s="31">
        <f t="shared" si="18"/>
        <v>558536111.35318387</v>
      </c>
      <c r="N25" s="31">
        <f t="shared" si="18"/>
        <v>575292194.69377947</v>
      </c>
    </row>
    <row r="26" spans="1:15" x14ac:dyDescent="0.25">
      <c r="A26" s="54" t="s">
        <v>42</v>
      </c>
      <c r="B26" s="4" t="s">
        <v>5</v>
      </c>
      <c r="D26" s="48">
        <v>1E-25</v>
      </c>
      <c r="E26" s="48">
        <v>0.04</v>
      </c>
      <c r="F26" s="48">
        <f>+E26*1.4</f>
        <v>5.5999999999999994E-2</v>
      </c>
      <c r="G26" s="48">
        <f t="shared" ref="G26:N26" si="19">+F26*1.4</f>
        <v>7.8399999999999984E-2</v>
      </c>
      <c r="H26" s="48">
        <f t="shared" si="19"/>
        <v>0.10975999999999997</v>
      </c>
      <c r="I26" s="48">
        <f t="shared" si="19"/>
        <v>0.15366399999999994</v>
      </c>
      <c r="J26" s="48">
        <f t="shared" si="19"/>
        <v>0.21512959999999989</v>
      </c>
      <c r="K26" s="48">
        <f t="shared" si="19"/>
        <v>0.30118143999999986</v>
      </c>
      <c r="L26" s="48">
        <f t="shared" si="19"/>
        <v>0.4216540159999998</v>
      </c>
      <c r="M26" s="48">
        <f t="shared" si="19"/>
        <v>0.59031562239999968</v>
      </c>
      <c r="N26" s="48">
        <f t="shared" si="19"/>
        <v>0.82644187135999947</v>
      </c>
    </row>
    <row r="27" spans="1:15" x14ac:dyDescent="0.25">
      <c r="A27" s="54" t="s">
        <v>43</v>
      </c>
      <c r="B27" s="4" t="s">
        <v>5</v>
      </c>
      <c r="D27" s="34">
        <f t="shared" ref="D27:N27" si="20">1-D26</f>
        <v>1</v>
      </c>
      <c r="E27" s="34">
        <f t="shared" si="20"/>
        <v>0.96</v>
      </c>
      <c r="F27" s="34">
        <f t="shared" si="20"/>
        <v>0.94399999999999995</v>
      </c>
      <c r="G27" s="34">
        <f t="shared" si="20"/>
        <v>0.92159999999999997</v>
      </c>
      <c r="H27" s="34">
        <f t="shared" si="20"/>
        <v>0.89024000000000003</v>
      </c>
      <c r="I27" s="34">
        <f t="shared" si="20"/>
        <v>0.84633600000000009</v>
      </c>
      <c r="J27" s="34">
        <f t="shared" si="20"/>
        <v>0.78487040000000008</v>
      </c>
      <c r="K27" s="34">
        <f t="shared" si="20"/>
        <v>0.69881856000000009</v>
      </c>
      <c r="L27" s="34">
        <f t="shared" si="20"/>
        <v>0.57834598400000026</v>
      </c>
      <c r="M27" s="34">
        <f t="shared" si="20"/>
        <v>0.40968437760000032</v>
      </c>
      <c r="N27" s="34">
        <f t="shared" si="20"/>
        <v>0.17355812864000053</v>
      </c>
    </row>
    <row r="28" spans="1:15" ht="13.5" thickBot="1" x14ac:dyDescent="0.3">
      <c r="A28" s="55" t="str">
        <f>CF!A2</f>
        <v>PERIOD</v>
      </c>
      <c r="B28" s="41"/>
      <c r="C28" s="56" t="str">
        <f>C$1</f>
        <v>@</v>
      </c>
      <c r="D28" s="44">
        <f>D$1</f>
        <v>0</v>
      </c>
      <c r="E28" s="44">
        <f t="shared" ref="E28:N28" si="21">E$1</f>
        <v>1</v>
      </c>
      <c r="F28" s="44">
        <f t="shared" si="21"/>
        <v>2</v>
      </c>
      <c r="G28" s="44">
        <f t="shared" si="21"/>
        <v>3</v>
      </c>
      <c r="H28" s="44">
        <f t="shared" si="21"/>
        <v>4</v>
      </c>
      <c r="I28" s="44">
        <f t="shared" si="21"/>
        <v>5</v>
      </c>
      <c r="J28" s="44">
        <f t="shared" si="21"/>
        <v>6</v>
      </c>
      <c r="K28" s="44">
        <f t="shared" si="21"/>
        <v>7</v>
      </c>
      <c r="L28" s="44">
        <f t="shared" si="21"/>
        <v>8</v>
      </c>
      <c r="M28" s="44">
        <f t="shared" si="21"/>
        <v>9</v>
      </c>
      <c r="N28" s="44">
        <f t="shared" si="21"/>
        <v>10</v>
      </c>
    </row>
    <row r="29" spans="1:15" ht="15" x14ac:dyDescent="0.4">
      <c r="A29" s="14" t="s">
        <v>138</v>
      </c>
      <c r="B29" s="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5" x14ac:dyDescent="0.25">
      <c r="A30" s="12" t="s">
        <v>32</v>
      </c>
      <c r="B30" s="4" t="s">
        <v>30</v>
      </c>
      <c r="D30" s="131">
        <f>+'Basic Calculations'!D10</f>
        <v>1.25</v>
      </c>
      <c r="E30" s="1">
        <f>+$D$30*E31</f>
        <v>1.1952754530887988</v>
      </c>
      <c r="F30" s="1">
        <f t="shared" ref="F30:N30" si="22">+$D$30*F31</f>
        <v>1.1191888790247493</v>
      </c>
      <c r="G30" s="1">
        <f t="shared" si="22"/>
        <v>1.0721409934391442</v>
      </c>
      <c r="H30" s="1">
        <f t="shared" si="22"/>
        <v>1.0474938018318427</v>
      </c>
      <c r="I30" s="1">
        <f t="shared" si="22"/>
        <v>1.025509251239634</v>
      </c>
      <c r="J30" s="1">
        <f t="shared" si="22"/>
        <v>1.0474938018318427</v>
      </c>
      <c r="K30" s="1">
        <f t="shared" si="22"/>
        <v>1.0162695147565119</v>
      </c>
      <c r="L30" s="1">
        <f t="shared" si="22"/>
        <v>1.0183569982461078</v>
      </c>
      <c r="M30" s="1">
        <f t="shared" si="22"/>
        <v>1.0261317746789946</v>
      </c>
      <c r="N30" s="1">
        <f t="shared" si="22"/>
        <v>1.0388000746195321</v>
      </c>
      <c r="O30" s="1" t="s">
        <v>31</v>
      </c>
    </row>
    <row r="31" spans="1:15" x14ac:dyDescent="0.25">
      <c r="A31" s="12" t="s">
        <v>233</v>
      </c>
      <c r="B31" s="4" t="s">
        <v>231</v>
      </c>
      <c r="D31" s="131">
        <v>1</v>
      </c>
      <c r="E31" s="131">
        <v>0.95622036247103903</v>
      </c>
      <c r="F31" s="131">
        <v>0.89535110321979949</v>
      </c>
      <c r="G31" s="131">
        <v>0.85771279475131534</v>
      </c>
      <c r="H31" s="131">
        <v>0.83799504146547421</v>
      </c>
      <c r="I31" s="131">
        <v>0.82040740099170717</v>
      </c>
      <c r="J31" s="131">
        <v>0.83799504146547421</v>
      </c>
      <c r="K31" s="131">
        <v>0.81301561180520965</v>
      </c>
      <c r="L31" s="131">
        <v>0.81468559859688627</v>
      </c>
      <c r="M31" s="131">
        <v>0.82090541974319564</v>
      </c>
      <c r="N31" s="131">
        <v>0.83104005969562567</v>
      </c>
      <c r="O31" s="1" t="s">
        <v>232</v>
      </c>
    </row>
    <row r="32" spans="1:15" x14ac:dyDescent="0.25">
      <c r="A32" s="12" t="s">
        <v>53</v>
      </c>
      <c r="B32" s="4" t="s">
        <v>33</v>
      </c>
      <c r="D32" s="131">
        <f>+'Basic Calculations'!D11</f>
        <v>0.82499999999999996</v>
      </c>
      <c r="E32" s="52">
        <f t="shared" ref="E32:N32" si="23">D32</f>
        <v>0.82499999999999996</v>
      </c>
      <c r="F32" s="52">
        <f t="shared" si="23"/>
        <v>0.82499999999999996</v>
      </c>
      <c r="G32" s="52">
        <f t="shared" si="23"/>
        <v>0.82499999999999996</v>
      </c>
      <c r="H32" s="52">
        <f t="shared" si="23"/>
        <v>0.82499999999999996</v>
      </c>
      <c r="I32" s="52">
        <f t="shared" si="23"/>
        <v>0.82499999999999996</v>
      </c>
      <c r="J32" s="52">
        <f t="shared" si="23"/>
        <v>0.82499999999999996</v>
      </c>
      <c r="K32" s="52">
        <f t="shared" si="23"/>
        <v>0.82499999999999996</v>
      </c>
      <c r="L32" s="52">
        <f t="shared" si="23"/>
        <v>0.82499999999999996</v>
      </c>
      <c r="M32" s="52">
        <f t="shared" si="23"/>
        <v>0.82499999999999996</v>
      </c>
      <c r="N32" s="52">
        <f t="shared" si="23"/>
        <v>0.82499999999999996</v>
      </c>
      <c r="O32" s="1" t="s">
        <v>139</v>
      </c>
    </row>
    <row r="33" spans="1:15" x14ac:dyDescent="0.25">
      <c r="A33" s="12" t="s">
        <v>54</v>
      </c>
      <c r="B33" s="4" t="s">
        <v>33</v>
      </c>
      <c r="D33" s="51">
        <f>+'Basic Calculations'!D19</f>
        <v>0.5</v>
      </c>
      <c r="E33" s="52">
        <f t="shared" ref="E33:N33" si="24">D33</f>
        <v>0.5</v>
      </c>
      <c r="F33" s="52">
        <f t="shared" si="24"/>
        <v>0.5</v>
      </c>
      <c r="G33" s="52">
        <f t="shared" si="24"/>
        <v>0.5</v>
      </c>
      <c r="H33" s="52">
        <f t="shared" si="24"/>
        <v>0.5</v>
      </c>
      <c r="I33" s="52">
        <f t="shared" si="24"/>
        <v>0.5</v>
      </c>
      <c r="J33" s="52">
        <f t="shared" si="24"/>
        <v>0.5</v>
      </c>
      <c r="K33" s="52">
        <f t="shared" si="24"/>
        <v>0.5</v>
      </c>
      <c r="L33" s="52">
        <f t="shared" si="24"/>
        <v>0.5</v>
      </c>
      <c r="M33" s="52">
        <f t="shared" si="24"/>
        <v>0.5</v>
      </c>
      <c r="N33" s="52">
        <f t="shared" si="24"/>
        <v>0.5</v>
      </c>
      <c r="O33" s="1" t="s">
        <v>140</v>
      </c>
    </row>
    <row r="34" spans="1:15" x14ac:dyDescent="0.25">
      <c r="A34" s="12" t="s">
        <v>41</v>
      </c>
      <c r="B34" s="4" t="s">
        <v>36</v>
      </c>
      <c r="D34" s="57">
        <f t="shared" ref="D34:N34" si="25">+D30*D32</f>
        <v>1.03125</v>
      </c>
      <c r="E34" s="57">
        <f t="shared" si="25"/>
        <v>0.98610224879825892</v>
      </c>
      <c r="F34" s="57">
        <f t="shared" si="25"/>
        <v>0.92333082519541809</v>
      </c>
      <c r="G34" s="57">
        <f t="shared" si="25"/>
        <v>0.88451631958729393</v>
      </c>
      <c r="H34" s="57">
        <f t="shared" si="25"/>
        <v>0.86418238651127022</v>
      </c>
      <c r="I34" s="57">
        <f t="shared" si="25"/>
        <v>0.84604513227269795</v>
      </c>
      <c r="J34" s="57">
        <f t="shared" si="25"/>
        <v>0.86418238651127022</v>
      </c>
      <c r="K34" s="57">
        <f t="shared" si="25"/>
        <v>0.83842234967412232</v>
      </c>
      <c r="L34" s="57">
        <f t="shared" si="25"/>
        <v>0.84014452355303892</v>
      </c>
      <c r="M34" s="57">
        <f t="shared" si="25"/>
        <v>0.84655871411017047</v>
      </c>
      <c r="N34" s="57">
        <f t="shared" si="25"/>
        <v>0.85701006156111392</v>
      </c>
    </row>
    <row r="35" spans="1:15" x14ac:dyDescent="0.25">
      <c r="A35" s="12" t="s">
        <v>40</v>
      </c>
      <c r="B35" s="4" t="s">
        <v>39</v>
      </c>
      <c r="D35" s="31">
        <f>D34*D23</f>
        <v>1970.71875</v>
      </c>
      <c r="E35" s="31">
        <f t="shared" ref="E35:N35" si="26">E34*E23</f>
        <v>1884.4413974534727</v>
      </c>
      <c r="F35" s="31">
        <f t="shared" si="26"/>
        <v>1764.4852069484439</v>
      </c>
      <c r="G35" s="31">
        <f t="shared" si="26"/>
        <v>1690.3106867313188</v>
      </c>
      <c r="H35" s="31">
        <f t="shared" si="26"/>
        <v>1651.4525406230373</v>
      </c>
      <c r="I35" s="31">
        <f t="shared" si="26"/>
        <v>1616.7922477731258</v>
      </c>
      <c r="J35" s="31">
        <f t="shared" si="26"/>
        <v>1651.4525406230373</v>
      </c>
      <c r="K35" s="31">
        <f t="shared" si="26"/>
        <v>1602.2251102272478</v>
      </c>
      <c r="L35" s="31">
        <f t="shared" si="26"/>
        <v>1605.5161845098573</v>
      </c>
      <c r="M35" s="31">
        <f t="shared" si="26"/>
        <v>1617.7737026645357</v>
      </c>
      <c r="N35" s="31">
        <f t="shared" si="26"/>
        <v>1637.7462276432886</v>
      </c>
      <c r="O35" s="1" t="s">
        <v>141</v>
      </c>
    </row>
    <row r="36" spans="1:15" x14ac:dyDescent="0.25">
      <c r="A36" s="12" t="s">
        <v>56</v>
      </c>
      <c r="B36" s="4" t="s">
        <v>36</v>
      </c>
      <c r="D36" s="57">
        <f t="shared" ref="D36:N36" si="27">+D33*D30</f>
        <v>0.625</v>
      </c>
      <c r="E36" s="57">
        <f t="shared" si="27"/>
        <v>0.59763772654439939</v>
      </c>
      <c r="F36" s="57">
        <f t="shared" si="27"/>
        <v>0.55959443951237464</v>
      </c>
      <c r="G36" s="57">
        <f t="shared" si="27"/>
        <v>0.53607049671957208</v>
      </c>
      <c r="H36" s="57">
        <f t="shared" si="27"/>
        <v>0.52374690091592135</v>
      </c>
      <c r="I36" s="57">
        <f t="shared" si="27"/>
        <v>0.51275462561981699</v>
      </c>
      <c r="J36" s="57">
        <f t="shared" si="27"/>
        <v>0.52374690091592135</v>
      </c>
      <c r="K36" s="57">
        <f t="shared" si="27"/>
        <v>0.50813475737825597</v>
      </c>
      <c r="L36" s="57">
        <f t="shared" si="27"/>
        <v>0.50917849912305391</v>
      </c>
      <c r="M36" s="57">
        <f t="shared" si="27"/>
        <v>0.51306588733949732</v>
      </c>
      <c r="N36" s="57">
        <f t="shared" si="27"/>
        <v>0.51940003730976603</v>
      </c>
    </row>
    <row r="37" spans="1:15" x14ac:dyDescent="0.25">
      <c r="A37" s="12" t="s">
        <v>57</v>
      </c>
      <c r="B37" s="4" t="s">
        <v>39</v>
      </c>
      <c r="D37" s="31">
        <f t="shared" ref="D37:N37" si="28">+D36*D24</f>
        <v>1820</v>
      </c>
      <c r="E37" s="31">
        <f t="shared" si="28"/>
        <v>1740.321059697291</v>
      </c>
      <c r="F37" s="31">
        <f t="shared" si="28"/>
        <v>1629.5390078600349</v>
      </c>
      <c r="G37" s="31">
        <f t="shared" si="28"/>
        <v>1561.0372864473939</v>
      </c>
      <c r="H37" s="31">
        <f t="shared" si="28"/>
        <v>1525.1509754671629</v>
      </c>
      <c r="I37" s="31">
        <f t="shared" si="28"/>
        <v>1493.141469804907</v>
      </c>
      <c r="J37" s="31">
        <f t="shared" si="28"/>
        <v>1525.1509754671629</v>
      </c>
      <c r="K37" s="31">
        <f t="shared" si="28"/>
        <v>1479.6884134854813</v>
      </c>
      <c r="L37" s="31">
        <f t="shared" si="28"/>
        <v>1482.727789446333</v>
      </c>
      <c r="M37" s="31">
        <f t="shared" si="28"/>
        <v>1494.0478639326161</v>
      </c>
      <c r="N37" s="31">
        <f t="shared" si="28"/>
        <v>1512.4929086460386</v>
      </c>
      <c r="O37" s="1" t="s">
        <v>141</v>
      </c>
    </row>
    <row r="38" spans="1:15" x14ac:dyDescent="0.25">
      <c r="A38" s="12" t="s">
        <v>143</v>
      </c>
      <c r="B38" s="4" t="s">
        <v>36</v>
      </c>
      <c r="D38" s="1">
        <f t="shared" ref="D38:N38" si="29">+D34+D36*$C$18</f>
        <v>1.21875</v>
      </c>
      <c r="E38" s="1">
        <f t="shared" si="29"/>
        <v>1.1653935667615787</v>
      </c>
      <c r="F38" s="1">
        <f t="shared" si="29"/>
        <v>1.0912091570491305</v>
      </c>
      <c r="G38" s="1">
        <f t="shared" si="29"/>
        <v>1.0453374686031656</v>
      </c>
      <c r="H38" s="1">
        <f t="shared" si="29"/>
        <v>1.0213064567860466</v>
      </c>
      <c r="I38" s="1">
        <f t="shared" si="29"/>
        <v>0.99987151995864298</v>
      </c>
      <c r="J38" s="1">
        <f t="shared" si="29"/>
        <v>1.0213064567860466</v>
      </c>
      <c r="K38" s="1">
        <f t="shared" si="29"/>
        <v>0.99086277688759905</v>
      </c>
      <c r="L38" s="1">
        <f t="shared" si="29"/>
        <v>0.99289807328995505</v>
      </c>
      <c r="M38" s="1">
        <f t="shared" si="29"/>
        <v>1.0004784803120197</v>
      </c>
      <c r="N38" s="1">
        <f t="shared" si="29"/>
        <v>1.0128300727540438</v>
      </c>
      <c r="O38" s="1" t="s">
        <v>142</v>
      </c>
    </row>
    <row r="39" spans="1:15" ht="15" x14ac:dyDescent="0.4">
      <c r="A39" s="14" t="s">
        <v>34</v>
      </c>
      <c r="B39" s="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5" x14ac:dyDescent="0.25">
      <c r="A40" s="12" t="s">
        <v>144</v>
      </c>
      <c r="B40" s="4" t="s">
        <v>5</v>
      </c>
      <c r="D40" s="58">
        <v>0.1</v>
      </c>
      <c r="E40" s="59">
        <f t="shared" ref="E40:N40" si="30">D40</f>
        <v>0.1</v>
      </c>
      <c r="F40" s="59">
        <f t="shared" si="30"/>
        <v>0.1</v>
      </c>
      <c r="G40" s="59">
        <f t="shared" si="30"/>
        <v>0.1</v>
      </c>
      <c r="H40" s="59">
        <f t="shared" si="30"/>
        <v>0.1</v>
      </c>
      <c r="I40" s="59">
        <f t="shared" si="30"/>
        <v>0.1</v>
      </c>
      <c r="J40" s="59">
        <f t="shared" si="30"/>
        <v>0.1</v>
      </c>
      <c r="K40" s="59">
        <f t="shared" si="30"/>
        <v>0.1</v>
      </c>
      <c r="L40" s="59">
        <f t="shared" si="30"/>
        <v>0.1</v>
      </c>
      <c r="M40" s="59">
        <f t="shared" si="30"/>
        <v>0.1</v>
      </c>
      <c r="N40" s="59">
        <f t="shared" si="30"/>
        <v>0.1</v>
      </c>
      <c r="O40" s="1" t="s">
        <v>55</v>
      </c>
    </row>
    <row r="41" spans="1:15" x14ac:dyDescent="0.25">
      <c r="A41" s="12" t="s">
        <v>44</v>
      </c>
      <c r="B41" s="4" t="s">
        <v>36</v>
      </c>
      <c r="D41" s="1">
        <f t="shared" ref="D41:N41" si="31">+D38*(1-D40)</f>
        <v>1.096875</v>
      </c>
      <c r="E41" s="1">
        <f t="shared" si="31"/>
        <v>1.0488542100854208</v>
      </c>
      <c r="F41" s="1">
        <f t="shared" si="31"/>
        <v>0.98208824134421746</v>
      </c>
      <c r="G41" s="1">
        <f t="shared" si="31"/>
        <v>0.94080372174284899</v>
      </c>
      <c r="H41" s="1">
        <f t="shared" si="31"/>
        <v>0.91917581110744195</v>
      </c>
      <c r="I41" s="1">
        <f t="shared" si="31"/>
        <v>0.89988436796277871</v>
      </c>
      <c r="J41" s="1">
        <f t="shared" si="31"/>
        <v>0.91917581110744195</v>
      </c>
      <c r="K41" s="1">
        <f t="shared" si="31"/>
        <v>0.89177649919883917</v>
      </c>
      <c r="L41" s="1">
        <f t="shared" si="31"/>
        <v>0.89360826596095955</v>
      </c>
      <c r="M41" s="1">
        <f t="shared" si="31"/>
        <v>0.90043063228081777</v>
      </c>
      <c r="N41" s="1">
        <f t="shared" si="31"/>
        <v>0.9115470654786394</v>
      </c>
    </row>
    <row r="42" spans="1:15" x14ac:dyDescent="0.25">
      <c r="A42" s="12" t="s">
        <v>145</v>
      </c>
      <c r="B42" s="4" t="s">
        <v>36</v>
      </c>
      <c r="D42" s="1">
        <f>+D38</f>
        <v>1.21875</v>
      </c>
      <c r="E42" s="1">
        <f t="shared" ref="E42:N42" si="32">+E38</f>
        <v>1.1653935667615787</v>
      </c>
      <c r="F42" s="1">
        <f t="shared" si="32"/>
        <v>1.0912091570491305</v>
      </c>
      <c r="G42" s="1">
        <f t="shared" si="32"/>
        <v>1.0453374686031656</v>
      </c>
      <c r="H42" s="1">
        <f t="shared" si="32"/>
        <v>1.0213064567860466</v>
      </c>
      <c r="I42" s="1">
        <f t="shared" si="32"/>
        <v>0.99987151995864298</v>
      </c>
      <c r="J42" s="1">
        <f t="shared" si="32"/>
        <v>1.0213064567860466</v>
      </c>
      <c r="K42" s="1">
        <f t="shared" si="32"/>
        <v>0.99086277688759905</v>
      </c>
      <c r="L42" s="1">
        <f t="shared" si="32"/>
        <v>0.99289807328995505</v>
      </c>
      <c r="M42" s="1">
        <f t="shared" si="32"/>
        <v>1.0004784803120197</v>
      </c>
      <c r="N42" s="1">
        <f t="shared" si="32"/>
        <v>1.0128300727540438</v>
      </c>
    </row>
    <row r="43" spans="1:15" ht="15" x14ac:dyDescent="0.4">
      <c r="A43" s="14" t="s">
        <v>84</v>
      </c>
      <c r="B43" s="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5" x14ac:dyDescent="0.25">
      <c r="A44" s="12" t="s">
        <v>148</v>
      </c>
      <c r="B44" s="4" t="s">
        <v>36</v>
      </c>
      <c r="D44" s="60">
        <v>1</v>
      </c>
      <c r="E44" s="1">
        <f t="shared" ref="E44:N44" si="33">D44</f>
        <v>1</v>
      </c>
      <c r="F44" s="1">
        <f t="shared" si="33"/>
        <v>1</v>
      </c>
      <c r="G44" s="1">
        <f t="shared" si="33"/>
        <v>1</v>
      </c>
      <c r="H44" s="1">
        <f t="shared" si="33"/>
        <v>1</v>
      </c>
      <c r="I44" s="1">
        <f t="shared" si="33"/>
        <v>1</v>
      </c>
      <c r="J44" s="1">
        <f t="shared" si="33"/>
        <v>1</v>
      </c>
      <c r="K44" s="1">
        <f t="shared" si="33"/>
        <v>1</v>
      </c>
      <c r="L44" s="1">
        <f t="shared" si="33"/>
        <v>1</v>
      </c>
      <c r="M44" s="1">
        <f t="shared" si="33"/>
        <v>1</v>
      </c>
      <c r="N44" s="1">
        <f t="shared" si="33"/>
        <v>1</v>
      </c>
      <c r="O44" s="1" t="s">
        <v>21</v>
      </c>
    </row>
    <row r="45" spans="1:15" x14ac:dyDescent="0.25">
      <c r="A45" s="12" t="s">
        <v>146</v>
      </c>
      <c r="B45" s="4" t="s">
        <v>5</v>
      </c>
      <c r="D45" s="58">
        <v>0.5</v>
      </c>
      <c r="E45" s="59">
        <f t="shared" ref="E45:N45" si="34">D45</f>
        <v>0.5</v>
      </c>
      <c r="F45" s="59">
        <f t="shared" si="34"/>
        <v>0.5</v>
      </c>
      <c r="G45" s="59">
        <f t="shared" si="34"/>
        <v>0.5</v>
      </c>
      <c r="H45" s="59">
        <f t="shared" si="34"/>
        <v>0.5</v>
      </c>
      <c r="I45" s="59">
        <f t="shared" si="34"/>
        <v>0.5</v>
      </c>
      <c r="J45" s="59">
        <f t="shared" si="34"/>
        <v>0.5</v>
      </c>
      <c r="K45" s="59">
        <f t="shared" si="34"/>
        <v>0.5</v>
      </c>
      <c r="L45" s="59">
        <f t="shared" si="34"/>
        <v>0.5</v>
      </c>
      <c r="M45" s="59">
        <f t="shared" si="34"/>
        <v>0.5</v>
      </c>
      <c r="N45" s="59">
        <f t="shared" si="34"/>
        <v>0.5</v>
      </c>
      <c r="O45" s="1" t="s">
        <v>21</v>
      </c>
    </row>
    <row r="46" spans="1:15" x14ac:dyDescent="0.25">
      <c r="A46" s="12" t="s">
        <v>147</v>
      </c>
      <c r="B46" s="4" t="s">
        <v>35</v>
      </c>
      <c r="D46" s="60">
        <v>2</v>
      </c>
      <c r="E46" s="1">
        <f>+D46</f>
        <v>2</v>
      </c>
      <c r="F46" s="1">
        <f t="shared" ref="F46:N46" si="35">+E46</f>
        <v>2</v>
      </c>
      <c r="G46" s="1">
        <f t="shared" si="35"/>
        <v>2</v>
      </c>
      <c r="H46" s="1">
        <f t="shared" si="35"/>
        <v>2</v>
      </c>
      <c r="I46" s="1">
        <f t="shared" si="35"/>
        <v>2</v>
      </c>
      <c r="J46" s="1">
        <f t="shared" si="35"/>
        <v>2</v>
      </c>
      <c r="K46" s="1">
        <f t="shared" si="35"/>
        <v>2</v>
      </c>
      <c r="L46" s="1">
        <f t="shared" si="35"/>
        <v>2</v>
      </c>
      <c r="M46" s="1">
        <f t="shared" si="35"/>
        <v>2</v>
      </c>
      <c r="N46" s="1">
        <f t="shared" si="35"/>
        <v>2</v>
      </c>
      <c r="O46" s="1" t="s">
        <v>21</v>
      </c>
    </row>
    <row r="47" spans="1:15" x14ac:dyDescent="0.25">
      <c r="A47" s="12" t="s">
        <v>153</v>
      </c>
      <c r="B47" s="4" t="s">
        <v>45</v>
      </c>
      <c r="D47" s="31">
        <f t="shared" ref="D47:N47" si="36">D46*D45*D44*D20*D12</f>
        <v>354900</v>
      </c>
      <c r="E47" s="31">
        <f t="shared" si="36"/>
        <v>3655470.0000000005</v>
      </c>
      <c r="F47" s="31">
        <f t="shared" si="36"/>
        <v>7530268.2000000002</v>
      </c>
      <c r="G47" s="31">
        <f t="shared" si="36"/>
        <v>15512352.492000002</v>
      </c>
      <c r="H47" s="31">
        <f t="shared" si="36"/>
        <v>31955446.133520007</v>
      </c>
      <c r="I47" s="31">
        <f t="shared" si="36"/>
        <v>49371164.276288405</v>
      </c>
      <c r="J47" s="31">
        <f t="shared" si="36"/>
        <v>50852299.204577059</v>
      </c>
      <c r="K47" s="31">
        <f t="shared" si="36"/>
        <v>52377868.180714376</v>
      </c>
      <c r="L47" s="31">
        <f t="shared" si="36"/>
        <v>53949204.226135798</v>
      </c>
      <c r="M47" s="31">
        <f t="shared" si="36"/>
        <v>55567680.352919877</v>
      </c>
      <c r="N47" s="31">
        <f t="shared" si="36"/>
        <v>57234710.763507478</v>
      </c>
    </row>
    <row r="48" spans="1:15" x14ac:dyDescent="0.25">
      <c r="A48" s="12" t="s">
        <v>149</v>
      </c>
      <c r="B48" s="4" t="s">
        <v>150</v>
      </c>
      <c r="D48" s="60">
        <v>1</v>
      </c>
      <c r="E48" s="1">
        <f>+D48</f>
        <v>1</v>
      </c>
      <c r="F48" s="1">
        <f t="shared" ref="F48:N48" si="37">+E48</f>
        <v>1</v>
      </c>
      <c r="G48" s="1">
        <f t="shared" si="37"/>
        <v>1</v>
      </c>
      <c r="H48" s="1">
        <f t="shared" si="37"/>
        <v>1</v>
      </c>
      <c r="I48" s="1">
        <f t="shared" si="37"/>
        <v>1</v>
      </c>
      <c r="J48" s="1">
        <f t="shared" si="37"/>
        <v>1</v>
      </c>
      <c r="K48" s="1">
        <f t="shared" si="37"/>
        <v>1</v>
      </c>
      <c r="L48" s="1">
        <f t="shared" si="37"/>
        <v>1</v>
      </c>
      <c r="M48" s="1">
        <f t="shared" si="37"/>
        <v>1</v>
      </c>
      <c r="N48" s="1">
        <f t="shared" si="37"/>
        <v>1</v>
      </c>
      <c r="O48" s="1" t="s">
        <v>21</v>
      </c>
    </row>
    <row r="49" spans="1:15" x14ac:dyDescent="0.25">
      <c r="A49" s="12" t="s">
        <v>151</v>
      </c>
      <c r="B49" s="4" t="s">
        <v>5</v>
      </c>
      <c r="D49" s="58">
        <v>0.4</v>
      </c>
      <c r="E49" s="59">
        <f t="shared" ref="E49:N49" si="38">D49</f>
        <v>0.4</v>
      </c>
      <c r="F49" s="59">
        <f t="shared" si="38"/>
        <v>0.4</v>
      </c>
      <c r="G49" s="59">
        <f t="shared" si="38"/>
        <v>0.4</v>
      </c>
      <c r="H49" s="59">
        <f t="shared" si="38"/>
        <v>0.4</v>
      </c>
      <c r="I49" s="59">
        <f t="shared" si="38"/>
        <v>0.4</v>
      </c>
      <c r="J49" s="59">
        <f t="shared" si="38"/>
        <v>0.4</v>
      </c>
      <c r="K49" s="59">
        <f t="shared" si="38"/>
        <v>0.4</v>
      </c>
      <c r="L49" s="59">
        <f t="shared" si="38"/>
        <v>0.4</v>
      </c>
      <c r="M49" s="59">
        <f t="shared" si="38"/>
        <v>0.4</v>
      </c>
      <c r="N49" s="59">
        <f t="shared" si="38"/>
        <v>0.4</v>
      </c>
      <c r="O49" s="1" t="s">
        <v>21</v>
      </c>
    </row>
    <row r="50" spans="1:15" x14ac:dyDescent="0.25">
      <c r="A50" s="12" t="s">
        <v>154</v>
      </c>
      <c r="B50" s="4" t="s">
        <v>45</v>
      </c>
      <c r="D50" s="31">
        <f>+D48*D49*D12*D20</f>
        <v>141960</v>
      </c>
      <c r="E50" s="31">
        <f t="shared" ref="E50:N50" si="39">+E48*E49*E12*E20</f>
        <v>1462188.0000000002</v>
      </c>
      <c r="F50" s="31">
        <f t="shared" si="39"/>
        <v>3012107.2800000003</v>
      </c>
      <c r="G50" s="31">
        <f t="shared" si="39"/>
        <v>6204940.9968000008</v>
      </c>
      <c r="H50" s="31">
        <f t="shared" si="39"/>
        <v>12782178.453408003</v>
      </c>
      <c r="I50" s="31">
        <f t="shared" si="39"/>
        <v>19748465.710515361</v>
      </c>
      <c r="J50" s="31">
        <f t="shared" si="39"/>
        <v>20340919.681830823</v>
      </c>
      <c r="K50" s="31">
        <f t="shared" si="39"/>
        <v>20951147.272285748</v>
      </c>
      <c r="L50" s="31">
        <f t="shared" si="39"/>
        <v>21579681.690454319</v>
      </c>
      <c r="M50" s="31">
        <f t="shared" si="39"/>
        <v>22227072.141167954</v>
      </c>
      <c r="N50" s="31">
        <f t="shared" si="39"/>
        <v>22893884.30540299</v>
      </c>
    </row>
    <row r="51" spans="1:15" x14ac:dyDescent="0.25">
      <c r="A51" s="12" t="s">
        <v>152</v>
      </c>
      <c r="B51" s="4" t="s">
        <v>155</v>
      </c>
      <c r="D51" s="60">
        <v>0.15</v>
      </c>
      <c r="E51" s="1">
        <f>+D51</f>
        <v>0.15</v>
      </c>
      <c r="F51" s="1">
        <f t="shared" ref="F51:N51" si="40">+E51</f>
        <v>0.15</v>
      </c>
      <c r="G51" s="1">
        <f t="shared" si="40"/>
        <v>0.15</v>
      </c>
      <c r="H51" s="1">
        <f t="shared" si="40"/>
        <v>0.15</v>
      </c>
      <c r="I51" s="1">
        <f t="shared" si="40"/>
        <v>0.15</v>
      </c>
      <c r="J51" s="1">
        <f t="shared" si="40"/>
        <v>0.15</v>
      </c>
      <c r="K51" s="1">
        <f t="shared" si="40"/>
        <v>0.15</v>
      </c>
      <c r="L51" s="1">
        <f t="shared" si="40"/>
        <v>0.15</v>
      </c>
      <c r="M51" s="1">
        <f t="shared" si="40"/>
        <v>0.15</v>
      </c>
      <c r="N51" s="1">
        <f t="shared" si="40"/>
        <v>0.15</v>
      </c>
      <c r="O51" s="1" t="s">
        <v>21</v>
      </c>
    </row>
    <row r="52" spans="1:15" x14ac:dyDescent="0.25">
      <c r="A52" s="12" t="s">
        <v>156</v>
      </c>
      <c r="B52" s="4" t="s">
        <v>155</v>
      </c>
      <c r="D52" s="61">
        <v>0.4</v>
      </c>
      <c r="E52" s="62">
        <f>+D52</f>
        <v>0.4</v>
      </c>
      <c r="F52" s="62">
        <f t="shared" ref="F52:N52" si="41">+E52</f>
        <v>0.4</v>
      </c>
      <c r="G52" s="62">
        <f t="shared" si="41"/>
        <v>0.4</v>
      </c>
      <c r="H52" s="62">
        <f t="shared" si="41"/>
        <v>0.4</v>
      </c>
      <c r="I52" s="62">
        <f t="shared" si="41"/>
        <v>0.4</v>
      </c>
      <c r="J52" s="62">
        <f t="shared" si="41"/>
        <v>0.4</v>
      </c>
      <c r="K52" s="62">
        <f t="shared" si="41"/>
        <v>0.4</v>
      </c>
      <c r="L52" s="62">
        <f t="shared" si="41"/>
        <v>0.4</v>
      </c>
      <c r="M52" s="62">
        <f t="shared" si="41"/>
        <v>0.4</v>
      </c>
      <c r="N52" s="62">
        <f t="shared" si="41"/>
        <v>0.4</v>
      </c>
      <c r="O52" s="1" t="s">
        <v>21</v>
      </c>
    </row>
    <row r="53" spans="1:15" x14ac:dyDescent="0.25">
      <c r="A53" s="12" t="s">
        <v>147</v>
      </c>
      <c r="B53" s="4" t="s">
        <v>158</v>
      </c>
      <c r="D53" s="60">
        <v>5</v>
      </c>
      <c r="E53" s="57">
        <f>+D53</f>
        <v>5</v>
      </c>
      <c r="F53" s="57">
        <f t="shared" ref="F53:N53" si="42">+E53</f>
        <v>5</v>
      </c>
      <c r="G53" s="57">
        <f t="shared" si="42"/>
        <v>5</v>
      </c>
      <c r="H53" s="57">
        <f t="shared" si="42"/>
        <v>5</v>
      </c>
      <c r="I53" s="57">
        <f t="shared" si="42"/>
        <v>5</v>
      </c>
      <c r="J53" s="57">
        <f t="shared" si="42"/>
        <v>5</v>
      </c>
      <c r="K53" s="57">
        <f t="shared" si="42"/>
        <v>5</v>
      </c>
      <c r="L53" s="57">
        <f t="shared" si="42"/>
        <v>5</v>
      </c>
      <c r="M53" s="57">
        <f t="shared" si="42"/>
        <v>5</v>
      </c>
      <c r="N53" s="57">
        <f t="shared" si="42"/>
        <v>5</v>
      </c>
      <c r="O53" s="1" t="s">
        <v>21</v>
      </c>
    </row>
    <row r="54" spans="1:15" x14ac:dyDescent="0.25">
      <c r="A54" s="12" t="s">
        <v>157</v>
      </c>
      <c r="B54" s="4" t="s">
        <v>45</v>
      </c>
      <c r="D54" s="31">
        <f>+D51*D53*D52*D12*D20</f>
        <v>106470.00000000001</v>
      </c>
      <c r="E54" s="31">
        <f t="shared" ref="E54:N54" si="43">+E51*E53*E52*E12*E20</f>
        <v>1096641.0000000005</v>
      </c>
      <c r="F54" s="31">
        <f t="shared" si="43"/>
        <v>2259080.4600000004</v>
      </c>
      <c r="G54" s="31">
        <f t="shared" si="43"/>
        <v>4653705.7476000022</v>
      </c>
      <c r="H54" s="31">
        <f t="shared" si="43"/>
        <v>9586633.840056004</v>
      </c>
      <c r="I54" s="31">
        <f t="shared" si="43"/>
        <v>14811349.282886524</v>
      </c>
      <c r="J54" s="31">
        <f t="shared" si="43"/>
        <v>15255689.761373119</v>
      </c>
      <c r="K54" s="31">
        <f t="shared" si="43"/>
        <v>15713360.454214316</v>
      </c>
      <c r="L54" s="31">
        <f t="shared" si="43"/>
        <v>16184761.267840741</v>
      </c>
      <c r="M54" s="31">
        <f t="shared" si="43"/>
        <v>16670304.105875965</v>
      </c>
      <c r="N54" s="31">
        <f t="shared" si="43"/>
        <v>17170413.229052246</v>
      </c>
    </row>
    <row r="55" spans="1:15" x14ac:dyDescent="0.25">
      <c r="A55" s="12" t="s">
        <v>159</v>
      </c>
      <c r="B55" s="4" t="s">
        <v>36</v>
      </c>
      <c r="D55" s="60">
        <v>1</v>
      </c>
      <c r="E55" s="57">
        <f>+D55</f>
        <v>1</v>
      </c>
      <c r="F55" s="57">
        <f t="shared" ref="F55:N55" si="44">+E55</f>
        <v>1</v>
      </c>
      <c r="G55" s="57">
        <f t="shared" si="44"/>
        <v>1</v>
      </c>
      <c r="H55" s="57">
        <f t="shared" si="44"/>
        <v>1</v>
      </c>
      <c r="I55" s="57">
        <f t="shared" si="44"/>
        <v>1</v>
      </c>
      <c r="J55" s="57">
        <f t="shared" si="44"/>
        <v>1</v>
      </c>
      <c r="K55" s="57">
        <f t="shared" si="44"/>
        <v>1</v>
      </c>
      <c r="L55" s="57">
        <f t="shared" si="44"/>
        <v>1</v>
      </c>
      <c r="M55" s="57">
        <f t="shared" si="44"/>
        <v>1</v>
      </c>
      <c r="N55" s="57">
        <f t="shared" si="44"/>
        <v>1</v>
      </c>
      <c r="O55" s="1" t="s">
        <v>21</v>
      </c>
    </row>
    <row r="56" spans="1:15" x14ac:dyDescent="0.25">
      <c r="A56" s="12" t="s">
        <v>160</v>
      </c>
      <c r="B56" s="4" t="s">
        <v>104</v>
      </c>
      <c r="D56" s="61">
        <v>0.25</v>
      </c>
      <c r="E56" s="62">
        <f>+D56</f>
        <v>0.25</v>
      </c>
      <c r="F56" s="62">
        <f t="shared" ref="F56:N56" si="45">+E56</f>
        <v>0.25</v>
      </c>
      <c r="G56" s="62">
        <f t="shared" si="45"/>
        <v>0.25</v>
      </c>
      <c r="H56" s="62">
        <f t="shared" si="45"/>
        <v>0.25</v>
      </c>
      <c r="I56" s="62">
        <f t="shared" si="45"/>
        <v>0.25</v>
      </c>
      <c r="J56" s="62">
        <f t="shared" si="45"/>
        <v>0.25</v>
      </c>
      <c r="K56" s="62">
        <f t="shared" si="45"/>
        <v>0.25</v>
      </c>
      <c r="L56" s="62">
        <f t="shared" si="45"/>
        <v>0.25</v>
      </c>
      <c r="M56" s="62">
        <f t="shared" si="45"/>
        <v>0.25</v>
      </c>
      <c r="N56" s="62">
        <f t="shared" si="45"/>
        <v>0.25</v>
      </c>
      <c r="O56" s="1" t="s">
        <v>21</v>
      </c>
    </row>
    <row r="57" spans="1:15" x14ac:dyDescent="0.25">
      <c r="A57" s="12" t="s">
        <v>147</v>
      </c>
      <c r="B57" s="4" t="s">
        <v>35</v>
      </c>
      <c r="D57" s="60">
        <v>1</v>
      </c>
      <c r="E57" s="1">
        <f>+D57</f>
        <v>1</v>
      </c>
      <c r="F57" s="1">
        <f t="shared" ref="F57:N57" si="46">+E57</f>
        <v>1</v>
      </c>
      <c r="G57" s="1">
        <f t="shared" si="46"/>
        <v>1</v>
      </c>
      <c r="H57" s="1">
        <f t="shared" si="46"/>
        <v>1</v>
      </c>
      <c r="I57" s="1">
        <f t="shared" si="46"/>
        <v>1</v>
      </c>
      <c r="J57" s="1">
        <f t="shared" si="46"/>
        <v>1</v>
      </c>
      <c r="K57" s="1">
        <f t="shared" si="46"/>
        <v>1</v>
      </c>
      <c r="L57" s="1">
        <f t="shared" si="46"/>
        <v>1</v>
      </c>
      <c r="M57" s="1">
        <f t="shared" si="46"/>
        <v>1</v>
      </c>
      <c r="N57" s="1">
        <f t="shared" si="46"/>
        <v>1</v>
      </c>
      <c r="O57" s="1" t="s">
        <v>21</v>
      </c>
    </row>
    <row r="58" spans="1:15" x14ac:dyDescent="0.25">
      <c r="A58" s="12" t="s">
        <v>161</v>
      </c>
      <c r="B58" s="4" t="s">
        <v>45</v>
      </c>
      <c r="D58" s="31">
        <f>+D55*D56*D57*D20*D12</f>
        <v>88725</v>
      </c>
      <c r="E58" s="31">
        <f t="shared" ref="E58:N58" si="47">+E55*E56*E57*E20*E12</f>
        <v>913867.50000000012</v>
      </c>
      <c r="F58" s="31">
        <f t="shared" si="47"/>
        <v>1882567.05</v>
      </c>
      <c r="G58" s="31">
        <f t="shared" si="47"/>
        <v>3878088.1230000006</v>
      </c>
      <c r="H58" s="31">
        <f t="shared" si="47"/>
        <v>7988861.5333800018</v>
      </c>
      <c r="I58" s="31">
        <f t="shared" si="47"/>
        <v>12342791.069072101</v>
      </c>
      <c r="J58" s="31">
        <f t="shared" si="47"/>
        <v>12713074.801144265</v>
      </c>
      <c r="K58" s="31">
        <f t="shared" si="47"/>
        <v>13094467.045178594</v>
      </c>
      <c r="L58" s="31">
        <f t="shared" si="47"/>
        <v>13487301.056533949</v>
      </c>
      <c r="M58" s="31">
        <f t="shared" si="47"/>
        <v>13891920.088229969</v>
      </c>
      <c r="N58" s="31">
        <f t="shared" si="47"/>
        <v>14308677.690876869</v>
      </c>
    </row>
    <row r="59" spans="1:15" ht="15" x14ac:dyDescent="0.4">
      <c r="A59" s="14" t="s">
        <v>37</v>
      </c>
      <c r="B59" s="4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5" x14ac:dyDescent="0.25">
      <c r="A60" s="39" t="s">
        <v>48</v>
      </c>
      <c r="B60" s="4" t="s">
        <v>45</v>
      </c>
      <c r="D60" s="31">
        <f t="shared" ref="D60:N60" si="48">+D26*D25*D41</f>
        <v>1.9853327812500001E-19</v>
      </c>
      <c r="E60" s="31">
        <f t="shared" si="48"/>
        <v>858083.86553405481</v>
      </c>
      <c r="F60" s="31">
        <f t="shared" si="48"/>
        <v>3137425.0869120122</v>
      </c>
      <c r="G60" s="31">
        <f t="shared" si="48"/>
        <v>8667964.748968035</v>
      </c>
      <c r="H60" s="31">
        <f t="shared" si="48"/>
        <v>24423727.889218457</v>
      </c>
      <c r="I60" s="31">
        <f t="shared" si="48"/>
        <v>57353732.925793774</v>
      </c>
      <c r="J60" s="31">
        <f t="shared" si="48"/>
        <v>101073740.83611058</v>
      </c>
      <c r="K60" s="31">
        <f t="shared" si="48"/>
        <v>141403785.58998606</v>
      </c>
      <c r="L60" s="31">
        <f t="shared" si="48"/>
        <v>204323091.39181128</v>
      </c>
      <c r="M60" s="31">
        <f t="shared" si="48"/>
        <v>296883317.87129337</v>
      </c>
      <c r="N60" s="31">
        <f t="shared" si="48"/>
        <v>433391003.15468544</v>
      </c>
    </row>
    <row r="61" spans="1:15" x14ac:dyDescent="0.25">
      <c r="A61" s="39" t="s">
        <v>49</v>
      </c>
      <c r="B61" s="4" t="s">
        <v>45</v>
      </c>
      <c r="D61" s="6">
        <f t="shared" ref="D61:N61" si="49">+D27*D25*D38</f>
        <v>2205925.3125</v>
      </c>
      <c r="E61" s="6">
        <f t="shared" si="49"/>
        <v>22882236.414241463</v>
      </c>
      <c r="F61" s="6">
        <f t="shared" si="49"/>
        <v>58764469.881844044</v>
      </c>
      <c r="G61" s="6">
        <f t="shared" si="49"/>
        <v>113214233.45590904</v>
      </c>
      <c r="H61" s="6">
        <f t="shared" si="49"/>
        <v>220106287.61841846</v>
      </c>
      <c r="I61" s="6">
        <f t="shared" si="49"/>
        <v>350986054.05650294</v>
      </c>
      <c r="J61" s="6">
        <f t="shared" si="49"/>
        <v>409726082.42522174</v>
      </c>
      <c r="K61" s="6">
        <f t="shared" si="49"/>
        <v>364548027.27899712</v>
      </c>
      <c r="L61" s="6">
        <f t="shared" si="49"/>
        <v>311391264.08773524</v>
      </c>
      <c r="M61" s="6">
        <f t="shared" si="49"/>
        <v>228933006.69569242</v>
      </c>
      <c r="N61" s="6">
        <f t="shared" si="49"/>
        <v>101127676.34577258</v>
      </c>
    </row>
    <row r="62" spans="1:15" ht="15" x14ac:dyDescent="0.4">
      <c r="A62" s="39" t="s">
        <v>38</v>
      </c>
      <c r="B62" s="4" t="s">
        <v>45</v>
      </c>
      <c r="D62" s="63">
        <f>+D58+D54+D50+D47</f>
        <v>692055</v>
      </c>
      <c r="E62" s="63">
        <f t="shared" ref="E62:N62" si="50">+E58+E54+E50+E47</f>
        <v>7128166.5000000019</v>
      </c>
      <c r="F62" s="63">
        <f t="shared" si="50"/>
        <v>14684022.990000002</v>
      </c>
      <c r="G62" s="63">
        <f t="shared" si="50"/>
        <v>30249087.359400008</v>
      </c>
      <c r="H62" s="63">
        <f t="shared" si="50"/>
        <v>62313119.960364014</v>
      </c>
      <c r="I62" s="63">
        <f t="shared" si="50"/>
        <v>96273770.338762388</v>
      </c>
      <c r="J62" s="63">
        <f t="shared" si="50"/>
        <v>99161983.448925257</v>
      </c>
      <c r="K62" s="63">
        <f t="shared" si="50"/>
        <v>102136842.95239303</v>
      </c>
      <c r="L62" s="63">
        <f t="shared" si="50"/>
        <v>105200948.2409648</v>
      </c>
      <c r="M62" s="63">
        <f t="shared" si="50"/>
        <v>108356976.68819377</v>
      </c>
      <c r="N62" s="63">
        <f t="shared" si="50"/>
        <v>111607685.9888396</v>
      </c>
    </row>
    <row r="63" spans="1:15" x14ac:dyDescent="0.25">
      <c r="A63" s="64" t="s">
        <v>47</v>
      </c>
      <c r="B63" s="65" t="s">
        <v>45</v>
      </c>
      <c r="C63" s="66"/>
      <c r="D63" s="67">
        <f t="shared" ref="D63:N63" si="51">SUM(D60:D62)</f>
        <v>2897980.3125</v>
      </c>
      <c r="E63" s="67">
        <f t="shared" si="51"/>
        <v>30868486.779775523</v>
      </c>
      <c r="F63" s="67">
        <f t="shared" si="51"/>
        <v>76585917.958756059</v>
      </c>
      <c r="G63" s="67">
        <f t="shared" si="51"/>
        <v>152131285.56427708</v>
      </c>
      <c r="H63" s="67">
        <f t="shared" si="51"/>
        <v>306843135.46800089</v>
      </c>
      <c r="I63" s="67">
        <f t="shared" si="51"/>
        <v>504613557.32105911</v>
      </c>
      <c r="J63" s="67">
        <f t="shared" si="51"/>
        <v>609961806.71025753</v>
      </c>
      <c r="K63" s="67">
        <f t="shared" si="51"/>
        <v>608088655.8213762</v>
      </c>
      <c r="L63" s="67">
        <f t="shared" si="51"/>
        <v>620915303.72051132</v>
      </c>
      <c r="M63" s="67">
        <f t="shared" si="51"/>
        <v>634173301.25517952</v>
      </c>
      <c r="N63" s="67">
        <f t="shared" si="51"/>
        <v>646126365.48929763</v>
      </c>
    </row>
    <row r="64" spans="1:15" x14ac:dyDescent="0.25">
      <c r="A64" s="12"/>
      <c r="B64" s="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6" spans="4:4" x14ac:dyDescent="0.25">
      <c r="D66" s="1"/>
    </row>
    <row r="104" spans="1:2" x14ac:dyDescent="0.25">
      <c r="A104" s="40"/>
      <c r="B104" s="40"/>
    </row>
  </sheetData>
  <phoneticPr fontId="0" type="noConversion"/>
  <printOptions horizontalCentered="1"/>
  <pageMargins left="0.25" right="0.25" top="1.25" bottom="0.5" header="0.5" footer="0.5"/>
  <pageSetup orientation="landscape" r:id="rId1"/>
  <headerFooter alignWithMargins="0">
    <oddHeader>&amp;C&amp;"Tw Cen MT Condensed,Bold"XTRANSCO ECONOMIC ANALYSIS
Revenues</oddHeader>
    <oddFooter>&amp;C&amp;"Tw Cen MT Condensed,Regular"&amp;P</oddFooter>
  </headerFooter>
  <rowBreaks count="1" manualBreakCount="1">
    <brk id="27" max="13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9" zoomScaleNormal="100" workbookViewId="0">
      <selection activeCell="D53" sqref="D53"/>
    </sheetView>
  </sheetViews>
  <sheetFormatPr defaultRowHeight="12.75" x14ac:dyDescent="0.25"/>
  <cols>
    <col min="1" max="1" width="47.140625" style="1" bestFit="1" customWidth="1"/>
    <col min="2" max="2" width="9" style="2" bestFit="1" customWidth="1"/>
    <col min="3" max="3" width="5.85546875" style="2" bestFit="1" customWidth="1"/>
    <col min="4" max="4" width="9.5703125" style="2" bestFit="1" customWidth="1"/>
    <col min="5" max="7" width="9.140625" style="2" bestFit="1"/>
    <col min="8" max="9" width="10.28515625" style="2" bestFit="1" customWidth="1"/>
    <col min="10" max="13" width="10.28515625" style="2" customWidth="1"/>
    <col min="14" max="14" width="10.28515625" style="2" bestFit="1" customWidth="1"/>
    <col min="15" max="15" width="28" style="2" bestFit="1" customWidth="1"/>
    <col min="16" max="16" width="1.7109375" style="2" bestFit="1" customWidth="1"/>
    <col min="17" max="17" width="8.85546875" style="2" bestFit="1" customWidth="1"/>
    <col min="18" max="16384" width="9.140625" style="2"/>
  </cols>
  <sheetData>
    <row r="1" spans="1:15" ht="13.5" thickBot="1" x14ac:dyDescent="0.3">
      <c r="A1" s="41" t="str">
        <f>Revenue!A$1</f>
        <v>PERIOD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ht="15" x14ac:dyDescent="0.4">
      <c r="A2" s="14" t="s">
        <v>59</v>
      </c>
      <c r="B2" s="14"/>
      <c r="O2" s="1"/>
    </row>
    <row r="3" spans="1:15" ht="15" x14ac:dyDescent="0.4">
      <c r="A3" s="74" t="s">
        <v>162</v>
      </c>
      <c r="B3" s="14"/>
      <c r="O3" s="1"/>
    </row>
    <row r="4" spans="1:15" x14ac:dyDescent="0.25">
      <c r="A4" s="54" t="s">
        <v>163</v>
      </c>
      <c r="B4" s="4" t="s">
        <v>45</v>
      </c>
      <c r="C4" s="15">
        <v>0.15</v>
      </c>
      <c r="D4" s="6">
        <f>(Revenue!D38*Revenue!D23)*($C4)*(Revenue!C12+(Revenue!D12-Revenue!C12)/2)</f>
        <v>227080.546875</v>
      </c>
      <c r="E4" s="6">
        <f>(Revenue!E38*Revenue!E23)*($C4)*(Revenue!D12+(Revenue!E12-Revenue!D12)/2)</f>
        <v>2453671.1841251575</v>
      </c>
      <c r="F4" s="6">
        <f>(Revenue!F38*Revenue!F23)*($C4)*(Revenue!E12+(Revenue!F12-Revenue!E12)/2)</f>
        <v>6408139.4749019844</v>
      </c>
      <c r="G4" s="6">
        <f>(Revenue!G38*Revenue!G23)*($C4)*(Revenue!F12+(Revenue!G12-Revenue!F12)/2)</f>
        <v>12645840.261683058</v>
      </c>
      <c r="H4" s="6">
        <f>(Revenue!H38*Revenue!H23)*($C4)*(Revenue!G12+(Revenue!H12-Revenue!G12)/2)</f>
        <v>25451563.843473289</v>
      </c>
      <c r="I4" s="6">
        <f>(Revenue!I38*Revenue!I23)*($C4)*(Revenue!H12+(Revenue!I12-Revenue!H12)/2)</f>
        <v>42690984.820858248</v>
      </c>
      <c r="J4" s="6">
        <f>(Revenue!J38*Revenue!J23)*($C4)*(Revenue!I12+(Revenue!J12-Revenue!I12)/2)</f>
        <v>53738406.94659593</v>
      </c>
      <c r="K4" s="6">
        <f>(Revenue!K38*Revenue!K23)*($C4)*(Revenue!J12+(Revenue!K12-Revenue!J12)/2)</f>
        <v>53700638.414829798</v>
      </c>
      <c r="L4" s="6">
        <f>(Revenue!L38*Revenue!L23)*($C4)*(Revenue!K12+(Revenue!L12-Revenue!K12)/2)</f>
        <v>55425271.298944615</v>
      </c>
      <c r="M4" s="6">
        <f>(Revenue!M38*Revenue!M23)*($C4)*(Revenue!L12+(Revenue!M12-Revenue!L12)/2)</f>
        <v>57523875.282384247</v>
      </c>
      <c r="N4" s="6">
        <f>(Revenue!N38*Revenue!N23)*($C4)*(Revenue!M12+(Revenue!N12-Revenue!M12)/2)</f>
        <v>59981068.35067264</v>
      </c>
      <c r="O4" s="1" t="s">
        <v>13</v>
      </c>
    </row>
    <row r="5" spans="1:15" x14ac:dyDescent="0.25">
      <c r="A5" s="71" t="s">
        <v>172</v>
      </c>
      <c r="B5" s="4" t="s">
        <v>77</v>
      </c>
      <c r="C5" s="4"/>
      <c r="D5" s="6">
        <f>+D4/(Revenue!C12+(Revenue!D12-Revenue!C12)/2)</f>
        <v>349.35468750000001</v>
      </c>
      <c r="E5" s="6">
        <f>+E4/(Revenue!D12+(Revenue!E12-Revenue!D12)/2)</f>
        <v>334.06006591220654</v>
      </c>
      <c r="F5" s="6">
        <f>+F4/(Revenue!E12+(Revenue!F12-Revenue!E12)/2)</f>
        <v>312.79510486813319</v>
      </c>
      <c r="G5" s="6">
        <f>+G4/(Revenue!F12+(Revenue!G12-Revenue!F12)/2)</f>
        <v>299.64598537509738</v>
      </c>
      <c r="H5" s="6">
        <f>+H4/(Revenue!G12+(Revenue!H12-Revenue!G12)/2)</f>
        <v>292.75749583772023</v>
      </c>
      <c r="I5" s="6">
        <f>+I4/(Revenue!H12+(Revenue!I12-Revenue!H12)/2)</f>
        <v>286.613171196145</v>
      </c>
      <c r="J5" s="6">
        <f>+J4/(Revenue!I12+(Revenue!J12-Revenue!I12)/2)</f>
        <v>292.75749583772023</v>
      </c>
      <c r="K5" s="6">
        <f>+K4/(Revenue!J12+(Revenue!K12-Revenue!J12)/2)</f>
        <v>284.03081499483022</v>
      </c>
      <c r="L5" s="6">
        <f>+L4/(Revenue!K12+(Revenue!L12-Revenue!K12)/2)</f>
        <v>284.61423270856557</v>
      </c>
      <c r="M5" s="6">
        <f>+M4/(Revenue!L12+(Revenue!M12-Revenue!L12)/2)</f>
        <v>286.78715638144041</v>
      </c>
      <c r="N5" s="6">
        <f>+N4/(Revenue!M12+(Revenue!N12-Revenue!M12)/2)</f>
        <v>290.32774035494663</v>
      </c>
      <c r="O5" s="1"/>
    </row>
    <row r="6" spans="1:15" x14ac:dyDescent="0.25">
      <c r="A6" s="69" t="s">
        <v>164</v>
      </c>
      <c r="B6" s="4" t="s">
        <v>125</v>
      </c>
      <c r="C6" s="28">
        <f>+'Basic Calculations'!D25</f>
        <v>7</v>
      </c>
      <c r="D6" s="6">
        <f>+C6</f>
        <v>7</v>
      </c>
      <c r="E6" s="6">
        <f t="shared" ref="E6:N6" si="0">+D6</f>
        <v>7</v>
      </c>
      <c r="F6" s="6">
        <f t="shared" si="0"/>
        <v>7</v>
      </c>
      <c r="G6" s="6">
        <f t="shared" si="0"/>
        <v>7</v>
      </c>
      <c r="H6" s="6">
        <f t="shared" si="0"/>
        <v>7</v>
      </c>
      <c r="I6" s="6">
        <f t="shared" si="0"/>
        <v>7</v>
      </c>
      <c r="J6" s="6">
        <f t="shared" si="0"/>
        <v>7</v>
      </c>
      <c r="K6" s="6">
        <f t="shared" si="0"/>
        <v>7</v>
      </c>
      <c r="L6" s="6">
        <f t="shared" si="0"/>
        <v>7</v>
      </c>
      <c r="M6" s="6">
        <f t="shared" si="0"/>
        <v>7</v>
      </c>
      <c r="N6" s="6">
        <f t="shared" si="0"/>
        <v>7</v>
      </c>
      <c r="O6" s="1" t="s">
        <v>182</v>
      </c>
    </row>
    <row r="7" spans="1:15" x14ac:dyDescent="0.25">
      <c r="A7" s="69" t="s">
        <v>166</v>
      </c>
      <c r="B7" s="4" t="s">
        <v>167</v>
      </c>
      <c r="C7" s="4"/>
      <c r="D7" s="6">
        <f>(Revenue!C12+(Revenue!D12-Revenue!C12)/2)*Revenue!D23*D6</f>
        <v>8695050</v>
      </c>
      <c r="E7" s="6">
        <f>(Revenue!D12+(Revenue!E12-Revenue!D12)/2)*Revenue!E23*E6</f>
        <v>98254065.000000015</v>
      </c>
      <c r="F7" s="6">
        <f>(Revenue!E12+(Revenue!F12-Revenue!E12)/2)*Revenue!F23*F6</f>
        <v>274050585.90000004</v>
      </c>
      <c r="G7" s="6">
        <f>(Revenue!F12+(Revenue!G12-Revenue!F12)/2)*Revenue!G23*G6</f>
        <v>564544206.954</v>
      </c>
      <c r="H7" s="6">
        <f>(Revenue!G12+(Revenue!H12-Revenue!G12)/2)*Revenue!H23*H6</f>
        <v>1162961066.3252401</v>
      </c>
      <c r="I7" s="6">
        <f>(Revenue!H12+(Revenue!I12-Revenue!H12)/2)*Revenue!I23*I6</f>
        <v>1992501955.0403056</v>
      </c>
      <c r="J7" s="6">
        <f>(Revenue!I12+(Revenue!J12-Revenue!I12)/2)*Revenue!J23*J6</f>
        <v>2455474855.2812037</v>
      </c>
      <c r="K7" s="6">
        <f>(Revenue!J12+(Revenue!K12-Revenue!J12)/2)*Revenue!K23*K6</f>
        <v>2529139100.93964</v>
      </c>
      <c r="L7" s="6">
        <f>(Revenue!K12+(Revenue!L12-Revenue!K12)/2)*Revenue!L23*L6</f>
        <v>2605013273.9678297</v>
      </c>
      <c r="M7" s="6">
        <f>(Revenue!L12+(Revenue!M12-Revenue!L12)/2)*Revenue!M23*M6</f>
        <v>2683163672.1868639</v>
      </c>
      <c r="N7" s="6">
        <f>(Revenue!M12+(Revenue!N12-Revenue!M12)/2)*Revenue!N23*N6</f>
        <v>2763658582.3524704</v>
      </c>
      <c r="O7" s="1"/>
    </row>
    <row r="8" spans="1:15" x14ac:dyDescent="0.25">
      <c r="A8" s="69" t="s">
        <v>165</v>
      </c>
      <c r="B8" s="4" t="s">
        <v>127</v>
      </c>
      <c r="C8" s="70">
        <f>+'Basic Calculations'!D26</f>
        <v>8.7499999999999994E-2</v>
      </c>
      <c r="D8" s="12">
        <f>+C8</f>
        <v>8.7499999999999994E-2</v>
      </c>
      <c r="E8" s="12">
        <f t="shared" ref="E8:N8" si="1">+D8</f>
        <v>8.7499999999999994E-2</v>
      </c>
      <c r="F8" s="12">
        <f t="shared" si="1"/>
        <v>8.7499999999999994E-2</v>
      </c>
      <c r="G8" s="12">
        <f t="shared" si="1"/>
        <v>8.7499999999999994E-2</v>
      </c>
      <c r="H8" s="12">
        <f t="shared" si="1"/>
        <v>8.7499999999999994E-2</v>
      </c>
      <c r="I8" s="12">
        <f t="shared" si="1"/>
        <v>8.7499999999999994E-2</v>
      </c>
      <c r="J8" s="12">
        <f t="shared" si="1"/>
        <v>8.7499999999999994E-2</v>
      </c>
      <c r="K8" s="12">
        <f t="shared" si="1"/>
        <v>8.7499999999999994E-2</v>
      </c>
      <c r="L8" s="12">
        <f t="shared" si="1"/>
        <v>8.7499999999999994E-2</v>
      </c>
      <c r="M8" s="12">
        <f t="shared" si="1"/>
        <v>8.7499999999999994E-2</v>
      </c>
      <c r="N8" s="12">
        <f t="shared" si="1"/>
        <v>8.7499999999999994E-2</v>
      </c>
      <c r="O8" s="1" t="s">
        <v>182</v>
      </c>
    </row>
    <row r="9" spans="1:15" x14ac:dyDescent="0.25">
      <c r="A9" s="54" t="s">
        <v>168</v>
      </c>
      <c r="B9" s="4" t="s">
        <v>45</v>
      </c>
      <c r="C9" s="15">
        <v>1</v>
      </c>
      <c r="D9" s="6">
        <f>+D7*D8*$C$9</f>
        <v>760816.875</v>
      </c>
      <c r="E9" s="6">
        <f t="shared" ref="E9:N9" si="2">+E8*E7</f>
        <v>8597230.6875</v>
      </c>
      <c r="F9" s="6">
        <f t="shared" si="2"/>
        <v>23979426.266250003</v>
      </c>
      <c r="G9" s="6">
        <f t="shared" si="2"/>
        <v>49397618.108475</v>
      </c>
      <c r="H9" s="6">
        <f t="shared" si="2"/>
        <v>101759093.30345851</v>
      </c>
      <c r="I9" s="6">
        <f t="shared" si="2"/>
        <v>174343921.06602672</v>
      </c>
      <c r="J9" s="6">
        <f t="shared" si="2"/>
        <v>214854049.8371053</v>
      </c>
      <c r="K9" s="6">
        <f t="shared" si="2"/>
        <v>221299671.3322185</v>
      </c>
      <c r="L9" s="6">
        <f t="shared" si="2"/>
        <v>227938661.47218508</v>
      </c>
      <c r="M9" s="6">
        <f t="shared" si="2"/>
        <v>234776821.31635058</v>
      </c>
      <c r="N9" s="6">
        <f t="shared" si="2"/>
        <v>241820125.95584115</v>
      </c>
      <c r="O9" s="1" t="s">
        <v>13</v>
      </c>
    </row>
    <row r="10" spans="1:15" x14ac:dyDescent="0.25">
      <c r="A10" s="71" t="s">
        <v>171</v>
      </c>
      <c r="B10" s="4" t="s">
        <v>77</v>
      </c>
      <c r="C10" s="4"/>
      <c r="D10" s="6">
        <f>+D9/(Revenue!C12+(Revenue!D12-Revenue!C12)/2)</f>
        <v>1170.4875</v>
      </c>
      <c r="E10" s="6">
        <f>+E9/(Revenue!D12+(Revenue!E12-Revenue!D12)/2)</f>
        <v>1170.4875</v>
      </c>
      <c r="F10" s="6">
        <f>+F9/(Revenue!E12+(Revenue!F12-Revenue!E12)/2)</f>
        <v>1170.4875000000002</v>
      </c>
      <c r="G10" s="6">
        <f>+G9/(Revenue!F12+(Revenue!G12-Revenue!F12)/2)</f>
        <v>1170.4874999999997</v>
      </c>
      <c r="H10" s="6">
        <f>+H9/(Revenue!G12+(Revenue!H12-Revenue!G12)/2)</f>
        <v>1170.4875</v>
      </c>
      <c r="I10" s="6">
        <f>+I9/(Revenue!H12+(Revenue!I12-Revenue!H12)/2)</f>
        <v>1170.4874999999997</v>
      </c>
      <c r="J10" s="6">
        <f>+J9/(Revenue!I12+(Revenue!J12-Revenue!I12)/2)</f>
        <v>1170.4874999999997</v>
      </c>
      <c r="K10" s="6">
        <f>+K9/(Revenue!J12+(Revenue!K12-Revenue!J12)/2)</f>
        <v>1170.4875</v>
      </c>
      <c r="L10" s="6">
        <f>+L9/(Revenue!K12+(Revenue!L12-Revenue!K12)/2)</f>
        <v>1170.4875</v>
      </c>
      <c r="M10" s="6">
        <f>+M9/(Revenue!L12+(Revenue!M12-Revenue!L12)/2)</f>
        <v>1170.4875</v>
      </c>
      <c r="N10" s="6">
        <f>+N9/(Revenue!M12+(Revenue!N12-Revenue!M12)/2)</f>
        <v>1170.4875</v>
      </c>
      <c r="O10" s="1"/>
    </row>
    <row r="11" spans="1:15" x14ac:dyDescent="0.25">
      <c r="A11" s="71" t="s">
        <v>169</v>
      </c>
      <c r="B11" s="4" t="s">
        <v>45</v>
      </c>
      <c r="C11" s="4"/>
      <c r="D11" s="6">
        <f>+D9+D4</f>
        <v>987897.421875</v>
      </c>
      <c r="E11" s="6">
        <f t="shared" ref="E11:N11" si="3">+E9+E4</f>
        <v>11050901.871625157</v>
      </c>
      <c r="F11" s="6">
        <f t="shared" si="3"/>
        <v>30387565.741151989</v>
      </c>
      <c r="G11" s="6">
        <f t="shared" si="3"/>
        <v>62043458.370158061</v>
      </c>
      <c r="H11" s="6">
        <f t="shared" si="3"/>
        <v>127210657.1469318</v>
      </c>
      <c r="I11" s="6">
        <f t="shared" si="3"/>
        <v>217034905.88688496</v>
      </c>
      <c r="J11" s="6">
        <f t="shared" si="3"/>
        <v>268592456.78370124</v>
      </c>
      <c r="K11" s="6">
        <f t="shared" si="3"/>
        <v>275000309.74704832</v>
      </c>
      <c r="L11" s="6">
        <f t="shared" si="3"/>
        <v>283363932.77112967</v>
      </c>
      <c r="M11" s="6">
        <f t="shared" si="3"/>
        <v>292300696.59873486</v>
      </c>
      <c r="N11" s="6">
        <f t="shared" si="3"/>
        <v>301801194.30651379</v>
      </c>
      <c r="O11" s="1"/>
    </row>
    <row r="12" spans="1:15" x14ac:dyDescent="0.25">
      <c r="A12" s="71" t="s">
        <v>170</v>
      </c>
      <c r="B12" s="4" t="s">
        <v>77</v>
      </c>
      <c r="C12" s="4"/>
      <c r="D12" s="6">
        <f>+D11/(Revenue!C12+(Revenue!D12-Revenue!C12)/2)</f>
        <v>1519.8421874999999</v>
      </c>
      <c r="E12" s="6">
        <f>+E11/(Revenue!D12+(Revenue!E12-Revenue!D12)/2)</f>
        <v>1504.5475659122064</v>
      </c>
      <c r="F12" s="6">
        <f>+F11/(Revenue!E12+(Revenue!F12-Revenue!E12)/2)</f>
        <v>1483.2826048681334</v>
      </c>
      <c r="G12" s="6">
        <f>+G11/(Revenue!F12+(Revenue!G12-Revenue!F12)/2)</f>
        <v>1470.1334853750973</v>
      </c>
      <c r="H12" s="6">
        <f>+H11/(Revenue!G12+(Revenue!H12-Revenue!G12)/2)</f>
        <v>1463.2449958377201</v>
      </c>
      <c r="I12" s="6">
        <f>+I11/(Revenue!H12+(Revenue!I12-Revenue!H12)/2)</f>
        <v>1457.1006711961447</v>
      </c>
      <c r="J12" s="6">
        <f>+J11/(Revenue!I12+(Revenue!J12-Revenue!I12)/2)</f>
        <v>1463.2449958377201</v>
      </c>
      <c r="K12" s="6">
        <f>+K11/(Revenue!J12+(Revenue!K12-Revenue!J12)/2)</f>
        <v>1454.5183149948302</v>
      </c>
      <c r="L12" s="6">
        <f>+L11/(Revenue!K12+(Revenue!L12-Revenue!K12)/2)</f>
        <v>1455.1017327085654</v>
      </c>
      <c r="M12" s="6">
        <f>+M11/(Revenue!L12+(Revenue!M12-Revenue!L12)/2)</f>
        <v>1457.2746563814405</v>
      </c>
      <c r="N12" s="6">
        <f>+N11/(Revenue!M12+(Revenue!N12-Revenue!M12)/2)</f>
        <v>1460.8152403549466</v>
      </c>
      <c r="O12" s="1"/>
    </row>
    <row r="13" spans="1:15" x14ac:dyDescent="0.25">
      <c r="A13" s="74" t="s">
        <v>173</v>
      </c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"/>
    </row>
    <row r="14" spans="1:15" x14ac:dyDescent="0.25">
      <c r="A14" s="40" t="s">
        <v>178</v>
      </c>
      <c r="B14" s="4" t="s">
        <v>45</v>
      </c>
      <c r="C14" s="15">
        <v>0.15</v>
      </c>
      <c r="D14" s="6">
        <f>(Revenue!D63)*($C14)</f>
        <v>434697.046875</v>
      </c>
      <c r="E14" s="6">
        <f>(Revenue!E$61+Revenue!E$60)*($C14)</f>
        <v>3561048.0419663279</v>
      </c>
      <c r="F14" s="6">
        <f>(Revenue!F$61+Revenue!F$60)*($C14)</f>
        <v>9285284.2453134079</v>
      </c>
      <c r="G14" s="6">
        <f>(Revenue!G$61+Revenue!G$60)*($C14)</f>
        <v>18282329.730731562</v>
      </c>
      <c r="H14" s="6">
        <f>(Revenue!H$61+Revenue!H$60)*($C14)</f>
        <v>36679502.326145537</v>
      </c>
      <c r="I14" s="6">
        <f>(Revenue!I$61+Revenue!I$60)*($C14)</f>
        <v>61250968.047344506</v>
      </c>
      <c r="J14" s="6">
        <f>(Revenue!J$61+Revenue!J$60)*($C14)</f>
        <v>76619973.489199847</v>
      </c>
      <c r="K14" s="6">
        <f>(Revenue!K$61+Revenue!K$60)*($C14)</f>
        <v>75892771.930347472</v>
      </c>
      <c r="L14" s="6">
        <f>(Revenue!L$61+Revenue!L$60)*($C14)</f>
        <v>77357153.321931973</v>
      </c>
      <c r="M14" s="6">
        <f>(Revenue!M$61+Revenue!M$60)*($C14)</f>
        <v>78872448.685047865</v>
      </c>
      <c r="N14" s="6">
        <f>(Revenue!N$61+Revenue!N$60)*($C14)</f>
        <v>80177801.925068691</v>
      </c>
      <c r="O14" s="1" t="s">
        <v>13</v>
      </c>
    </row>
    <row r="15" spans="1:15" x14ac:dyDescent="0.25">
      <c r="A15" s="73" t="s">
        <v>174</v>
      </c>
      <c r="B15" s="4" t="s">
        <v>175</v>
      </c>
      <c r="C15" s="6"/>
      <c r="D15" s="6">
        <f t="shared" ref="D15:N15" si="4">+D14/D47</f>
        <v>685.79001413938499</v>
      </c>
      <c r="E15" s="6">
        <f t="shared" si="4"/>
        <v>545.43760292869194</v>
      </c>
      <c r="F15" s="6">
        <f t="shared" si="4"/>
        <v>690.39116530920364</v>
      </c>
      <c r="G15" s="6">
        <f t="shared" si="4"/>
        <v>659.87904796135615</v>
      </c>
      <c r="H15" s="6">
        <f t="shared" si="4"/>
        <v>642.67146270187436</v>
      </c>
      <c r="I15" s="6">
        <f t="shared" si="4"/>
        <v>694.62443185459665</v>
      </c>
      <c r="J15" s="6">
        <f t="shared" si="4"/>
        <v>843.61029362875388</v>
      </c>
      <c r="K15" s="6">
        <f t="shared" si="4"/>
        <v>811.26560487616109</v>
      </c>
      <c r="L15" s="6">
        <f t="shared" si="4"/>
        <v>802.83427109644697</v>
      </c>
      <c r="M15" s="6">
        <f t="shared" si="4"/>
        <v>794.71886612184801</v>
      </c>
      <c r="N15" s="6">
        <f t="shared" si="4"/>
        <v>784.34136561096705</v>
      </c>
      <c r="O15" s="1"/>
    </row>
    <row r="16" spans="1:15" x14ac:dyDescent="0.25">
      <c r="A16" s="40" t="s">
        <v>176</v>
      </c>
      <c r="B16" s="4" t="s">
        <v>45</v>
      </c>
      <c r="C16" s="15">
        <v>0.02</v>
      </c>
      <c r="D16" s="6">
        <f>(Revenue!D63)*($C16)</f>
        <v>57959.606250000004</v>
      </c>
      <c r="E16" s="6">
        <f>(Revenue!E63)*($C16)</f>
        <v>617369.73559551046</v>
      </c>
      <c r="F16" s="6">
        <f>(Revenue!F63)*($C16)</f>
        <v>1531718.3591751212</v>
      </c>
      <c r="G16" s="6">
        <f>(Revenue!G63)*($C16)</f>
        <v>3042625.7112855418</v>
      </c>
      <c r="H16" s="6">
        <f>(Revenue!H63)*($C16)</f>
        <v>6136862.7093600174</v>
      </c>
      <c r="I16" s="6">
        <f>(Revenue!I63)*($C16)</f>
        <v>10092271.146421183</v>
      </c>
      <c r="J16" s="6">
        <f>(Revenue!J63)*($C16)</f>
        <v>12199236.134205151</v>
      </c>
      <c r="K16" s="6">
        <f>(Revenue!K63)*($C16)</f>
        <v>12161773.116427524</v>
      </c>
      <c r="L16" s="6">
        <f>(Revenue!L63)*($C16)</f>
        <v>12418306.074410226</v>
      </c>
      <c r="M16" s="6">
        <f>(Revenue!M63)*($C16)</f>
        <v>12683466.025103591</v>
      </c>
      <c r="N16" s="6">
        <f>(Revenue!N63)*($C16)</f>
        <v>12922527.309785953</v>
      </c>
      <c r="O16" s="1" t="s">
        <v>13</v>
      </c>
    </row>
    <row r="17" spans="1:15" x14ac:dyDescent="0.25">
      <c r="A17" s="73" t="s">
        <v>177</v>
      </c>
      <c r="B17" s="4" t="s">
        <v>179</v>
      </c>
      <c r="C17" s="6"/>
      <c r="D17" s="6">
        <f>+D16/(Revenue!C12+(Revenue!D12-Revenue!C12)/2)</f>
        <v>89.168625000000006</v>
      </c>
      <c r="E17" s="6">
        <f>+E16/(Revenue!D12+(Revenue!E12-Revenue!D12)/2)</f>
        <v>84.053061347244437</v>
      </c>
      <c r="F17" s="6">
        <f>+F16/(Revenue!E12+(Revenue!F12-Revenue!E12)/2)</f>
        <v>74.766475770871892</v>
      </c>
      <c r="G17" s="6">
        <f>+G16/(Revenue!F12+(Revenue!G12-Revenue!F12)/2)</f>
        <v>72.095690007112395</v>
      </c>
      <c r="H17" s="6">
        <f>+H16/(Revenue!G12+(Revenue!H12-Revenue!G12)/2)</f>
        <v>70.589476157192706</v>
      </c>
      <c r="I17" s="6">
        <f>+I16/(Revenue!H12+(Revenue!I12-Revenue!H12)/2)</f>
        <v>67.756174986009086</v>
      </c>
      <c r="J17" s="6">
        <f>+J16/(Revenue!I12+(Revenue!J12-Revenue!I12)/2)</f>
        <v>66.459316989655633</v>
      </c>
      <c r="K17" s="6">
        <f>+K16/(Revenue!J12+(Revenue!K12-Revenue!J12)/2)</f>
        <v>64.32546114921405</v>
      </c>
      <c r="L17" s="6">
        <f>+L16/(Revenue!K12+(Revenue!L12-Revenue!K12)/2)</f>
        <v>63.769226060165209</v>
      </c>
      <c r="M17" s="6">
        <f>+M16/(Revenue!L12+(Revenue!M12-Revenue!L12)/2)</f>
        <v>63.233833543790851</v>
      </c>
      <c r="N17" s="6">
        <f>+N16/(Revenue!M12+(Revenue!N12-Revenue!M12)/2)</f>
        <v>62.549205219069258</v>
      </c>
      <c r="O17" s="1"/>
    </row>
    <row r="18" spans="1:15" x14ac:dyDescent="0.25">
      <c r="A18" s="40" t="s">
        <v>60</v>
      </c>
      <c r="B18" s="4" t="s">
        <v>45</v>
      </c>
      <c r="C18" s="15">
        <v>0.01</v>
      </c>
      <c r="D18" s="6">
        <f>(Revenue!D$61+Revenue!D$60)*($C18)</f>
        <v>22059.253124999999</v>
      </c>
      <c r="E18" s="6">
        <f>(Revenue!E$61+Revenue!E$60)*($C18)</f>
        <v>237403.20279775519</v>
      </c>
      <c r="F18" s="6">
        <f>(Revenue!F$61+Revenue!F$60)*($C18)</f>
        <v>619018.94968756055</v>
      </c>
      <c r="G18" s="6">
        <f>(Revenue!G$61+Revenue!G$60)*($C18)</f>
        <v>1218821.9820487709</v>
      </c>
      <c r="H18" s="6">
        <f>(Revenue!H$61+Revenue!H$60)*($C18)</f>
        <v>2445300.1550763692</v>
      </c>
      <c r="I18" s="6">
        <f>(Revenue!I$61+Revenue!I$60)*($C18)</f>
        <v>4083397.8698229673</v>
      </c>
      <c r="J18" s="6">
        <f>(Revenue!J$61+Revenue!J$60)*($C18)</f>
        <v>5107998.2326133233</v>
      </c>
      <c r="K18" s="6">
        <f>(Revenue!K$61+Revenue!K$60)*($C18)</f>
        <v>5059518.1286898321</v>
      </c>
      <c r="L18" s="6">
        <f>(Revenue!L$61+Revenue!L$60)*($C18)</f>
        <v>5157143.5547954654</v>
      </c>
      <c r="M18" s="6">
        <f>(Revenue!M$61+Revenue!M$60)*($C18)</f>
        <v>5258163.2456698576</v>
      </c>
      <c r="N18" s="6">
        <f>(Revenue!N$61+Revenue!N$60)*($C18)</f>
        <v>5345186.7950045802</v>
      </c>
      <c r="O18" s="1"/>
    </row>
    <row r="19" spans="1:15" x14ac:dyDescent="0.25">
      <c r="A19" s="73" t="s">
        <v>180</v>
      </c>
      <c r="B19" s="4" t="s">
        <v>181</v>
      </c>
      <c r="C19" s="16"/>
      <c r="D19" s="6">
        <f>+D18/Revenue!D16</f>
        <v>22059.253124999999</v>
      </c>
      <c r="E19" s="6">
        <f>+E18/Revenue!E16</f>
        <v>47480.640559551037</v>
      </c>
      <c r="F19" s="6">
        <f>+F18/Revenue!F16</f>
        <v>61901.894968756053</v>
      </c>
      <c r="G19" s="6">
        <f>+G18/Revenue!G16</f>
        <v>55400.999184035041</v>
      </c>
      <c r="H19" s="6">
        <f>+H18/Revenue!H16</f>
        <v>47025.002982237871</v>
      </c>
      <c r="I19" s="6">
        <f>+I18/Revenue!I16</f>
        <v>44872.50406398865</v>
      </c>
      <c r="J19" s="6">
        <f>+J18/Revenue!J16</f>
        <v>53208.314923055448</v>
      </c>
      <c r="K19" s="6">
        <f>+K18/Revenue!K16</f>
        <v>49603.118908723845</v>
      </c>
      <c r="L19" s="6">
        <f>+L18/Revenue!L16</f>
        <v>47313.243621976748</v>
      </c>
      <c r="M19" s="6">
        <f>+M18/Revenue!M16</f>
        <v>44560.705471778456</v>
      </c>
      <c r="N19" s="6">
        <f>+N18/Revenue!N16</f>
        <v>41116.821500035236</v>
      </c>
      <c r="O19" s="1" t="s">
        <v>13</v>
      </c>
    </row>
    <row r="20" spans="1:15" x14ac:dyDescent="0.25">
      <c r="A20" s="75" t="s">
        <v>61</v>
      </c>
      <c r="B20" s="4" t="s">
        <v>45</v>
      </c>
      <c r="C20" s="16"/>
      <c r="D20" s="6">
        <f>SUM(D4,D14,D16,D18)</f>
        <v>741796.453125</v>
      </c>
      <c r="E20" s="6">
        <f t="shared" ref="E20:N20" si="5">SUM(E4,E14,E16,E18)</f>
        <v>6869492.1644847514</v>
      </c>
      <c r="F20" s="6">
        <f t="shared" si="5"/>
        <v>17844161.02907807</v>
      </c>
      <c r="G20" s="6">
        <f t="shared" si="5"/>
        <v>35189617.685748935</v>
      </c>
      <c r="H20" s="6">
        <f t="shared" si="5"/>
        <v>70713229.034055218</v>
      </c>
      <c r="I20" s="6">
        <f t="shared" si="5"/>
        <v>118117621.88444689</v>
      </c>
      <c r="J20" s="6">
        <f t="shared" si="5"/>
        <v>147665614.80261427</v>
      </c>
      <c r="K20" s="6">
        <f t="shared" si="5"/>
        <v>146814701.5902946</v>
      </c>
      <c r="L20" s="6">
        <f t="shared" si="5"/>
        <v>150357874.25008228</v>
      </c>
      <c r="M20" s="6">
        <f t="shared" si="5"/>
        <v>154337953.23820558</v>
      </c>
      <c r="N20" s="6">
        <f t="shared" si="5"/>
        <v>158426584.38053188</v>
      </c>
      <c r="O20" s="1"/>
    </row>
    <row r="21" spans="1:15" x14ac:dyDescent="0.25">
      <c r="A21" s="75" t="s">
        <v>61</v>
      </c>
      <c r="B21" s="76" t="s">
        <v>104</v>
      </c>
      <c r="D21" s="59">
        <f>+D20/Revenue!D63</f>
        <v>0.25597014925373135</v>
      </c>
      <c r="E21" s="59">
        <f>+E20/Revenue!E63</f>
        <v>0.22254061928897401</v>
      </c>
      <c r="F21" s="59">
        <f>+F20/Revenue!F63</f>
        <v>0.23299532740062887</v>
      </c>
      <c r="G21" s="59">
        <f>+G20/Revenue!G63</f>
        <v>0.23131085466888365</v>
      </c>
      <c r="H21" s="59">
        <f>+H20/Revenue!H63</f>
        <v>0.23045400356179563</v>
      </c>
      <c r="I21" s="59">
        <f>+I20/Revenue!I63</f>
        <v>0.23407540318877096</v>
      </c>
      <c r="J21" s="59">
        <f>+J20/Revenue!J63</f>
        <v>0.24208993608801149</v>
      </c>
      <c r="K21" s="59">
        <f>+K20/Revenue!K63</f>
        <v>0.2414363435081428</v>
      </c>
      <c r="L21" s="59">
        <f>+L20/Revenue!L63</f>
        <v>0.24215520756074313</v>
      </c>
      <c r="M21" s="59">
        <f>+M20/Revenue!M63</f>
        <v>0.24336873364541542</v>
      </c>
      <c r="N21" s="59">
        <f>+N20/Revenue!N63</f>
        <v>0.24519442765744257</v>
      </c>
    </row>
    <row r="22" spans="1:15" ht="15" x14ac:dyDescent="0.4">
      <c r="A22" s="14" t="s">
        <v>62</v>
      </c>
      <c r="B22" s="1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"/>
    </row>
    <row r="23" spans="1:15" x14ac:dyDescent="0.25">
      <c r="A23" s="7" t="s">
        <v>82</v>
      </c>
      <c r="B23" s="4" t="s">
        <v>63</v>
      </c>
      <c r="C23" s="9"/>
      <c r="D23" s="17">
        <v>0.1</v>
      </c>
      <c r="E23" s="18">
        <f>+$D$23*Revenue!E31</f>
        <v>9.5622036247103914E-2</v>
      </c>
      <c r="F23" s="18">
        <f>+$D$23*Revenue!F31</f>
        <v>8.9535110321979958E-2</v>
      </c>
      <c r="G23" s="18">
        <f>+$D$23*Revenue!G31</f>
        <v>8.5771279475131537E-2</v>
      </c>
      <c r="H23" s="18">
        <f>+$D$23*Revenue!H31</f>
        <v>8.3799504146547424E-2</v>
      </c>
      <c r="I23" s="18">
        <f>+$D$23*Revenue!I31</f>
        <v>8.2040740099170728E-2</v>
      </c>
      <c r="J23" s="18">
        <f>+$D$23*Revenue!J31</f>
        <v>8.3799504146547424E-2</v>
      </c>
      <c r="K23" s="18">
        <f>+$D$23*Revenue!K31</f>
        <v>8.1301561180520968E-2</v>
      </c>
      <c r="L23" s="18">
        <f>+$D$23*Revenue!L31</f>
        <v>8.1468559859688636E-2</v>
      </c>
      <c r="M23" s="18">
        <f>+$D$23*Revenue!M31</f>
        <v>8.2090541974319572E-2</v>
      </c>
      <c r="N23" s="18">
        <f>+$D$23*Revenue!N31</f>
        <v>8.3104005969562578E-2</v>
      </c>
      <c r="O23" s="1" t="s">
        <v>183</v>
      </c>
    </row>
    <row r="24" spans="1:15" x14ac:dyDescent="0.25">
      <c r="A24" s="7" t="s">
        <v>64</v>
      </c>
      <c r="B24" s="4" t="s">
        <v>69</v>
      </c>
      <c r="C24" s="9"/>
      <c r="D24" s="19">
        <v>1.03</v>
      </c>
      <c r="E24" s="20">
        <f>D24</f>
        <v>1.03</v>
      </c>
      <c r="F24" s="20">
        <f t="shared" ref="F24:N26" si="6">E24</f>
        <v>1.03</v>
      </c>
      <c r="G24" s="20">
        <f t="shared" si="6"/>
        <v>1.03</v>
      </c>
      <c r="H24" s="20">
        <f t="shared" si="6"/>
        <v>1.03</v>
      </c>
      <c r="I24" s="20">
        <f t="shared" si="6"/>
        <v>1.03</v>
      </c>
      <c r="J24" s="20">
        <f t="shared" si="6"/>
        <v>1.03</v>
      </c>
      <c r="K24" s="20">
        <f t="shared" si="6"/>
        <v>1.03</v>
      </c>
      <c r="L24" s="20">
        <f t="shared" si="6"/>
        <v>1.03</v>
      </c>
      <c r="M24" s="20">
        <f t="shared" si="6"/>
        <v>1.03</v>
      </c>
      <c r="N24" s="20">
        <f t="shared" si="6"/>
        <v>1.03</v>
      </c>
      <c r="O24" s="1" t="s">
        <v>184</v>
      </c>
    </row>
    <row r="25" spans="1:15" x14ac:dyDescent="0.25">
      <c r="A25" s="7" t="s">
        <v>71</v>
      </c>
      <c r="B25" s="4" t="s">
        <v>69</v>
      </c>
      <c r="C25" s="15">
        <v>0.2</v>
      </c>
      <c r="D25" s="20">
        <f>+$C$25*D24</f>
        <v>0.20600000000000002</v>
      </c>
      <c r="E25" s="20">
        <f t="shared" ref="E25:N25" si="7">+$C$25*E24</f>
        <v>0.20600000000000002</v>
      </c>
      <c r="F25" s="20">
        <f t="shared" si="7"/>
        <v>0.20600000000000002</v>
      </c>
      <c r="G25" s="20">
        <f t="shared" si="7"/>
        <v>0.20600000000000002</v>
      </c>
      <c r="H25" s="20">
        <f t="shared" si="7"/>
        <v>0.20600000000000002</v>
      </c>
      <c r="I25" s="20">
        <f t="shared" si="7"/>
        <v>0.20600000000000002</v>
      </c>
      <c r="J25" s="20">
        <f t="shared" si="7"/>
        <v>0.20600000000000002</v>
      </c>
      <c r="K25" s="20">
        <f t="shared" si="7"/>
        <v>0.20600000000000002</v>
      </c>
      <c r="L25" s="20">
        <f t="shared" si="7"/>
        <v>0.20600000000000002</v>
      </c>
      <c r="M25" s="20">
        <f t="shared" si="7"/>
        <v>0.20600000000000002</v>
      </c>
      <c r="N25" s="20">
        <f t="shared" si="7"/>
        <v>0.20600000000000002</v>
      </c>
      <c r="O25" s="1" t="s">
        <v>55</v>
      </c>
    </row>
    <row r="26" spans="1:15" x14ac:dyDescent="0.25">
      <c r="A26" s="7" t="s">
        <v>65</v>
      </c>
      <c r="B26" s="4" t="s">
        <v>69</v>
      </c>
      <c r="D26" s="19">
        <v>6.9</v>
      </c>
      <c r="E26" s="20">
        <f>D26</f>
        <v>6.9</v>
      </c>
      <c r="F26" s="20">
        <f t="shared" si="6"/>
        <v>6.9</v>
      </c>
      <c r="G26" s="20">
        <f t="shared" si="6"/>
        <v>6.9</v>
      </c>
      <c r="H26" s="20">
        <f t="shared" si="6"/>
        <v>6.9</v>
      </c>
      <c r="I26" s="20">
        <f t="shared" si="6"/>
        <v>6.9</v>
      </c>
      <c r="J26" s="20">
        <f t="shared" si="6"/>
        <v>6.9</v>
      </c>
      <c r="K26" s="20">
        <f t="shared" si="6"/>
        <v>6.9</v>
      </c>
      <c r="L26" s="20">
        <f t="shared" si="6"/>
        <v>6.9</v>
      </c>
      <c r="M26" s="20">
        <f t="shared" si="6"/>
        <v>6.9</v>
      </c>
      <c r="N26" s="20">
        <f t="shared" si="6"/>
        <v>6.9</v>
      </c>
      <c r="O26" s="1" t="s">
        <v>55</v>
      </c>
    </row>
    <row r="27" spans="1:15" x14ac:dyDescent="0.25">
      <c r="A27" s="7" t="s">
        <v>66</v>
      </c>
      <c r="B27" s="4" t="s">
        <v>69</v>
      </c>
      <c r="C27" s="21"/>
      <c r="D27" s="22">
        <f>D24+D25+D26*Revenue!$C$18</f>
        <v>3.306</v>
      </c>
      <c r="E27" s="22">
        <f>E24+E25+E26*Revenue!$C$18</f>
        <v>3.306</v>
      </c>
      <c r="F27" s="22">
        <f>F24+F25+F26*Revenue!$C$18</f>
        <v>3.306</v>
      </c>
      <c r="G27" s="22">
        <f>G24+G25+G26*Revenue!$C$18</f>
        <v>3.306</v>
      </c>
      <c r="H27" s="22">
        <f>H24+H25+H26*Revenue!$C$18</f>
        <v>3.306</v>
      </c>
      <c r="I27" s="22">
        <f>I24+I25+I26*Revenue!$C$18</f>
        <v>3.306</v>
      </c>
      <c r="J27" s="22">
        <f>J24+J25+J26*Revenue!$C$18</f>
        <v>3.306</v>
      </c>
      <c r="K27" s="22">
        <f>K24+K25+K26*Revenue!$C$18</f>
        <v>3.306</v>
      </c>
      <c r="L27" s="22">
        <f>L24+L25+L26*Revenue!$C$18</f>
        <v>3.306</v>
      </c>
      <c r="M27" s="22">
        <f>M24+M25+M26*Revenue!$C$18</f>
        <v>3.306</v>
      </c>
      <c r="N27" s="22">
        <f>N24+N25+N26*Revenue!$C$18</f>
        <v>3.306</v>
      </c>
      <c r="O27" s="1"/>
    </row>
    <row r="28" spans="1:15" x14ac:dyDescent="0.25">
      <c r="A28" s="7" t="s">
        <v>67</v>
      </c>
      <c r="B28" s="4" t="s">
        <v>68</v>
      </c>
      <c r="C28" s="9"/>
      <c r="D28" s="23">
        <f>+D27*Revenue!D25</f>
        <v>5983826.9400000004</v>
      </c>
      <c r="E28" s="23">
        <f>+E27*Revenue!E25</f>
        <v>67617244.422000006</v>
      </c>
      <c r="F28" s="23">
        <f>+F27*Revenue!F25</f>
        <v>188598257.49492002</v>
      </c>
      <c r="G28" s="23">
        <f>+G27*Revenue!G25</f>
        <v>388512410.43953526</v>
      </c>
      <c r="H28" s="23">
        <f>+H27*Revenue!H25</f>
        <v>800335565.50544262</v>
      </c>
      <c r="I28" s="23">
        <f>+I27*Revenue!I25</f>
        <v>1371215447.4756155</v>
      </c>
      <c r="J28" s="23">
        <f>+J27*Revenue!J25</f>
        <v>1689827728.3654802</v>
      </c>
      <c r="K28" s="23">
        <f>+K27*Revenue!K25</f>
        <v>1740522560.216445</v>
      </c>
      <c r="L28" s="23">
        <f>+L27*Revenue!L25</f>
        <v>1792738237.0229383</v>
      </c>
      <c r="M28" s="23">
        <f>+M27*Revenue!M25</f>
        <v>1846520384.133626</v>
      </c>
      <c r="N28" s="23">
        <f>+N27*Revenue!N25</f>
        <v>1901915995.657635</v>
      </c>
      <c r="O28" s="1"/>
    </row>
    <row r="29" spans="1:15" x14ac:dyDescent="0.25">
      <c r="A29" s="7" t="s">
        <v>70</v>
      </c>
      <c r="B29" s="4" t="s">
        <v>45</v>
      </c>
      <c r="C29" s="9"/>
      <c r="D29" s="23">
        <f>+D28*D23</f>
        <v>598382.69400000002</v>
      </c>
      <c r="E29" s="23">
        <f t="shared" ref="E29:N29" si="8">+E28*E23</f>
        <v>6465698.5970497699</v>
      </c>
      <c r="F29" s="23">
        <f t="shared" si="8"/>
        <v>16886165.791340847</v>
      </c>
      <c r="G29" s="23">
        <f t="shared" si="8"/>
        <v>33323206.53536639</v>
      </c>
      <c r="H29" s="23">
        <f t="shared" si="8"/>
        <v>67067723.540202715</v>
      </c>
      <c r="I29" s="23">
        <f t="shared" si="8"/>
        <v>112495530.14631507</v>
      </c>
      <c r="J29" s="23">
        <f t="shared" si="8"/>
        <v>141606725.73011386</v>
      </c>
      <c r="K29" s="23">
        <f t="shared" si="8"/>
        <v>141507201.41551429</v>
      </c>
      <c r="L29" s="23">
        <f t="shared" si="8"/>
        <v>146051802.37565592</v>
      </c>
      <c r="M29" s="23">
        <f t="shared" si="8"/>
        <v>151581859.10015813</v>
      </c>
      <c r="N29" s="23">
        <f t="shared" si="8"/>
        <v>158056838.25673866</v>
      </c>
      <c r="O29" s="1"/>
    </row>
    <row r="30" spans="1:15" x14ac:dyDescent="0.25">
      <c r="A30" s="40" t="s">
        <v>70</v>
      </c>
      <c r="B30" s="4" t="s">
        <v>36</v>
      </c>
      <c r="C30" s="9"/>
      <c r="D30" s="18">
        <f>+D29/Revenue!D25</f>
        <v>0.3306</v>
      </c>
      <c r="E30" s="18">
        <f>+E29/Revenue!E25</f>
        <v>0.31612645183292559</v>
      </c>
      <c r="F30" s="18">
        <f>+F29/Revenue!F25</f>
        <v>0.29600307472446574</v>
      </c>
      <c r="G30" s="18">
        <f>+G29/Revenue!G25</f>
        <v>0.28355984994478484</v>
      </c>
      <c r="H30" s="18">
        <f>+H29/Revenue!H25</f>
        <v>0.27704116070848578</v>
      </c>
      <c r="I30" s="18">
        <f>+I29/Revenue!I25</f>
        <v>0.27122668676785844</v>
      </c>
      <c r="J30" s="18">
        <f>+J29/Revenue!J25</f>
        <v>0.27704116070848578</v>
      </c>
      <c r="K30" s="18">
        <f>+K29/Revenue!K25</f>
        <v>0.26878296126280232</v>
      </c>
      <c r="L30" s="18">
        <f>+L29/Revenue!L25</f>
        <v>0.26933505889613063</v>
      </c>
      <c r="M30" s="18">
        <f>+M29/Revenue!M25</f>
        <v>0.27139133176710051</v>
      </c>
      <c r="N30" s="18">
        <f>+N29/Revenue!N25</f>
        <v>0.27474184373537391</v>
      </c>
      <c r="O30" s="1"/>
    </row>
    <row r="31" spans="1:15" x14ac:dyDescent="0.25">
      <c r="A31" s="7" t="s">
        <v>212</v>
      </c>
      <c r="B31" s="4" t="s">
        <v>104</v>
      </c>
      <c r="C31" s="113">
        <v>2.8000000000000001E-2</v>
      </c>
      <c r="D31" s="31">
        <f>+$C$31*Revenue!D63</f>
        <v>81143.448749999996</v>
      </c>
      <c r="E31" s="31">
        <f>+$C$31*Revenue!E63</f>
        <v>864317.62983371469</v>
      </c>
      <c r="F31" s="31">
        <f>+$C$31*Revenue!F63</f>
        <v>2144405.7028451697</v>
      </c>
      <c r="G31" s="31">
        <f>+$C$31*Revenue!G63</f>
        <v>4259675.9957997585</v>
      </c>
      <c r="H31" s="31">
        <f>+$C$31*Revenue!H63</f>
        <v>8591607.7931040246</v>
      </c>
      <c r="I31" s="31">
        <f>+$C$31*Revenue!I63</f>
        <v>14129179.604989655</v>
      </c>
      <c r="J31" s="31">
        <f>+$C$31*Revenue!J63</f>
        <v>17078930.587887213</v>
      </c>
      <c r="K31" s="31">
        <f>+$C$31*Revenue!K63</f>
        <v>17026482.362998534</v>
      </c>
      <c r="L31" s="31">
        <f>+$C$31*Revenue!L63</f>
        <v>17385628.504174318</v>
      </c>
      <c r="M31" s="31">
        <f>+$C$31*Revenue!M63</f>
        <v>17756852.435145028</v>
      </c>
      <c r="N31" s="31">
        <f>+$C$31*Revenue!N63</f>
        <v>18091538.233700335</v>
      </c>
      <c r="O31" s="1" t="s">
        <v>214</v>
      </c>
    </row>
    <row r="32" spans="1:15" x14ac:dyDescent="0.25">
      <c r="A32" s="7" t="s">
        <v>213</v>
      </c>
      <c r="B32" s="4" t="s">
        <v>104</v>
      </c>
      <c r="C32" s="113">
        <v>0.02</v>
      </c>
      <c r="D32" s="31">
        <f>+$C$32*Revenue!D63</f>
        <v>57959.606250000004</v>
      </c>
      <c r="E32" s="31">
        <f>+$C$32*Revenue!E63</f>
        <v>617369.73559551046</v>
      </c>
      <c r="F32" s="31">
        <f>+$C$32*Revenue!F63</f>
        <v>1531718.3591751212</v>
      </c>
      <c r="G32" s="31">
        <f>+$C$32*Revenue!G63</f>
        <v>3042625.7112855418</v>
      </c>
      <c r="H32" s="31">
        <f>+$C$32*Revenue!H63</f>
        <v>6136862.7093600174</v>
      </c>
      <c r="I32" s="31">
        <f>+$C$32*Revenue!I63</f>
        <v>10092271.146421183</v>
      </c>
      <c r="J32" s="31">
        <f>+$C$32*Revenue!J63</f>
        <v>12199236.134205151</v>
      </c>
      <c r="K32" s="31">
        <f>+$C$32*Revenue!K63</f>
        <v>12161773.116427524</v>
      </c>
      <c r="L32" s="31">
        <f>+$C$32*Revenue!L63</f>
        <v>12418306.074410226</v>
      </c>
      <c r="M32" s="31">
        <f>+$C$32*Revenue!M63</f>
        <v>12683466.025103591</v>
      </c>
      <c r="N32" s="31">
        <f>+$C$32*Revenue!N63</f>
        <v>12922527.309785953</v>
      </c>
      <c r="O32" s="1" t="s">
        <v>214</v>
      </c>
    </row>
    <row r="33" spans="1:17" ht="15" x14ac:dyDescent="0.4">
      <c r="A33" s="14" t="s">
        <v>72</v>
      </c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"/>
      <c r="Q33" s="2">
        <f>(((50/30/24)/('Basic Calculations'!D4/365))/(1-Revenue!D22))/(1-Revenue!D45)</f>
        <v>0.28296218772409248</v>
      </c>
    </row>
    <row r="34" spans="1:17" x14ac:dyDescent="0.25">
      <c r="A34" s="7" t="s">
        <v>215</v>
      </c>
      <c r="B34" s="24" t="s">
        <v>75</v>
      </c>
      <c r="C34" s="28">
        <f>AVERAGE(14800/968,1200100/29168,7584000/112268,21822200/271868,46832900/541268)</f>
        <v>58.155670646470767</v>
      </c>
      <c r="D34" s="72">
        <f>+$C$34*D47</f>
        <v>36862.738984003132</v>
      </c>
      <c r="E34" s="72">
        <f t="shared" ref="E34:N34" si="9">+$C$34*E47</f>
        <v>379686.21153523232</v>
      </c>
      <c r="F34" s="72">
        <f t="shared" si="9"/>
        <v>782153.59576257854</v>
      </c>
      <c r="G34" s="72">
        <f t="shared" si="9"/>
        <v>1611236.4072709121</v>
      </c>
      <c r="H34" s="72">
        <f t="shared" si="9"/>
        <v>3319146.9989780784</v>
      </c>
      <c r="I34" s="72">
        <f t="shared" si="9"/>
        <v>5128082.1134211309</v>
      </c>
      <c r="J34" s="72">
        <f t="shared" si="9"/>
        <v>5281924.5768237645</v>
      </c>
      <c r="K34" s="72">
        <f t="shared" si="9"/>
        <v>5440382.3141284781</v>
      </c>
      <c r="L34" s="72">
        <f t="shared" si="9"/>
        <v>5603593.7835523318</v>
      </c>
      <c r="M34" s="72">
        <f t="shared" si="9"/>
        <v>5771701.5970589025</v>
      </c>
      <c r="N34" s="72">
        <f t="shared" si="9"/>
        <v>5944852.6449706703</v>
      </c>
      <c r="O34" s="1" t="s">
        <v>214</v>
      </c>
      <c r="P34" s="2">
        <v>2</v>
      </c>
      <c r="Q34" s="2">
        <f>+$Q$33*P34</f>
        <v>0.56592437544818497</v>
      </c>
    </row>
    <row r="35" spans="1:17" x14ac:dyDescent="0.25">
      <c r="A35" s="7" t="s">
        <v>73</v>
      </c>
      <c r="B35" s="24" t="s">
        <v>75</v>
      </c>
      <c r="C35" s="28">
        <f>AVERAGE(59600/968,3207300/29168,20269300/112268,58322700/271868,62583500/541268)</f>
        <v>136.44466749487438</v>
      </c>
      <c r="D35" s="31">
        <f>+$C$35*D47</f>
        <v>86487.252364406944</v>
      </c>
      <c r="E35" s="31">
        <f t="shared" ref="E35:N35" si="10">+$C$35*E47</f>
        <v>890818.69935339177</v>
      </c>
      <c r="F35" s="31">
        <f t="shared" si="10"/>
        <v>1835086.5206679869</v>
      </c>
      <c r="G35" s="31">
        <f t="shared" si="10"/>
        <v>3780278.2325760536</v>
      </c>
      <c r="H35" s="31">
        <f t="shared" si="10"/>
        <v>7787373.159106669</v>
      </c>
      <c r="I35" s="31">
        <f t="shared" si="10"/>
        <v>12031491.530819803</v>
      </c>
      <c r="J35" s="31">
        <f t="shared" si="10"/>
        <v>12392436.276744397</v>
      </c>
      <c r="K35" s="31">
        <f t="shared" si="10"/>
        <v>12764209.365046732</v>
      </c>
      <c r="L35" s="31">
        <f t="shared" si="10"/>
        <v>13147135.645998131</v>
      </c>
      <c r="M35" s="31">
        <f t="shared" si="10"/>
        <v>13541549.715378076</v>
      </c>
      <c r="N35" s="31">
        <f t="shared" si="10"/>
        <v>13947796.20683942</v>
      </c>
      <c r="O35" s="1" t="s">
        <v>214</v>
      </c>
      <c r="P35" s="2">
        <v>3</v>
      </c>
      <c r="Q35" s="2">
        <f>+$Q$33*P35</f>
        <v>0.84888656317227751</v>
      </c>
    </row>
    <row r="36" spans="1:17" x14ac:dyDescent="0.25">
      <c r="A36" s="7" t="s">
        <v>74</v>
      </c>
      <c r="B36" s="24" t="s">
        <v>75</v>
      </c>
      <c r="C36" s="28">
        <f>AVERAGE(29800/968,1603700/29168,10134600/112268,29161400/271868,62583500/541268)</f>
        <v>79.785011138678215</v>
      </c>
      <c r="D36" s="31">
        <f>+$C$36*D47</f>
        <v>50572.781772560651</v>
      </c>
      <c r="E36" s="31">
        <f t="shared" ref="E36:N36" si="11">+$C$36*E47</f>
        <v>520899.65225737484</v>
      </c>
      <c r="F36" s="31">
        <f t="shared" si="11"/>
        <v>1073053.283650192</v>
      </c>
      <c r="G36" s="31">
        <f t="shared" si="11"/>
        <v>2210489.7643193961</v>
      </c>
      <c r="H36" s="31">
        <f t="shared" si="11"/>
        <v>4553608.9144979557</v>
      </c>
      <c r="I36" s="31">
        <f t="shared" si="11"/>
        <v>7035325.7728993399</v>
      </c>
      <c r="J36" s="31">
        <f t="shared" si="11"/>
        <v>7246385.5460863207</v>
      </c>
      <c r="K36" s="31">
        <f t="shared" si="11"/>
        <v>7463777.1124689113</v>
      </c>
      <c r="L36" s="31">
        <f t="shared" si="11"/>
        <v>7687690.4258429781</v>
      </c>
      <c r="M36" s="31">
        <f t="shared" si="11"/>
        <v>7918321.1386182671</v>
      </c>
      <c r="N36" s="31">
        <f t="shared" si="11"/>
        <v>8155870.772776816</v>
      </c>
      <c r="O36" s="1" t="s">
        <v>214</v>
      </c>
      <c r="P36" s="2">
        <v>4</v>
      </c>
      <c r="Q36" s="2">
        <f>+$Q$33*P36</f>
        <v>1.1318487508963699</v>
      </c>
    </row>
    <row r="37" spans="1:17" x14ac:dyDescent="0.25">
      <c r="A37" s="7" t="s">
        <v>216</v>
      </c>
      <c r="B37" s="24" t="s">
        <v>75</v>
      </c>
      <c r="C37" s="28">
        <f>9.38*12</f>
        <v>112.56</v>
      </c>
      <c r="D37" s="31">
        <f t="shared" ref="D37:N39" si="12">+$C37*D$47</f>
        <v>71347.640804675248</v>
      </c>
      <c r="E37" s="31">
        <f t="shared" si="12"/>
        <v>734880.70028815523</v>
      </c>
      <c r="F37" s="31">
        <f t="shared" si="12"/>
        <v>1513854.2425935997</v>
      </c>
      <c r="G37" s="31">
        <f t="shared" si="12"/>
        <v>3118539.739742816</v>
      </c>
      <c r="H37" s="31">
        <f t="shared" si="12"/>
        <v>6424191.8638701998</v>
      </c>
      <c r="I37" s="31">
        <f t="shared" si="12"/>
        <v>9925376.4296794571</v>
      </c>
      <c r="J37" s="31">
        <f t="shared" si="12"/>
        <v>10223137.722569842</v>
      </c>
      <c r="K37" s="31">
        <f t="shared" si="12"/>
        <v>10529831.854246939</v>
      </c>
      <c r="L37" s="31">
        <f t="shared" si="12"/>
        <v>10845726.809874345</v>
      </c>
      <c r="M37" s="31">
        <f t="shared" si="12"/>
        <v>11171098.614170576</v>
      </c>
      <c r="N37" s="31">
        <f t="shared" si="12"/>
        <v>11506231.572595695</v>
      </c>
      <c r="O37" s="1" t="s">
        <v>214</v>
      </c>
    </row>
    <row r="38" spans="1:17" x14ac:dyDescent="0.25">
      <c r="A38" s="7" t="s">
        <v>217</v>
      </c>
      <c r="B38" s="24" t="s">
        <v>75</v>
      </c>
      <c r="C38" s="28">
        <f>8*12</f>
        <v>96</v>
      </c>
      <c r="D38" s="31">
        <f t="shared" si="12"/>
        <v>60850.866357931984</v>
      </c>
      <c r="E38" s="31">
        <f t="shared" si="12"/>
        <v>626763.92348669958</v>
      </c>
      <c r="F38" s="31">
        <f t="shared" si="12"/>
        <v>1291133.6823826008</v>
      </c>
      <c r="G38" s="31">
        <f t="shared" si="12"/>
        <v>2659735.3857081584</v>
      </c>
      <c r="H38" s="31">
        <f t="shared" si="12"/>
        <v>5479054.894558806</v>
      </c>
      <c r="I38" s="31">
        <f t="shared" si="12"/>
        <v>8465139.8120933548</v>
      </c>
      <c r="J38" s="31">
        <f t="shared" si="12"/>
        <v>8719094.0064561553</v>
      </c>
      <c r="K38" s="31">
        <f t="shared" si="12"/>
        <v>8980666.8266498409</v>
      </c>
      <c r="L38" s="31">
        <f t="shared" si="12"/>
        <v>9250086.8314493354</v>
      </c>
      <c r="M38" s="31">
        <f t="shared" si="12"/>
        <v>9527589.4363928158</v>
      </c>
      <c r="N38" s="31">
        <f t="shared" si="12"/>
        <v>9813417.1194846015</v>
      </c>
      <c r="O38" s="1" t="s">
        <v>214</v>
      </c>
    </row>
    <row r="39" spans="1:17" x14ac:dyDescent="0.25">
      <c r="A39" s="7" t="s">
        <v>159</v>
      </c>
      <c r="B39" s="24" t="s">
        <v>75</v>
      </c>
      <c r="C39" s="28">
        <f>2*12</f>
        <v>24</v>
      </c>
      <c r="D39" s="31">
        <f t="shared" si="12"/>
        <v>15212.716589482996</v>
      </c>
      <c r="E39" s="31">
        <f t="shared" si="12"/>
        <v>156690.9808716749</v>
      </c>
      <c r="F39" s="31">
        <f t="shared" si="12"/>
        <v>322783.42059565021</v>
      </c>
      <c r="G39" s="31">
        <f t="shared" si="12"/>
        <v>664933.84642703959</v>
      </c>
      <c r="H39" s="31">
        <f t="shared" si="12"/>
        <v>1369763.7236397015</v>
      </c>
      <c r="I39" s="31">
        <f t="shared" si="12"/>
        <v>2116284.9530233387</v>
      </c>
      <c r="J39" s="31">
        <f t="shared" si="12"/>
        <v>2179773.5016140388</v>
      </c>
      <c r="K39" s="31">
        <f t="shared" si="12"/>
        <v>2245166.7066624602</v>
      </c>
      <c r="L39" s="31">
        <f t="shared" si="12"/>
        <v>2312521.7078623339</v>
      </c>
      <c r="M39" s="31">
        <f t="shared" si="12"/>
        <v>2381897.3590982039</v>
      </c>
      <c r="N39" s="31">
        <f t="shared" si="12"/>
        <v>2453354.2798711504</v>
      </c>
      <c r="O39" s="1" t="s">
        <v>214</v>
      </c>
    </row>
    <row r="40" spans="1:17" x14ac:dyDescent="0.25">
      <c r="A40" s="7" t="s">
        <v>218</v>
      </c>
      <c r="B40" s="24" t="s">
        <v>219</v>
      </c>
      <c r="C40" s="28">
        <v>500</v>
      </c>
      <c r="D40" s="31">
        <f>+$C$40*Costs!D47/Capacity!$D$17</f>
        <v>4371.4702843341947</v>
      </c>
      <c r="E40" s="31">
        <f>+$C$40*Costs!E47/Capacity!$D$17</f>
        <v>45026.14392864221</v>
      </c>
      <c r="F40" s="31">
        <f>+$C$40*Costs!F47/Capacity!$D$17</f>
        <v>92753.856493002953</v>
      </c>
      <c r="G40" s="31">
        <f>+$C$40*Costs!G47/Capacity!$D$17</f>
        <v>191072.94437558608</v>
      </c>
      <c r="H40" s="31">
        <f>+$C$40*Costs!H47/Capacity!$D$17</f>
        <v>393610.2654137073</v>
      </c>
      <c r="I40" s="31">
        <f>+$C$40*Costs!I47/Capacity!$D$17</f>
        <v>608127.86006417766</v>
      </c>
      <c r="J40" s="31">
        <f>+$C$40*Costs!J47/Capacity!$D$17</f>
        <v>626371.69586610317</v>
      </c>
      <c r="K40" s="31">
        <f>+$C$40*Costs!K47/Capacity!$D$17</f>
        <v>645162.84674208623</v>
      </c>
      <c r="L40" s="31">
        <f>+$C$40*Costs!L47/Capacity!$D$17</f>
        <v>664517.73214434879</v>
      </c>
      <c r="M40" s="31">
        <f>+$C$40*Costs!M47/Capacity!$D$17</f>
        <v>684453.26410867926</v>
      </c>
      <c r="N40" s="31">
        <f>+$C$40*Costs!N47/Capacity!$D$17</f>
        <v>704986.86203193967</v>
      </c>
      <c r="O40" s="1" t="s">
        <v>214</v>
      </c>
    </row>
    <row r="41" spans="1:17" x14ac:dyDescent="0.25">
      <c r="A41" s="7" t="s">
        <v>220</v>
      </c>
      <c r="B41" s="24" t="s">
        <v>75</v>
      </c>
      <c r="C41" s="28">
        <v>350</v>
      </c>
      <c r="D41" s="31">
        <f>+$C$41*D48</f>
        <v>221852.11692996035</v>
      </c>
      <c r="E41" s="31">
        <f t="shared" ref="E41:N41" si="13">+$C$41*E48</f>
        <v>2063224.6874486317</v>
      </c>
      <c r="F41" s="31">
        <f t="shared" si="13"/>
        <v>2422181.4126413073</v>
      </c>
      <c r="G41" s="31">
        <f t="shared" si="13"/>
        <v>4989693.7100410946</v>
      </c>
      <c r="H41" s="31">
        <f t="shared" si="13"/>
        <v>10278769.042684652</v>
      </c>
      <c r="I41" s="31">
        <f t="shared" si="13"/>
        <v>10886767.928511374</v>
      </c>
      <c r="J41" s="31">
        <f t="shared" si="13"/>
        <v>925874.66694771207</v>
      </c>
      <c r="K41" s="31">
        <f t="shared" si="13"/>
        <v>953650.90695614705</v>
      </c>
      <c r="L41" s="31">
        <f t="shared" si="13"/>
        <v>982260.4341648221</v>
      </c>
      <c r="M41" s="31">
        <f t="shared" si="13"/>
        <v>1011728.2471897721</v>
      </c>
      <c r="N41" s="31">
        <f t="shared" si="13"/>
        <v>1042080.0946054689</v>
      </c>
      <c r="O41" s="1" t="s">
        <v>214</v>
      </c>
    </row>
    <row r="42" spans="1:17" x14ac:dyDescent="0.25">
      <c r="A42" s="7" t="s">
        <v>222</v>
      </c>
      <c r="B42" s="24" t="s">
        <v>75</v>
      </c>
      <c r="C42" s="28">
        <f>AVERAGE((711400+51200)/968,(242700+6615900+210600)/29168,(548000+28918900+669300)/112268,(788800+77705000+1670200)/271868,(968000+163268700+3427100)/541268)</f>
        <v>380.64542883660044</v>
      </c>
      <c r="D42" s="31">
        <f t="shared" ref="D42:N42" si="14">+$C$42*D47</f>
        <v>241277.12624889254</v>
      </c>
      <c r="E42" s="31">
        <f t="shared" si="14"/>
        <v>2485154.4003635934</v>
      </c>
      <c r="F42" s="31">
        <f t="shared" si="14"/>
        <v>5119418.0647490025</v>
      </c>
      <c r="G42" s="31">
        <f t="shared" si="14"/>
        <v>10546001.213382946</v>
      </c>
      <c r="H42" s="31">
        <f t="shared" si="14"/>
        <v>21724762.499568868</v>
      </c>
      <c r="I42" s="31">
        <f t="shared" si="14"/>
        <v>33564758.061833896</v>
      </c>
      <c r="J42" s="31">
        <f t="shared" si="14"/>
        <v>34571700.803688914</v>
      </c>
      <c r="K42" s="31">
        <f t="shared" si="14"/>
        <v>35608851.827799588</v>
      </c>
      <c r="L42" s="31">
        <f t="shared" si="14"/>
        <v>36677117.382633567</v>
      </c>
      <c r="M42" s="31">
        <f t="shared" si="14"/>
        <v>37777430.904112577</v>
      </c>
      <c r="N42" s="31">
        <f t="shared" si="14"/>
        <v>38910753.83123596</v>
      </c>
      <c r="O42" s="1" t="s">
        <v>214</v>
      </c>
    </row>
    <row r="43" spans="1:17" x14ac:dyDescent="0.25">
      <c r="A43" s="7" t="s">
        <v>221</v>
      </c>
      <c r="B43" s="24" t="s">
        <v>75</v>
      </c>
      <c r="C43" s="28">
        <v>150</v>
      </c>
      <c r="D43" s="31">
        <f>+$C$43*D47</f>
        <v>95079.478684268717</v>
      </c>
      <c r="E43" s="31">
        <f t="shared" ref="E43:N43" si="15">+$C$43*E47</f>
        <v>979318.63044796803</v>
      </c>
      <c r="F43" s="31">
        <f t="shared" si="15"/>
        <v>2017396.3787228139</v>
      </c>
      <c r="G43" s="31">
        <f t="shared" si="15"/>
        <v>4155836.5401689974</v>
      </c>
      <c r="H43" s="31">
        <f t="shared" si="15"/>
        <v>8561023.2727481332</v>
      </c>
      <c r="I43" s="31">
        <f t="shared" si="15"/>
        <v>13226780.956395864</v>
      </c>
      <c r="J43" s="31">
        <f t="shared" si="15"/>
        <v>13623584.385087742</v>
      </c>
      <c r="K43" s="31">
        <f t="shared" si="15"/>
        <v>14032291.916640377</v>
      </c>
      <c r="L43" s="31">
        <f t="shared" si="15"/>
        <v>14453260.674139585</v>
      </c>
      <c r="M43" s="31">
        <f t="shared" si="15"/>
        <v>14886858.494363774</v>
      </c>
      <c r="N43" s="31">
        <f t="shared" si="15"/>
        <v>15333464.249194689</v>
      </c>
      <c r="O43" s="1" t="s">
        <v>214</v>
      </c>
    </row>
    <row r="44" spans="1:17" x14ac:dyDescent="0.25">
      <c r="A44" s="7" t="s">
        <v>224</v>
      </c>
      <c r="B44" s="24" t="s">
        <v>45</v>
      </c>
      <c r="C44" s="132">
        <v>0.01</v>
      </c>
      <c r="D44" s="26">
        <f>MIN(+Revenue!D63*$C$44,1000000)</f>
        <v>28979.803125000002</v>
      </c>
      <c r="E44" s="26">
        <f>MIN(+Revenue!E63*$C$44,1000000)</f>
        <v>308684.86779775523</v>
      </c>
      <c r="F44" s="26">
        <f>MIN(+Revenue!F63*$C$44,1000000)</f>
        <v>765859.17958756059</v>
      </c>
      <c r="G44" s="26">
        <f>MIN(+Revenue!G63*$C$44,1000000)</f>
        <v>1000000</v>
      </c>
      <c r="H44" s="26">
        <f>MIN(+Revenue!H63*$C$44,1000000)</f>
        <v>1000000</v>
      </c>
      <c r="I44" s="26">
        <f>MIN(+Revenue!I63*$C$44,1000000)</f>
        <v>1000000</v>
      </c>
      <c r="J44" s="26">
        <f>MIN(+Revenue!J63*$C$44,1000000)</f>
        <v>1000000</v>
      </c>
      <c r="K44" s="26">
        <f>MIN(+Revenue!K63*$C$44,1000000)</f>
        <v>1000000</v>
      </c>
      <c r="L44" s="26">
        <f>MIN(+Revenue!L63*$C$44,1000000)</f>
        <v>1000000</v>
      </c>
      <c r="M44" s="26">
        <f>MIN(+Revenue!M63*$C$44,1000000)</f>
        <v>1000000</v>
      </c>
      <c r="N44" s="26">
        <f>MIN(+Revenue!N63*$C$44,1000000)</f>
        <v>1000000</v>
      </c>
      <c r="O44" s="72"/>
    </row>
    <row r="45" spans="1:17" ht="13.5" thickBot="1" x14ac:dyDescent="0.3">
      <c r="A45" s="41" t="str">
        <f>Revenue!A$1</f>
        <v>PERIOD</v>
      </c>
      <c r="B45" s="43"/>
      <c r="C45" s="68" t="str">
        <f>Revenue!C$1</f>
        <v>@</v>
      </c>
      <c r="D45" s="68">
        <f>Revenue!D$1</f>
        <v>0</v>
      </c>
      <c r="E45" s="68">
        <f>Revenue!E$1</f>
        <v>1</v>
      </c>
      <c r="F45" s="68">
        <f>Revenue!F$1</f>
        <v>2</v>
      </c>
      <c r="G45" s="68">
        <f>Revenue!G$1</f>
        <v>3</v>
      </c>
      <c r="H45" s="68">
        <f>Revenue!H$1</f>
        <v>4</v>
      </c>
      <c r="I45" s="68">
        <f>Revenue!I$1</f>
        <v>5</v>
      </c>
      <c r="J45" s="68">
        <f>Revenue!J$1</f>
        <v>6</v>
      </c>
      <c r="K45" s="68">
        <f>Revenue!K$1</f>
        <v>7</v>
      </c>
      <c r="L45" s="68">
        <f>Revenue!L$1</f>
        <v>8</v>
      </c>
      <c r="M45" s="68">
        <f>Revenue!M$1</f>
        <v>9</v>
      </c>
      <c r="N45" s="68">
        <f>Revenue!N$1</f>
        <v>10</v>
      </c>
      <c r="O45" s="1"/>
    </row>
    <row r="46" spans="1:17" ht="15" x14ac:dyDescent="0.4">
      <c r="A46" s="14" t="s">
        <v>79</v>
      </c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7"/>
      <c r="O46" s="1"/>
    </row>
    <row r="47" spans="1:17" x14ac:dyDescent="0.25">
      <c r="A47" s="7" t="s">
        <v>190</v>
      </c>
      <c r="B47" s="24" t="s">
        <v>9</v>
      </c>
      <c r="C47" s="30"/>
      <c r="D47" s="23">
        <f>+Capacity!$D$25*Revenue!D12</f>
        <v>633.86319122845816</v>
      </c>
      <c r="E47" s="23">
        <f>+Capacity!$D$25*Revenue!E12</f>
        <v>6528.7908696531204</v>
      </c>
      <c r="F47" s="23">
        <f>+Capacity!$D$25*Revenue!F12</f>
        <v>13449.309191485427</v>
      </c>
      <c r="G47" s="23">
        <f>+Capacity!$D$25*Revenue!G12</f>
        <v>27705.576934459983</v>
      </c>
      <c r="H47" s="23">
        <f>+Capacity!$D$25*Revenue!H12</f>
        <v>57073.48848498756</v>
      </c>
      <c r="I47" s="23">
        <f>+Capacity!$D$25*Revenue!I12</f>
        <v>88178.539709305769</v>
      </c>
      <c r="J47" s="23">
        <f>+Capacity!$D$25*Revenue!J12</f>
        <v>90823.895900584947</v>
      </c>
      <c r="K47" s="23">
        <f>+Capacity!$D$25*Revenue!K12</f>
        <v>93548.61277760251</v>
      </c>
      <c r="L47" s="23">
        <f>+Capacity!$D$25*Revenue!L12</f>
        <v>96355.071160930573</v>
      </c>
      <c r="M47" s="23">
        <f>+Capacity!$D$25*Revenue!M12</f>
        <v>99245.723295758493</v>
      </c>
      <c r="N47" s="23">
        <f>+Capacity!$D$25*Revenue!N12</f>
        <v>102223.09499463126</v>
      </c>
      <c r="O47" s="1" t="s">
        <v>78</v>
      </c>
    </row>
    <row r="48" spans="1:17" x14ac:dyDescent="0.25">
      <c r="A48" s="7" t="s">
        <v>86</v>
      </c>
      <c r="B48" s="4" t="s">
        <v>85</v>
      </c>
      <c r="C48" s="1"/>
      <c r="D48" s="31">
        <f t="shared" ref="D48:N48" si="16">+D47-C47</f>
        <v>633.86319122845816</v>
      </c>
      <c r="E48" s="31">
        <f t="shared" si="16"/>
        <v>5894.9276784246622</v>
      </c>
      <c r="F48" s="31">
        <f t="shared" si="16"/>
        <v>6920.5183218323064</v>
      </c>
      <c r="G48" s="31">
        <f t="shared" si="16"/>
        <v>14256.267742974556</v>
      </c>
      <c r="H48" s="31">
        <f t="shared" si="16"/>
        <v>29367.911550527577</v>
      </c>
      <c r="I48" s="31">
        <f t="shared" si="16"/>
        <v>31105.051224318209</v>
      </c>
      <c r="J48" s="31">
        <f t="shared" si="16"/>
        <v>2645.3561912791774</v>
      </c>
      <c r="K48" s="31">
        <f t="shared" si="16"/>
        <v>2724.7168770175631</v>
      </c>
      <c r="L48" s="31">
        <f t="shared" si="16"/>
        <v>2806.4583833280631</v>
      </c>
      <c r="M48" s="31">
        <f t="shared" si="16"/>
        <v>2890.6521348279202</v>
      </c>
      <c r="N48" s="31">
        <f t="shared" si="16"/>
        <v>2977.3716988727683</v>
      </c>
      <c r="O48" s="1"/>
    </row>
    <row r="49" spans="1:15" x14ac:dyDescent="0.25">
      <c r="A49" s="7" t="s">
        <v>87</v>
      </c>
      <c r="B49" s="4" t="s">
        <v>88</v>
      </c>
      <c r="C49" s="1"/>
      <c r="D49" s="28">
        <v>6</v>
      </c>
      <c r="E49" s="32">
        <v>5</v>
      </c>
      <c r="F49" s="32">
        <v>4</v>
      </c>
      <c r="G49" s="32">
        <v>3</v>
      </c>
      <c r="H49" s="31">
        <f t="shared" ref="H49:N49" si="17">+G49</f>
        <v>3</v>
      </c>
      <c r="I49" s="31">
        <f t="shared" si="17"/>
        <v>3</v>
      </c>
      <c r="J49" s="31">
        <f t="shared" si="17"/>
        <v>3</v>
      </c>
      <c r="K49" s="31">
        <f t="shared" si="17"/>
        <v>3</v>
      </c>
      <c r="L49" s="31">
        <f t="shared" si="17"/>
        <v>3</v>
      </c>
      <c r="M49" s="31">
        <f t="shared" si="17"/>
        <v>3</v>
      </c>
      <c r="N49" s="31">
        <f t="shared" si="17"/>
        <v>3</v>
      </c>
      <c r="O49" s="1" t="s">
        <v>76</v>
      </c>
    </row>
    <row r="50" spans="1:15" x14ac:dyDescent="0.25">
      <c r="A50" s="7" t="s">
        <v>89</v>
      </c>
      <c r="B50" s="4" t="s">
        <v>85</v>
      </c>
      <c r="C50" s="1"/>
      <c r="D50" s="32">
        <f>+D48+E48/12*D49</f>
        <v>3581.3270304407893</v>
      </c>
      <c r="E50" s="32">
        <f>F48/12*E49+E48/12*(12-E49)</f>
        <v>6322.2571131778477</v>
      </c>
      <c r="F50" s="31">
        <f t="shared" ref="F50:N50" si="18">G48/12*F49+F48/12*(12-F49)</f>
        <v>9365.768128879723</v>
      </c>
      <c r="G50" s="31">
        <f t="shared" si="18"/>
        <v>18034.178694862814</v>
      </c>
      <c r="H50" s="31">
        <f t="shared" si="18"/>
        <v>29802.196468975235</v>
      </c>
      <c r="I50" s="31">
        <f t="shared" si="18"/>
        <v>23990.127466058449</v>
      </c>
      <c r="J50" s="31">
        <f t="shared" si="18"/>
        <v>2665.1963627137739</v>
      </c>
      <c r="K50" s="31">
        <f t="shared" si="18"/>
        <v>2745.1522535951881</v>
      </c>
      <c r="L50" s="31">
        <f t="shared" si="18"/>
        <v>2827.5068212030274</v>
      </c>
      <c r="M50" s="31">
        <f t="shared" si="18"/>
        <v>2912.3320258391323</v>
      </c>
      <c r="N50" s="31">
        <f t="shared" si="18"/>
        <v>2233.0287741545762</v>
      </c>
      <c r="O50" s="1"/>
    </row>
    <row r="51" spans="1:15" x14ac:dyDescent="0.25">
      <c r="A51" s="7" t="s">
        <v>90</v>
      </c>
      <c r="B51" s="24" t="s">
        <v>75</v>
      </c>
      <c r="C51" s="33"/>
      <c r="D51" s="32">
        <v>7127</v>
      </c>
      <c r="E51" s="32">
        <v>5040</v>
      </c>
      <c r="F51" s="32">
        <v>4504</v>
      </c>
      <c r="G51" s="32">
        <v>4187</v>
      </c>
      <c r="H51" s="32">
        <v>4006</v>
      </c>
      <c r="I51" s="32">
        <v>3834</v>
      </c>
      <c r="J51" s="35">
        <f>+I51</f>
        <v>3834</v>
      </c>
      <c r="K51" s="35">
        <f>+J51</f>
        <v>3834</v>
      </c>
      <c r="L51" s="35">
        <f>+K51</f>
        <v>3834</v>
      </c>
      <c r="M51" s="35">
        <f>+L51</f>
        <v>3834</v>
      </c>
      <c r="N51" s="35">
        <f>+M51</f>
        <v>3834</v>
      </c>
      <c r="O51" s="1"/>
    </row>
    <row r="52" spans="1:15" x14ac:dyDescent="0.25">
      <c r="A52" s="7" t="s">
        <v>109</v>
      </c>
      <c r="B52" s="24" t="s">
        <v>45</v>
      </c>
      <c r="C52" s="24"/>
      <c r="D52" s="25">
        <f>+D51*D50-D53</f>
        <v>21006574.782066282</v>
      </c>
      <c r="E52" s="25">
        <f t="shared" ref="E52:N52" si="19">+E51*E50</f>
        <v>31864175.850416351</v>
      </c>
      <c r="F52" s="25">
        <f t="shared" si="19"/>
        <v>42183419.652474269</v>
      </c>
      <c r="G52" s="25">
        <f t="shared" si="19"/>
        <v>75509106.195390597</v>
      </c>
      <c r="H52" s="25">
        <f t="shared" si="19"/>
        <v>119387599.05471478</v>
      </c>
      <c r="I52" s="25">
        <f t="shared" si="19"/>
        <v>91978148.704868093</v>
      </c>
      <c r="J52" s="25">
        <f t="shared" si="19"/>
        <v>10218362.85464461</v>
      </c>
      <c r="K52" s="25">
        <f t="shared" si="19"/>
        <v>10524913.740283951</v>
      </c>
      <c r="L52" s="25">
        <f t="shared" si="19"/>
        <v>10840661.152492408</v>
      </c>
      <c r="M52" s="25">
        <f t="shared" si="19"/>
        <v>11165880.987067234</v>
      </c>
      <c r="N52" s="25">
        <f t="shared" si="19"/>
        <v>8561432.3201086447</v>
      </c>
      <c r="O52" s="72">
        <f>SUM(D52:N52)</f>
        <v>433240275.29452723</v>
      </c>
    </row>
    <row r="53" spans="1:15" x14ac:dyDescent="0.25">
      <c r="A53" s="36" t="s">
        <v>108</v>
      </c>
      <c r="B53" s="37" t="s">
        <v>45</v>
      </c>
      <c r="C53" s="38"/>
      <c r="D53" s="28">
        <f>+D47*D51</f>
        <v>4517542.9638852216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72">
        <f>SUM(D53:N53)</f>
        <v>4517542.9638852216</v>
      </c>
    </row>
    <row r="54" spans="1:15" x14ac:dyDescent="0.25">
      <c r="A54" s="36" t="s">
        <v>186</v>
      </c>
      <c r="B54" s="37" t="s">
        <v>187</v>
      </c>
      <c r="C54" s="38"/>
      <c r="D54" s="28">
        <v>12</v>
      </c>
      <c r="E54" s="23">
        <f>+D54</f>
        <v>12</v>
      </c>
      <c r="F54" s="23">
        <f t="shared" ref="F54:N54" si="20">+E54</f>
        <v>12</v>
      </c>
      <c r="G54" s="23">
        <f t="shared" si="20"/>
        <v>12</v>
      </c>
      <c r="H54" s="23">
        <f t="shared" si="20"/>
        <v>12</v>
      </c>
      <c r="I54" s="23">
        <f t="shared" si="20"/>
        <v>12</v>
      </c>
      <c r="J54" s="23">
        <f t="shared" si="20"/>
        <v>12</v>
      </c>
      <c r="K54" s="23">
        <f t="shared" si="20"/>
        <v>12</v>
      </c>
      <c r="L54" s="23">
        <f t="shared" si="20"/>
        <v>12</v>
      </c>
      <c r="M54" s="23">
        <f t="shared" si="20"/>
        <v>12</v>
      </c>
      <c r="N54" s="23">
        <f t="shared" si="20"/>
        <v>12</v>
      </c>
      <c r="O54" s="1">
        <f>+O53+O52</f>
        <v>437757818.25841248</v>
      </c>
    </row>
    <row r="55" spans="1:15" x14ac:dyDescent="0.25">
      <c r="A55" s="36" t="s">
        <v>92</v>
      </c>
      <c r="B55" s="37" t="s">
        <v>45</v>
      </c>
      <c r="C55" s="28">
        <v>5</v>
      </c>
      <c r="D55" s="23">
        <f>((D53+D52)/$C$55)</f>
        <v>5104823.5491903005</v>
      </c>
      <c r="E55" s="23">
        <f>((E53+E52)/$C$55)+D55</f>
        <v>11477658.719273571</v>
      </c>
      <c r="F55" s="23">
        <f>((F53+F52)/$C$55)+E55</f>
        <v>19914342.649768427</v>
      </c>
      <c r="G55" s="23">
        <f>((G53+G52)/$C$55)+F55</f>
        <v>35016163.888846546</v>
      </c>
      <c r="H55" s="23">
        <f>((H53+H52)/$C$55)+G55</f>
        <v>58893683.699789502</v>
      </c>
      <c r="I55" s="23">
        <f t="shared" ref="I55:N55" si="21">((I53+I52)/$C$55)+H55-SUM(D52:D53)/$C$55</f>
        <v>72184489.891572818</v>
      </c>
      <c r="J55" s="23">
        <f t="shared" si="21"/>
        <v>67855327.292418465</v>
      </c>
      <c r="K55" s="23">
        <f t="shared" si="21"/>
        <v>61523626.109980397</v>
      </c>
      <c r="L55" s="23">
        <f t="shared" si="21"/>
        <v>48589937.101400763</v>
      </c>
      <c r="M55" s="23">
        <f t="shared" si="21"/>
        <v>26945593.487871252</v>
      </c>
      <c r="N55" s="23">
        <f t="shared" si="21"/>
        <v>10262250.210919362</v>
      </c>
      <c r="O55" s="1">
        <f>SUM(C55:N55)</f>
        <v>417767901.60103136</v>
      </c>
    </row>
    <row r="56" spans="1:15" ht="15" x14ac:dyDescent="0.4">
      <c r="A56" s="114" t="s">
        <v>223</v>
      </c>
      <c r="B56" s="115"/>
      <c r="C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8"/>
      <c r="O56" s="1"/>
    </row>
    <row r="57" spans="1:15" x14ac:dyDescent="0.25">
      <c r="A57" s="119" t="str">
        <f>+A20</f>
        <v>Total revenue share</v>
      </c>
      <c r="B57" s="120" t="s">
        <v>45</v>
      </c>
      <c r="C57" s="121"/>
      <c r="D57" s="104">
        <f t="shared" ref="D57:N57" si="22">+D20</f>
        <v>741796.453125</v>
      </c>
      <c r="E57" s="104">
        <f t="shared" si="22"/>
        <v>6869492.1644847514</v>
      </c>
      <c r="F57" s="104">
        <f t="shared" si="22"/>
        <v>17844161.02907807</v>
      </c>
      <c r="G57" s="104">
        <f t="shared" si="22"/>
        <v>35189617.685748935</v>
      </c>
      <c r="H57" s="104">
        <f t="shared" si="22"/>
        <v>70713229.034055218</v>
      </c>
      <c r="I57" s="104">
        <f t="shared" si="22"/>
        <v>118117621.88444689</v>
      </c>
      <c r="J57" s="104">
        <f t="shared" si="22"/>
        <v>147665614.80261427</v>
      </c>
      <c r="K57" s="104">
        <f t="shared" si="22"/>
        <v>146814701.5902946</v>
      </c>
      <c r="L57" s="104">
        <f t="shared" si="22"/>
        <v>150357874.25008228</v>
      </c>
      <c r="M57" s="104">
        <f t="shared" si="22"/>
        <v>154337953.23820558</v>
      </c>
      <c r="N57" s="122">
        <f t="shared" si="22"/>
        <v>158426584.38053188</v>
      </c>
      <c r="O57" s="1"/>
    </row>
    <row r="58" spans="1:15" x14ac:dyDescent="0.25">
      <c r="A58" s="119" t="str">
        <f>+A29</f>
        <v>Electricity cost</v>
      </c>
      <c r="B58" s="120" t="s">
        <v>45</v>
      </c>
      <c r="C58" s="121"/>
      <c r="D58" s="104">
        <f>+D29</f>
        <v>598382.69400000002</v>
      </c>
      <c r="E58" s="104">
        <f t="shared" ref="E58:N58" si="23">+E29</f>
        <v>6465698.5970497699</v>
      </c>
      <c r="F58" s="104">
        <f t="shared" si="23"/>
        <v>16886165.791340847</v>
      </c>
      <c r="G58" s="104">
        <f t="shared" si="23"/>
        <v>33323206.53536639</v>
      </c>
      <c r="H58" s="104">
        <f t="shared" si="23"/>
        <v>67067723.540202715</v>
      </c>
      <c r="I58" s="104">
        <f t="shared" si="23"/>
        <v>112495530.14631507</v>
      </c>
      <c r="J58" s="104">
        <f t="shared" si="23"/>
        <v>141606725.73011386</v>
      </c>
      <c r="K58" s="104">
        <f t="shared" si="23"/>
        <v>141507201.41551429</v>
      </c>
      <c r="L58" s="104">
        <f t="shared" si="23"/>
        <v>146051802.37565592</v>
      </c>
      <c r="M58" s="104">
        <f t="shared" si="23"/>
        <v>151581859.10015813</v>
      </c>
      <c r="N58" s="122">
        <f t="shared" si="23"/>
        <v>158056838.25673866</v>
      </c>
      <c r="O58" s="1"/>
    </row>
    <row r="59" spans="1:15" x14ac:dyDescent="0.25">
      <c r="A59" s="119" t="s">
        <v>110</v>
      </c>
      <c r="B59" s="120" t="s">
        <v>45</v>
      </c>
      <c r="C59" s="121"/>
      <c r="D59" s="104">
        <f t="shared" ref="D59:N59" si="24">SUM(D34:D44)</f>
        <v>912893.99214551679</v>
      </c>
      <c r="E59" s="104">
        <f t="shared" si="24"/>
        <v>9191148.8977791183</v>
      </c>
      <c r="F59" s="104">
        <f t="shared" si="24"/>
        <v>17235673.637846299</v>
      </c>
      <c r="G59" s="104">
        <f t="shared" si="24"/>
        <v>34927817.784013003</v>
      </c>
      <c r="H59" s="104">
        <f t="shared" si="24"/>
        <v>70891304.635066763</v>
      </c>
      <c r="I59" s="104">
        <f t="shared" si="24"/>
        <v>103988135.41874173</v>
      </c>
      <c r="J59" s="104">
        <f t="shared" si="24"/>
        <v>96790283.181884989</v>
      </c>
      <c r="K59" s="104">
        <f t="shared" si="24"/>
        <v>99663991.677341551</v>
      </c>
      <c r="L59" s="104">
        <f t="shared" si="24"/>
        <v>102623911.42766178</v>
      </c>
      <c r="M59" s="104">
        <f t="shared" si="24"/>
        <v>105672628.77049164</v>
      </c>
      <c r="N59" s="122">
        <f t="shared" si="24"/>
        <v>108812807.6336064</v>
      </c>
      <c r="O59" s="1"/>
    </row>
    <row r="60" spans="1:15" ht="15" x14ac:dyDescent="0.4">
      <c r="A60" s="119" t="s">
        <v>91</v>
      </c>
      <c r="B60" s="120" t="s">
        <v>45</v>
      </c>
      <c r="C60" s="121"/>
      <c r="D60" s="123">
        <f>+D55</f>
        <v>5104823.5491903005</v>
      </c>
      <c r="E60" s="123">
        <f t="shared" ref="E60:N60" si="25">+E55</f>
        <v>11477658.719273571</v>
      </c>
      <c r="F60" s="123">
        <f t="shared" si="25"/>
        <v>19914342.649768427</v>
      </c>
      <c r="G60" s="123">
        <f t="shared" si="25"/>
        <v>35016163.888846546</v>
      </c>
      <c r="H60" s="123">
        <f t="shared" si="25"/>
        <v>58893683.699789502</v>
      </c>
      <c r="I60" s="123">
        <f t="shared" si="25"/>
        <v>72184489.891572818</v>
      </c>
      <c r="J60" s="123">
        <f t="shared" si="25"/>
        <v>67855327.292418465</v>
      </c>
      <c r="K60" s="123">
        <f t="shared" si="25"/>
        <v>61523626.109980397</v>
      </c>
      <c r="L60" s="123">
        <f t="shared" si="25"/>
        <v>48589937.101400763</v>
      </c>
      <c r="M60" s="123">
        <f t="shared" si="25"/>
        <v>26945593.487871252</v>
      </c>
      <c r="N60" s="124">
        <f t="shared" si="25"/>
        <v>10262250.210919362</v>
      </c>
      <c r="O60" s="1"/>
    </row>
    <row r="61" spans="1:15" x14ac:dyDescent="0.25">
      <c r="A61" s="125" t="s">
        <v>80</v>
      </c>
      <c r="B61" s="126" t="s">
        <v>45</v>
      </c>
      <c r="C61" s="127"/>
      <c r="D61" s="128">
        <f t="shared" ref="D61:N61" si="26">SUM(D57:D60)</f>
        <v>7357896.6884608176</v>
      </c>
      <c r="E61" s="128">
        <f t="shared" si="26"/>
        <v>34003998.378587216</v>
      </c>
      <c r="F61" s="128">
        <f t="shared" si="26"/>
        <v>71880343.108033642</v>
      </c>
      <c r="G61" s="128">
        <f t="shared" si="26"/>
        <v>138456805.89397487</v>
      </c>
      <c r="H61" s="128">
        <f t="shared" si="26"/>
        <v>267565940.90911421</v>
      </c>
      <c r="I61" s="128">
        <f t="shared" si="26"/>
        <v>406785777.34107649</v>
      </c>
      <c r="J61" s="128">
        <f t="shared" si="26"/>
        <v>453917951.00703162</v>
      </c>
      <c r="K61" s="128">
        <f t="shared" si="26"/>
        <v>449509520.79313082</v>
      </c>
      <c r="L61" s="128">
        <f t="shared" si="26"/>
        <v>447623525.15480077</v>
      </c>
      <c r="M61" s="128">
        <f t="shared" si="26"/>
        <v>438538034.5967266</v>
      </c>
      <c r="N61" s="129">
        <f t="shared" si="26"/>
        <v>435558480.48179638</v>
      </c>
    </row>
    <row r="62" spans="1:15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</sheetData>
  <phoneticPr fontId="0" type="noConversion"/>
  <printOptions horizontalCentered="1"/>
  <pageMargins left="0.25" right="0.25" top="1.19" bottom="1" header="0.5" footer="0.5"/>
  <pageSetup scale="89" orientation="landscape" r:id="rId1"/>
  <headerFooter alignWithMargins="0">
    <oddHeader>&amp;C&amp;"Tw Cen MT Condensed,Bold"XTRANSCO ECONOMIC ANALYSIS
Costs</oddHeader>
    <oddFooter>&amp;C&amp;"Tw Cen MT Condensed,Regular"&amp;P</oddFooter>
  </headerFooter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zoomScaleNormal="100" workbookViewId="0">
      <selection activeCell="D10" sqref="D10"/>
    </sheetView>
  </sheetViews>
  <sheetFormatPr defaultRowHeight="12.75" x14ac:dyDescent="0.25"/>
  <cols>
    <col min="1" max="1" width="31.7109375" style="1" bestFit="1" customWidth="1"/>
    <col min="2" max="2" width="10.28515625" style="76" bestFit="1" customWidth="1"/>
    <col min="3" max="3" width="7.5703125" style="2" bestFit="1" customWidth="1"/>
    <col min="4" max="4" width="7.28515625" style="2" bestFit="1" customWidth="1"/>
    <col min="5" max="5" width="7.42578125" style="2" bestFit="1" customWidth="1"/>
    <col min="6" max="16384" width="9.140625" style="2"/>
  </cols>
  <sheetData>
    <row r="1" spans="1:8" ht="13.5" thickBot="1" x14ac:dyDescent="0.3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8" s="50" customFormat="1" x14ac:dyDescent="0.25">
      <c r="A2" s="91"/>
      <c r="B2" s="92"/>
      <c r="C2" s="93"/>
      <c r="D2" s="93"/>
      <c r="E2" s="93"/>
    </row>
    <row r="3" spans="1:8" x14ac:dyDescent="0.25">
      <c r="A3" s="199" t="s">
        <v>234</v>
      </c>
      <c r="B3" s="199"/>
      <c r="C3" s="199"/>
      <c r="D3" s="199"/>
      <c r="E3" s="199"/>
    </row>
    <row r="4" spans="1:8" x14ac:dyDescent="0.25">
      <c r="A4" s="94" t="s">
        <v>111</v>
      </c>
      <c r="B4" s="95" t="s">
        <v>23</v>
      </c>
      <c r="C4" s="96">
        <v>305</v>
      </c>
      <c r="D4" s="97">
        <f>AVERAGE(C4,E4)</f>
        <v>273</v>
      </c>
      <c r="E4" s="96">
        <v>241</v>
      </c>
    </row>
    <row r="5" spans="1:8" x14ac:dyDescent="0.25">
      <c r="A5" s="7" t="s">
        <v>117</v>
      </c>
      <c r="B5" s="4" t="s">
        <v>25</v>
      </c>
      <c r="C5" s="70">
        <f>24*(1-C6)</f>
        <v>13.333333333333334</v>
      </c>
      <c r="D5" s="12">
        <f t="shared" ref="D5:D11" si="0">AVERAGE(C5,E5)</f>
        <v>13.333333333333334</v>
      </c>
      <c r="E5" s="12">
        <f>C5</f>
        <v>13.333333333333334</v>
      </c>
    </row>
    <row r="6" spans="1:8" x14ac:dyDescent="0.25">
      <c r="A6" s="7" t="s">
        <v>119</v>
      </c>
      <c r="B6" s="4" t="s">
        <v>112</v>
      </c>
      <c r="C6" s="48">
        <f>8/18</f>
        <v>0.44444444444444442</v>
      </c>
      <c r="D6" s="10">
        <f t="shared" si="0"/>
        <v>0.44444444444444442</v>
      </c>
      <c r="E6" s="10">
        <f>C6</f>
        <v>0.44444444444444442</v>
      </c>
    </row>
    <row r="7" spans="1:8" x14ac:dyDescent="0.25">
      <c r="A7" s="7" t="s">
        <v>113</v>
      </c>
      <c r="B7" s="4" t="s">
        <v>35</v>
      </c>
      <c r="C7" s="70">
        <f>24*C6</f>
        <v>10.666666666666666</v>
      </c>
      <c r="D7" s="12">
        <f t="shared" si="0"/>
        <v>10.666666666666666</v>
      </c>
      <c r="E7" s="54">
        <f>24-E5</f>
        <v>10.666666666666666</v>
      </c>
    </row>
    <row r="8" spans="1:8" x14ac:dyDescent="0.25">
      <c r="A8" s="7" t="s">
        <v>114</v>
      </c>
      <c r="B8" s="4" t="s">
        <v>104</v>
      </c>
      <c r="C8" s="10">
        <f>C9/C7</f>
        <v>0.75</v>
      </c>
      <c r="D8" s="10">
        <f t="shared" si="0"/>
        <v>0.65625</v>
      </c>
      <c r="E8" s="10">
        <f>E9/E7</f>
        <v>0.5625</v>
      </c>
    </row>
    <row r="9" spans="1:8" x14ac:dyDescent="0.25">
      <c r="A9" s="7" t="s">
        <v>114</v>
      </c>
      <c r="B9" s="4" t="s">
        <v>35</v>
      </c>
      <c r="C9" s="28">
        <v>8</v>
      </c>
      <c r="D9" s="6">
        <f t="shared" si="0"/>
        <v>7</v>
      </c>
      <c r="E9" s="28">
        <v>6</v>
      </c>
    </row>
    <row r="10" spans="1:8" x14ac:dyDescent="0.25">
      <c r="A10" s="12" t="s">
        <v>120</v>
      </c>
      <c r="B10" s="98" t="s">
        <v>30</v>
      </c>
      <c r="C10" s="70">
        <v>1.3</v>
      </c>
      <c r="D10" s="12">
        <f t="shared" si="0"/>
        <v>1.25</v>
      </c>
      <c r="E10" s="19">
        <v>1.2</v>
      </c>
    </row>
    <row r="11" spans="1:8" x14ac:dyDescent="0.25">
      <c r="A11" s="99" t="s">
        <v>121</v>
      </c>
      <c r="B11" s="100" t="s">
        <v>33</v>
      </c>
      <c r="C11" s="19">
        <v>1</v>
      </c>
      <c r="D11" s="101">
        <f t="shared" si="0"/>
        <v>0.82499999999999996</v>
      </c>
      <c r="E11" s="19">
        <v>0.65</v>
      </c>
    </row>
    <row r="12" spans="1:8" x14ac:dyDescent="0.25">
      <c r="A12" s="80" t="s">
        <v>122</v>
      </c>
      <c r="B12" s="81" t="s">
        <v>36</v>
      </c>
      <c r="C12" s="82">
        <f>C13/C9</f>
        <v>1.3</v>
      </c>
      <c r="D12" s="82">
        <f>D13/D9</f>
        <v>1.03125</v>
      </c>
      <c r="E12" s="82">
        <f>E13/E9</f>
        <v>0.77999999999999992</v>
      </c>
    </row>
    <row r="13" spans="1:8" x14ac:dyDescent="0.25">
      <c r="A13" s="80" t="s">
        <v>122</v>
      </c>
      <c r="B13" s="81" t="s">
        <v>123</v>
      </c>
      <c r="C13" s="82">
        <f>C9*C10*C11</f>
        <v>10.4</v>
      </c>
      <c r="D13" s="82">
        <f>D9*D10*D11</f>
        <v>7.21875</v>
      </c>
      <c r="E13" s="82">
        <f>E9*E10*E11</f>
        <v>4.68</v>
      </c>
    </row>
    <row r="14" spans="1:8" ht="13.5" thickBot="1" x14ac:dyDescent="0.3">
      <c r="A14" s="86" t="s">
        <v>122</v>
      </c>
      <c r="B14" s="87" t="s">
        <v>39</v>
      </c>
      <c r="C14" s="88">
        <f>C11*C10*C9*C4</f>
        <v>3172</v>
      </c>
      <c r="D14" s="88">
        <f>D11*D10*D9*D4</f>
        <v>1970.71875</v>
      </c>
      <c r="E14" s="88">
        <f>E11*E10*E9*E4</f>
        <v>1127.8799999999999</v>
      </c>
      <c r="H14" s="2" t="s">
        <v>235</v>
      </c>
    </row>
    <row r="15" spans="1:8" x14ac:dyDescent="0.25">
      <c r="A15" s="2"/>
      <c r="B15" s="2"/>
    </row>
    <row r="16" spans="1:8" x14ac:dyDescent="0.25">
      <c r="A16" s="199" t="s">
        <v>234</v>
      </c>
      <c r="B16" s="199"/>
      <c r="C16" s="199"/>
      <c r="D16" s="199"/>
      <c r="E16" s="199"/>
    </row>
    <row r="17" spans="1:8" x14ac:dyDescent="0.25">
      <c r="A17" s="94" t="s">
        <v>131</v>
      </c>
      <c r="B17" s="95" t="s">
        <v>23</v>
      </c>
      <c r="C17" s="167">
        <v>0.3</v>
      </c>
      <c r="D17" s="168">
        <f>AVERAGE(C17,E17)</f>
        <v>0.3</v>
      </c>
      <c r="E17" s="167">
        <v>0.3</v>
      </c>
    </row>
    <row r="18" spans="1:8" x14ac:dyDescent="0.25">
      <c r="A18" s="12" t="s">
        <v>120</v>
      </c>
      <c r="B18" s="98" t="s">
        <v>30</v>
      </c>
      <c r="C18" s="12">
        <f>+C10</f>
        <v>1.3</v>
      </c>
      <c r="D18" s="12">
        <f>+D10</f>
        <v>1.25</v>
      </c>
      <c r="E18" s="12">
        <f>+E10</f>
        <v>1.2</v>
      </c>
    </row>
    <row r="19" spans="1:8" x14ac:dyDescent="0.25">
      <c r="A19" s="99" t="s">
        <v>121</v>
      </c>
      <c r="B19" s="100" t="s">
        <v>33</v>
      </c>
      <c r="C19" s="19">
        <v>0.5</v>
      </c>
      <c r="D19" s="101">
        <f>AVERAGE(C19,E19)</f>
        <v>0.5</v>
      </c>
      <c r="E19" s="19">
        <v>0.5</v>
      </c>
    </row>
    <row r="20" spans="1:8" x14ac:dyDescent="0.25">
      <c r="A20" s="80" t="s">
        <v>122</v>
      </c>
      <c r="B20" s="81" t="s">
        <v>36</v>
      </c>
      <c r="C20" s="82">
        <f>+C19*C18</f>
        <v>0.65</v>
      </c>
      <c r="D20" s="82">
        <f>+D19*D18</f>
        <v>0.625</v>
      </c>
      <c r="E20" s="82">
        <f>+E19*E18</f>
        <v>0.6</v>
      </c>
    </row>
    <row r="21" spans="1:8" x14ac:dyDescent="0.25">
      <c r="A21" s="80" t="s">
        <v>122</v>
      </c>
      <c r="B21" s="81" t="s">
        <v>123</v>
      </c>
      <c r="C21" s="82">
        <f>+C19*C18*C9</f>
        <v>5.2</v>
      </c>
      <c r="D21" s="82">
        <f>+D19*D18*D9</f>
        <v>4.375</v>
      </c>
      <c r="E21" s="82">
        <f>+E19*E18*E9</f>
        <v>3.5999999999999996</v>
      </c>
    </row>
    <row r="22" spans="1:8" ht="13.5" thickBot="1" x14ac:dyDescent="0.3">
      <c r="A22" s="86" t="s">
        <v>122</v>
      </c>
      <c r="B22" s="87" t="s">
        <v>39</v>
      </c>
      <c r="C22" s="88">
        <f>+C21*C4</f>
        <v>1586</v>
      </c>
      <c r="D22" s="88">
        <f>+D21*D4</f>
        <v>1194.375</v>
      </c>
      <c r="E22" s="88">
        <f>+E21*E4</f>
        <v>867.59999999999991</v>
      </c>
    </row>
    <row r="23" spans="1:8" x14ac:dyDescent="0.25">
      <c r="A23" s="2"/>
      <c r="B23" s="2"/>
      <c r="H23" s="134"/>
    </row>
    <row r="24" spans="1:8" x14ac:dyDescent="0.25">
      <c r="A24" s="199" t="s">
        <v>188</v>
      </c>
      <c r="B24" s="199"/>
      <c r="C24" s="199"/>
      <c r="D24" s="199"/>
      <c r="E24" s="199"/>
    </row>
    <row r="25" spans="1:8" x14ac:dyDescent="0.25">
      <c r="A25" s="94" t="s">
        <v>124</v>
      </c>
      <c r="B25" s="95" t="s">
        <v>125</v>
      </c>
      <c r="C25" s="111">
        <v>7</v>
      </c>
      <c r="D25" s="112">
        <f>AVERAGE(C25,E25)</f>
        <v>7</v>
      </c>
      <c r="E25" s="112">
        <f>C25</f>
        <v>7</v>
      </c>
    </row>
    <row r="26" spans="1:8" x14ac:dyDescent="0.25">
      <c r="A26" s="99" t="s">
        <v>126</v>
      </c>
      <c r="B26" s="100" t="s">
        <v>127</v>
      </c>
      <c r="C26" s="102">
        <v>0.1</v>
      </c>
      <c r="D26" s="101">
        <f>AVERAGE(C26,E26)</f>
        <v>8.7499999999999994E-2</v>
      </c>
      <c r="E26" s="102">
        <v>7.4999999999999997E-2</v>
      </c>
    </row>
    <row r="27" spans="1:8" x14ac:dyDescent="0.25">
      <c r="A27" s="80" t="s">
        <v>128</v>
      </c>
      <c r="B27" s="81" t="s">
        <v>36</v>
      </c>
      <c r="C27" s="82">
        <f>C28/C9</f>
        <v>0.70000000000000007</v>
      </c>
      <c r="D27" s="82">
        <f>D28/D9</f>
        <v>0.61249999999999993</v>
      </c>
      <c r="E27" s="82">
        <f>E28/E9</f>
        <v>0.52500000000000002</v>
      </c>
    </row>
    <row r="28" spans="1:8" x14ac:dyDescent="0.25">
      <c r="A28" s="80" t="s">
        <v>128</v>
      </c>
      <c r="B28" s="81" t="s">
        <v>123</v>
      </c>
      <c r="C28" s="82">
        <f>C26*C25*C9</f>
        <v>5.6000000000000005</v>
      </c>
      <c r="D28" s="82">
        <f>D26*D25*D9</f>
        <v>4.2874999999999996</v>
      </c>
      <c r="E28" s="82">
        <f>E26*E25*E9</f>
        <v>3.1500000000000004</v>
      </c>
    </row>
    <row r="29" spans="1:8" ht="13.5" thickBot="1" x14ac:dyDescent="0.3">
      <c r="A29" s="86" t="s">
        <v>129</v>
      </c>
      <c r="B29" s="87" t="s">
        <v>39</v>
      </c>
      <c r="C29" s="88">
        <f>C28*C4</f>
        <v>1708.0000000000002</v>
      </c>
      <c r="D29" s="88">
        <f>D28*D4</f>
        <v>1170.4875</v>
      </c>
      <c r="E29" s="88">
        <f>E28*E4</f>
        <v>759.15000000000009</v>
      </c>
    </row>
    <row r="30" spans="1:8" x14ac:dyDescent="0.25">
      <c r="A30" s="2"/>
      <c r="B30" s="2"/>
      <c r="D30" s="170"/>
    </row>
    <row r="31" spans="1:8" ht="15" customHeight="1" x14ac:dyDescent="0.25">
      <c r="A31" s="200" t="s">
        <v>236</v>
      </c>
      <c r="B31" s="200"/>
      <c r="C31" s="200"/>
      <c r="D31" s="200"/>
      <c r="E31" s="200"/>
    </row>
    <row r="32" spans="1:8" x14ac:dyDescent="0.25">
      <c r="A32" s="77" t="s">
        <v>130</v>
      </c>
      <c r="B32" s="78" t="s">
        <v>36</v>
      </c>
      <c r="C32" s="169">
        <f>+C27+C20*C17+C12</f>
        <v>2.1950000000000003</v>
      </c>
      <c r="D32" s="169">
        <f>+D27+D20*D17+D12</f>
        <v>1.8312499999999998</v>
      </c>
      <c r="E32" s="169">
        <f>+E27+E20*E17+E12</f>
        <v>1.4849999999999999</v>
      </c>
    </row>
    <row r="33" spans="1:5" x14ac:dyDescent="0.25">
      <c r="A33" s="77" t="s">
        <v>130</v>
      </c>
      <c r="B33" s="78" t="s">
        <v>123</v>
      </c>
      <c r="C33" s="79">
        <f>+C28+C13+C21*C17</f>
        <v>17.559999999999999</v>
      </c>
      <c r="D33" s="79">
        <f>+D28+D13+D21*D17</f>
        <v>12.81875</v>
      </c>
      <c r="E33" s="79">
        <f>+E28+E13+E21*E17</f>
        <v>8.91</v>
      </c>
    </row>
    <row r="34" spans="1:5" ht="13.5" thickBot="1" x14ac:dyDescent="0.3">
      <c r="A34" s="89" t="s">
        <v>130</v>
      </c>
      <c r="B34" s="56" t="s">
        <v>39</v>
      </c>
      <c r="C34" s="90">
        <f>+C29+C22*C17+C14</f>
        <v>5355.8</v>
      </c>
      <c r="D34" s="90">
        <f>+D29+D22*D17+D14</f>
        <v>3499.5187500000002</v>
      </c>
      <c r="E34" s="90">
        <f>+E29+E22*E17+E14</f>
        <v>2147.31</v>
      </c>
    </row>
  </sheetData>
  <mergeCells count="4">
    <mergeCell ref="A3:E3"/>
    <mergeCell ref="A24:E24"/>
    <mergeCell ref="A31:E31"/>
    <mergeCell ref="A16:E16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Basic Calculations</oddHeader>
    <oddFooter>&amp;C&amp;"Tw Cen MT Condensed,Regular"&amp;P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A33" sqref="A33"/>
    </sheetView>
  </sheetViews>
  <sheetFormatPr defaultRowHeight="12.75" x14ac:dyDescent="0.25"/>
  <cols>
    <col min="1" max="1" width="42.140625" style="1" bestFit="1" customWidth="1"/>
    <col min="2" max="2" width="9.28515625" style="76" bestFit="1" customWidth="1"/>
    <col min="3" max="3" width="10.28515625" style="2" bestFit="1" customWidth="1"/>
    <col min="4" max="4" width="9.85546875" style="2" bestFit="1" customWidth="1"/>
    <col min="5" max="5" width="8.5703125" style="2" bestFit="1" customWidth="1"/>
    <col min="6" max="16384" width="9.140625" style="2"/>
  </cols>
  <sheetData>
    <row r="1" spans="1:7" ht="13.5" thickBot="1" x14ac:dyDescent="0.3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7" s="50" customFormat="1" x14ac:dyDescent="0.25">
      <c r="A2" s="91"/>
      <c r="B2" s="92"/>
      <c r="C2" s="93"/>
      <c r="D2" s="93"/>
      <c r="E2" s="93"/>
    </row>
    <row r="3" spans="1:7" x14ac:dyDescent="0.25">
      <c r="A3" s="199" t="s">
        <v>191</v>
      </c>
      <c r="B3" s="199"/>
      <c r="C3" s="199"/>
      <c r="D3" s="199"/>
      <c r="E3" s="199"/>
    </row>
    <row r="4" spans="1:7" x14ac:dyDescent="0.25">
      <c r="A4" s="94" t="s">
        <v>200</v>
      </c>
      <c r="B4" s="95" t="s">
        <v>4</v>
      </c>
      <c r="C4" s="96">
        <v>120</v>
      </c>
      <c r="D4" s="97">
        <f>+C4</f>
        <v>120</v>
      </c>
      <c r="E4" s="97">
        <f>+D4</f>
        <v>120</v>
      </c>
    </row>
    <row r="5" spans="1:7" x14ac:dyDescent="0.25">
      <c r="A5" s="7" t="s">
        <v>201</v>
      </c>
      <c r="B5" s="4" t="s">
        <v>4</v>
      </c>
      <c r="C5" s="6">
        <f>+C6/C4</f>
        <v>1842.7583333333334</v>
      </c>
      <c r="D5" s="6">
        <f>+D6/D4</f>
        <v>1438.3583333333333</v>
      </c>
      <c r="E5" s="6">
        <f>+E6/E4</f>
        <v>1033.9583333333333</v>
      </c>
    </row>
    <row r="6" spans="1:7" x14ac:dyDescent="0.25">
      <c r="A6" s="7" t="s">
        <v>202</v>
      </c>
      <c r="B6" s="4" t="s">
        <v>4</v>
      </c>
      <c r="C6" s="28">
        <f>367066-145935</f>
        <v>221131</v>
      </c>
      <c r="D6" s="6">
        <f>AVERAGE(C6,E6)</f>
        <v>172603</v>
      </c>
      <c r="E6" s="28">
        <v>124075</v>
      </c>
    </row>
    <row r="7" spans="1:7" x14ac:dyDescent="0.25">
      <c r="A7" s="133" t="s">
        <v>192</v>
      </c>
      <c r="B7" s="95" t="s">
        <v>193</v>
      </c>
      <c r="C7" s="96">
        <f>MAX(Revenue!D12:N12)</f>
        <v>209650.95517768306</v>
      </c>
      <c r="D7" s="97">
        <f>AVERAGE(C7,E7)</f>
        <v>105475.47758884153</v>
      </c>
      <c r="E7" s="96">
        <f>MIN(Revenue!D12:N12)</f>
        <v>1300</v>
      </c>
    </row>
    <row r="8" spans="1:7" x14ac:dyDescent="0.25">
      <c r="A8" s="7" t="s">
        <v>207</v>
      </c>
      <c r="B8" s="4" t="s">
        <v>205</v>
      </c>
      <c r="C8" s="6">
        <f>+'Basic Calculations'!C4</f>
        <v>305</v>
      </c>
      <c r="D8" s="6">
        <f>+'Basic Calculations'!D4</f>
        <v>273</v>
      </c>
      <c r="E8" s="6">
        <f>+'Basic Calculations'!E4</f>
        <v>241</v>
      </c>
    </row>
    <row r="9" spans="1:7" x14ac:dyDescent="0.25">
      <c r="A9" s="7" t="s">
        <v>207</v>
      </c>
      <c r="B9" s="4" t="s">
        <v>104</v>
      </c>
      <c r="C9" s="10">
        <f>+C8/365</f>
        <v>0.83561643835616439</v>
      </c>
      <c r="D9" s="10">
        <f>+D8/365</f>
        <v>0.74794520547945209</v>
      </c>
      <c r="E9" s="10">
        <f>+E8/365</f>
        <v>0.66027397260273968</v>
      </c>
    </row>
    <row r="10" spans="1:7" x14ac:dyDescent="0.25">
      <c r="A10" s="7" t="s">
        <v>197</v>
      </c>
      <c r="B10" s="24" t="str">
        <f>'Basic Calculations'!B7</f>
        <v>Hours</v>
      </c>
      <c r="C10" s="106">
        <f>'Basic Calculations'!C7</f>
        <v>10.666666666666666</v>
      </c>
      <c r="D10" s="103">
        <f>'Basic Calculations'!D7</f>
        <v>10.666666666666666</v>
      </c>
      <c r="E10" s="103">
        <f>'Basic Calculations'!E7</f>
        <v>10.666666666666666</v>
      </c>
    </row>
    <row r="11" spans="1:7" x14ac:dyDescent="0.25">
      <c r="A11" s="7" t="s">
        <v>227</v>
      </c>
      <c r="B11" s="24" t="s">
        <v>104</v>
      </c>
      <c r="C11" s="132">
        <v>0.73</v>
      </c>
      <c r="D11" s="135">
        <f>+C11</f>
        <v>0.73</v>
      </c>
      <c r="E11" s="135">
        <f>+D11</f>
        <v>0.73</v>
      </c>
    </row>
    <row r="12" spans="1:7" ht="12" customHeight="1" x14ac:dyDescent="0.25">
      <c r="A12" s="7" t="s">
        <v>226</v>
      </c>
      <c r="B12" s="4" t="s">
        <v>104</v>
      </c>
      <c r="C12" s="48">
        <f>((1+C11)^(1/365)-1)*C8</f>
        <v>0.45836333570840382</v>
      </c>
      <c r="D12" s="48">
        <f>((1+D11)^(1/365)-1)*D8</f>
        <v>0.41027275622424342</v>
      </c>
      <c r="E12" s="48">
        <f>((1+E11)^(1/365)-1)*E8</f>
        <v>0.36218217674008302</v>
      </c>
      <c r="F12" s="134"/>
    </row>
    <row r="13" spans="1:7" x14ac:dyDescent="0.25">
      <c r="A13" s="7" t="s">
        <v>225</v>
      </c>
      <c r="B13" s="4" t="s">
        <v>4</v>
      </c>
      <c r="C13" s="70">
        <f>2.25*(1-C12)</f>
        <v>1.2186824946560915</v>
      </c>
      <c r="D13" s="70">
        <f>2.25*(1-D12)</f>
        <v>1.3268862984954524</v>
      </c>
      <c r="E13" s="70">
        <f>2.25*(1-E12)</f>
        <v>1.4350901023348133</v>
      </c>
      <c r="G13" s="134"/>
    </row>
    <row r="14" spans="1:7" x14ac:dyDescent="0.25">
      <c r="A14" s="145" t="s">
        <v>194</v>
      </c>
      <c r="B14" s="146" t="s">
        <v>4</v>
      </c>
      <c r="C14" s="147">
        <f>(C7*C9)/C13</f>
        <v>143751.78541723522</v>
      </c>
      <c r="D14" s="147">
        <f>(D7*D9)/D13</f>
        <v>59454.889124774396</v>
      </c>
      <c r="E14" s="147">
        <f>(E7*E9)/E13</f>
        <v>598.12005043241743</v>
      </c>
    </row>
    <row r="15" spans="1:7" x14ac:dyDescent="0.25">
      <c r="A15" s="12" t="s">
        <v>203</v>
      </c>
      <c r="B15" s="98" t="s">
        <v>104</v>
      </c>
      <c r="C15" s="29">
        <v>0.94</v>
      </c>
      <c r="D15" s="10">
        <f>AVERAGE(C15,E15)</f>
        <v>0.86499999999999999</v>
      </c>
      <c r="E15" s="29">
        <v>0.79</v>
      </c>
    </row>
    <row r="16" spans="1:7" x14ac:dyDescent="0.25">
      <c r="A16" s="136" t="s">
        <v>195</v>
      </c>
      <c r="B16" s="137" t="s">
        <v>4</v>
      </c>
      <c r="C16" s="138">
        <f>+C14*C15</f>
        <v>135126.6782922011</v>
      </c>
      <c r="D16" s="138">
        <f>+D14*D15</f>
        <v>51428.479092929854</v>
      </c>
      <c r="E16" s="138">
        <f>+E14*E15</f>
        <v>472.51483984160978</v>
      </c>
    </row>
    <row r="17" spans="1:5" x14ac:dyDescent="0.25">
      <c r="A17" s="142" t="s">
        <v>199</v>
      </c>
      <c r="B17" s="143" t="s">
        <v>4</v>
      </c>
      <c r="C17" s="107">
        <f>+C4</f>
        <v>120</v>
      </c>
      <c r="D17" s="144">
        <f>AVERAGE(C17,E17)</f>
        <v>72.5</v>
      </c>
      <c r="E17" s="107">
        <v>25</v>
      </c>
    </row>
    <row r="18" spans="1:5" x14ac:dyDescent="0.25">
      <c r="A18" s="139" t="s">
        <v>198</v>
      </c>
      <c r="B18" s="140" t="s">
        <v>4</v>
      </c>
      <c r="C18" s="141">
        <f>+C16/C17</f>
        <v>1126.0556524350093</v>
      </c>
      <c r="D18" s="141">
        <f>+D16/D17</f>
        <v>709.35833231627385</v>
      </c>
      <c r="E18" s="141">
        <f>+E16/E17</f>
        <v>18.900593593664393</v>
      </c>
    </row>
    <row r="19" spans="1:5" x14ac:dyDescent="0.25">
      <c r="A19" s="7" t="s">
        <v>209</v>
      </c>
      <c r="B19" s="4" t="s">
        <v>104</v>
      </c>
      <c r="C19" s="10">
        <f>+C18/C5</f>
        <v>0.61107071506121302</v>
      </c>
      <c r="D19" s="10">
        <f>+D18/D5</f>
        <v>0.49317219212848479</v>
      </c>
      <c r="E19" s="105">
        <f>+E18/E5</f>
        <v>1.8279840670882348E-2</v>
      </c>
    </row>
    <row r="20" spans="1:5" x14ac:dyDescent="0.25">
      <c r="A20" s="7" t="s">
        <v>210</v>
      </c>
      <c r="B20" s="4" t="s">
        <v>104</v>
      </c>
      <c r="C20" s="10">
        <f>+C16/C6</f>
        <v>0.61107071506121302</v>
      </c>
      <c r="D20" s="10">
        <f>+D16/D6</f>
        <v>0.29795819941095958</v>
      </c>
      <c r="E20" s="10">
        <f>+E16/E6</f>
        <v>3.808300139767155E-3</v>
      </c>
    </row>
    <row r="21" spans="1:5" x14ac:dyDescent="0.25">
      <c r="A21" s="148" t="s">
        <v>196</v>
      </c>
      <c r="B21" s="149" t="s">
        <v>27</v>
      </c>
      <c r="C21" s="150">
        <f>+C16*365*24</f>
        <v>1183709701.8396816</v>
      </c>
      <c r="D21" s="150">
        <f>+D16*365*24</f>
        <v>450513476.85406554</v>
      </c>
      <c r="E21" s="150">
        <f>+E16*365*24</f>
        <v>4139229.9970125016</v>
      </c>
    </row>
    <row r="22" spans="1:5" x14ac:dyDescent="0.25">
      <c r="A22" s="151" t="s">
        <v>230</v>
      </c>
      <c r="B22" s="152" t="s">
        <v>104</v>
      </c>
      <c r="C22" s="153">
        <f>C7*C10*C8/C21</f>
        <v>0.57620921733148533</v>
      </c>
      <c r="D22" s="153">
        <f>D7*D10*D8/D21</f>
        <v>0.6817655997407589</v>
      </c>
      <c r="E22" s="153">
        <f>E7*E10*E8/E21</f>
        <v>0.80736433324040124</v>
      </c>
    </row>
    <row r="23" spans="1:5" x14ac:dyDescent="0.25">
      <c r="A23" s="161" t="s">
        <v>206</v>
      </c>
      <c r="B23" s="162" t="s">
        <v>35</v>
      </c>
      <c r="C23" s="163">
        <f>+'Basic Calculations'!C9</f>
        <v>8</v>
      </c>
      <c r="D23" s="163">
        <f>+'Basic Calculations'!D9</f>
        <v>7</v>
      </c>
      <c r="E23" s="163">
        <f>+'Basic Calculations'!E9</f>
        <v>6</v>
      </c>
    </row>
    <row r="24" spans="1:5" x14ac:dyDescent="0.25">
      <c r="A24" s="164" t="s">
        <v>204</v>
      </c>
      <c r="B24" s="165" t="s">
        <v>104</v>
      </c>
      <c r="C24" s="166">
        <f>+C7*C23*C8/C21</f>
        <v>0.43215691299861403</v>
      </c>
      <c r="D24" s="166">
        <f>+D7*D23*D8/D21</f>
        <v>0.44740867482987312</v>
      </c>
      <c r="E24" s="166">
        <f>+E7*E23*E8/E21</f>
        <v>0.45414243744772576</v>
      </c>
    </row>
    <row r="25" spans="1:5" x14ac:dyDescent="0.25">
      <c r="A25" s="108" t="s">
        <v>208</v>
      </c>
      <c r="B25" s="109" t="s">
        <v>4</v>
      </c>
      <c r="C25" s="110">
        <f>+C16/C7</f>
        <v>0.64453166062457834</v>
      </c>
      <c r="D25" s="110">
        <f>+D16/D7</f>
        <v>0.48758707017573705</v>
      </c>
      <c r="E25" s="110">
        <f>+E16/E7</f>
        <v>0.36347295372431521</v>
      </c>
    </row>
  </sheetData>
  <mergeCells count="1">
    <mergeCell ref="A3:E3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Capacity Calculations</oddHeader>
    <oddFooter>&amp;C&amp;"Tw Cen MT Condensed,Regular"&amp;P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BS</vt:lpstr>
      <vt:lpstr>CF</vt:lpstr>
      <vt:lpstr>Revenue</vt:lpstr>
      <vt:lpstr>Costs</vt:lpstr>
      <vt:lpstr>Basic Calculations</vt:lpstr>
      <vt:lpstr>Capacity</vt:lpstr>
      <vt:lpstr>'Basic Calculations'!Print_Area</vt:lpstr>
      <vt:lpstr>BS!Print_Area</vt:lpstr>
      <vt:lpstr>Capacity!Print_Area</vt:lpstr>
      <vt:lpstr>CF!Print_Area</vt:lpstr>
      <vt:lpstr>Costs!Print_Area</vt:lpstr>
      <vt:lpstr>Revenue!Print_Area</vt:lpstr>
      <vt:lpstr>Units_in_Service_Yr_0</vt:lpstr>
      <vt:lpstr>Units_in_Service_Yr_1</vt:lpstr>
      <vt:lpstr>Units_in_Service_Yr_2</vt:lpstr>
      <vt:lpstr>Units_in_Service_Yr_3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Finger</dc:creator>
  <cp:lastModifiedBy>Felienne</cp:lastModifiedBy>
  <cp:lastPrinted>2001-09-20T01:33:03Z</cp:lastPrinted>
  <dcterms:created xsi:type="dcterms:W3CDTF">2001-08-31T19:01:24Z</dcterms:created>
  <dcterms:modified xsi:type="dcterms:W3CDTF">2014-09-03T13:36:25Z</dcterms:modified>
</cp:coreProperties>
</file>