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25" firstSheet="2" activeTab="2"/>
  </bookViews>
  <sheets>
    <sheet name="Notes" sheetId="23" r:id="rId1"/>
    <sheet name="Tracking Sheet" sheetId="16" r:id="rId2"/>
    <sheet name="Assumptions" sheetId="2" r:id="rId3"/>
    <sheet name="Comp Costs" sheetId="31" r:id="rId4"/>
    <sheet name="Cost Details" sheetId="28" r:id="rId5"/>
    <sheet name="Price_Technical Assumption" sheetId="3" r:id="rId6"/>
    <sheet name="Fuel Oil Curve" sheetId="27" r:id="rId7"/>
    <sheet name="IS" sheetId="4" r:id="rId8"/>
    <sheet name="BS (2)" sheetId="32" r:id="rId9"/>
    <sheet name="CF &amp; Returns" sheetId="25" r:id="rId10"/>
    <sheet name="Revised Debt" sheetId="30" r:id="rId11"/>
    <sheet name="BS" sheetId="19" state="hidden" r:id="rId12"/>
    <sheet name="Debt" sheetId="6" state="hidden" r:id="rId13"/>
    <sheet name="Depreciation" sheetId="7" r:id="rId14"/>
    <sheet name="Taxes" sheetId="8" r:id="rId15"/>
    <sheet name="IDC" sheetId="1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nnualHours">Assumptions!#REF!</definedName>
    <definedName name="Begin_Op">[3]Sum!$N$7</definedName>
    <definedName name="BS">'BS (2)'!$A$1:$S$38</definedName>
    <definedName name="chillers">[4]PROJECTCONFIGURATION!$M$65</definedName>
    <definedName name="Deg_Rate">Assumptions!$E$12</definedName>
    <definedName name="Equity_Copy">'BS (2)'!$C$35:$S$35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idc">#REF!</definedName>
    <definedName name="ISO_MW">Assumptions!$H$10</definedName>
    <definedName name="Loan_Copy">'BS (2)'!$C$28:$S$28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rincipal">'[2]Debt Amortization'!#REF!</definedName>
    <definedName name="_xlnm.Print_Area" localSheetId="2">Assumptions!$A$3:$P$84</definedName>
    <definedName name="_xlnm.Print_Area" localSheetId="11">BS!$A$2:$AH$9</definedName>
    <definedName name="_xlnm.Print_Area" localSheetId="9">'CF &amp; Returns'!$A$1:$N$75</definedName>
    <definedName name="_xlnm.Print_Area" localSheetId="3">'Comp Costs'!$C$1:$J$39</definedName>
    <definedName name="_xlnm.Print_Area" localSheetId="12">Debt!$A$2:$AF$69</definedName>
    <definedName name="_xlnm.Print_Area" localSheetId="13">Depreciation!$A$2:$AH$50</definedName>
    <definedName name="_xlnm.Print_Area" localSheetId="15">IDC!$A$2:$L$59</definedName>
    <definedName name="_xlnm.Print_Area" localSheetId="7">IS!$A$2:$Q$45</definedName>
    <definedName name="_xlnm.Print_Area" localSheetId="14">Taxes!$A$2:$AF$41</definedName>
    <definedName name="_xlnm.Print_Titles" localSheetId="11">BS!$A:$A</definedName>
    <definedName name="_xlnm.Print_Titles" localSheetId="9">'CF &amp; Returns'!$A:$A</definedName>
    <definedName name="_xlnm.Print_Titles" localSheetId="12">Debt!$A:$A</definedName>
    <definedName name="_xlnm.Print_Titles" localSheetId="13">Depreciation!$A:$A</definedName>
    <definedName name="_xlnm.Print_Titles" localSheetId="7">IS!$A:$A</definedName>
    <definedName name="_xlnm.Print_Titles" localSheetId="5">'Price_Technical Assumption'!$A:$B</definedName>
    <definedName name="_xlnm.Print_Titles" localSheetId="14">Taxes!$A:$A</definedName>
    <definedName name="SALARY">#REF!</definedName>
    <definedName name="StartMWh">'[2]Project Assumptions'!#REF!</definedName>
    <definedName name="Variable">Assumptions!#REF!</definedName>
    <definedName name="WaterTreatmentVar">Assumptions!#REF!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U14" i="2" l="1"/>
  <c r="V14" i="2"/>
  <c r="W14" i="2"/>
  <c r="X14" i="2"/>
  <c r="Y14" i="2"/>
  <c r="AB14" i="2"/>
  <c r="N17" i="2"/>
  <c r="C20" i="2"/>
  <c r="C22" i="2"/>
  <c r="N26" i="2"/>
  <c r="C27" i="2"/>
  <c r="C28" i="2"/>
  <c r="C29" i="2"/>
  <c r="G32" i="2"/>
  <c r="C33" i="2"/>
  <c r="G33" i="2"/>
  <c r="H35" i="2"/>
  <c r="H37" i="2"/>
  <c r="H39" i="2" s="1"/>
  <c r="C38" i="2"/>
  <c r="D38" i="2" s="1"/>
  <c r="H38" i="2"/>
  <c r="G39" i="2"/>
  <c r="C40" i="2"/>
  <c r="G48" i="2"/>
  <c r="C49" i="2"/>
  <c r="C51" i="2"/>
  <c r="H57" i="2"/>
  <c r="C58" i="2"/>
  <c r="H60" i="2"/>
  <c r="H66" i="2"/>
  <c r="H68" i="2" s="1"/>
  <c r="A72" i="2"/>
  <c r="A73" i="2"/>
  <c r="A2" i="19"/>
  <c r="D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A1" i="32"/>
  <c r="T3" i="32"/>
  <c r="U3" i="32" s="1"/>
  <c r="V3" i="32" s="1"/>
  <c r="W3" i="32" s="1"/>
  <c r="X3" i="32"/>
  <c r="Y3" i="32" s="1"/>
  <c r="Z3" i="32" s="1"/>
  <c r="AA3" i="32" s="1"/>
  <c r="AB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A2" i="25"/>
  <c r="C8" i="25"/>
  <c r="C14" i="25"/>
  <c r="C19" i="25"/>
  <c r="C28" i="25"/>
  <c r="C38" i="25"/>
  <c r="A42" i="25"/>
  <c r="C44" i="25"/>
  <c r="A50" i="25"/>
  <c r="C52" i="25"/>
  <c r="A58" i="25"/>
  <c r="A67" i="25"/>
  <c r="C69" i="25"/>
  <c r="AH70" i="25"/>
  <c r="X70" i="25" s="1"/>
  <c r="C87" i="25"/>
  <c r="D17" i="31"/>
  <c r="D24" i="31" s="1"/>
  <c r="D26" i="31" s="1"/>
  <c r="I17" i="31"/>
  <c r="I24" i="31" s="1"/>
  <c r="I27" i="31" s="1"/>
  <c r="D27" i="31"/>
  <c r="D4" i="28"/>
  <c r="D5" i="28"/>
  <c r="D12" i="28"/>
  <c r="C23" i="2" s="1"/>
  <c r="D21" i="28"/>
  <c r="C24" i="2" s="1"/>
  <c r="D34" i="28"/>
  <c r="D67" i="28"/>
  <c r="C25" i="2" s="1"/>
  <c r="D86" i="28"/>
  <c r="C26" i="2" s="1"/>
  <c r="D94" i="28"/>
  <c r="C31" i="2" s="1"/>
  <c r="D108" i="28"/>
  <c r="C30" i="2" s="1"/>
  <c r="D111" i="28"/>
  <c r="D115" i="28" s="1"/>
  <c r="D119" i="28"/>
  <c r="D121" i="28" s="1"/>
  <c r="A2" i="6"/>
  <c r="B8" i="6"/>
  <c r="C8" i="6"/>
  <c r="D8" i="6"/>
  <c r="D41" i="6" s="1"/>
  <c r="E8" i="6"/>
  <c r="E41" i="6" s="1"/>
  <c r="F8" i="6"/>
  <c r="G8" i="6"/>
  <c r="H8" i="6"/>
  <c r="H41" i="6" s="1"/>
  <c r="I8" i="6"/>
  <c r="J8" i="6"/>
  <c r="K8" i="6"/>
  <c r="L8" i="6"/>
  <c r="L41" i="6" s="1"/>
  <c r="M8" i="6"/>
  <c r="N8" i="6"/>
  <c r="O8" i="6"/>
  <c r="P8" i="6"/>
  <c r="P41" i="6" s="1"/>
  <c r="Q8" i="6"/>
  <c r="R8" i="6"/>
  <c r="S8" i="6"/>
  <c r="T8" i="6"/>
  <c r="T41" i="6" s="1"/>
  <c r="U8" i="6"/>
  <c r="U41" i="6" s="1"/>
  <c r="V8" i="6"/>
  <c r="W8" i="6"/>
  <c r="X8" i="6"/>
  <c r="X41" i="6" s="1"/>
  <c r="Y8" i="6"/>
  <c r="Z8" i="6"/>
  <c r="AA8" i="6"/>
  <c r="AB8" i="6"/>
  <c r="AB41" i="6" s="1"/>
  <c r="AC8" i="6"/>
  <c r="AC41" i="6" s="1"/>
  <c r="AD8" i="6"/>
  <c r="AE8" i="6"/>
  <c r="AF8" i="6"/>
  <c r="AF41" i="6" s="1"/>
  <c r="AN11" i="6"/>
  <c r="AN12" i="6" s="1"/>
  <c r="B41" i="6"/>
  <c r="C41" i="6"/>
  <c r="F41" i="6"/>
  <c r="G41" i="6"/>
  <c r="I41" i="6"/>
  <c r="J41" i="6"/>
  <c r="K41" i="6"/>
  <c r="M41" i="6"/>
  <c r="N41" i="6"/>
  <c r="O41" i="6"/>
  <c r="Q41" i="6"/>
  <c r="R41" i="6"/>
  <c r="S41" i="6"/>
  <c r="V41" i="6"/>
  <c r="W41" i="6"/>
  <c r="Y41" i="6"/>
  <c r="Z41" i="6"/>
  <c r="AA41" i="6"/>
  <c r="AD41" i="6"/>
  <c r="AE41" i="6"/>
  <c r="E62" i="6"/>
  <c r="E63" i="6"/>
  <c r="E64" i="6"/>
  <c r="E6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E13" i="7"/>
  <c r="F13" i="7"/>
  <c r="G13" i="7"/>
  <c r="G42" i="7" s="1"/>
  <c r="H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E27" i="7"/>
  <c r="G27" i="7"/>
  <c r="H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E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G7" i="27"/>
  <c r="G11" i="27"/>
  <c r="D15" i="27"/>
  <c r="G4" i="27" s="1"/>
  <c r="G16" i="27"/>
  <c r="G17" i="27"/>
  <c r="D27" i="27"/>
  <c r="G5" i="27" s="1"/>
  <c r="E25" i="3" s="1"/>
  <c r="E30" i="3" s="1"/>
  <c r="D39" i="27"/>
  <c r="G6" i="27" s="1"/>
  <c r="D51" i="27"/>
  <c r="D63" i="27"/>
  <c r="G8" i="27" s="1"/>
  <c r="D75" i="27"/>
  <c r="G9" i="27" s="1"/>
  <c r="D87" i="27"/>
  <c r="G10" i="27" s="1"/>
  <c r="D99" i="27"/>
  <c r="D111" i="27"/>
  <c r="G12" i="27" s="1"/>
  <c r="D123" i="27"/>
  <c r="G13" i="27" s="1"/>
  <c r="M25" i="3" s="1"/>
  <c r="D135" i="27"/>
  <c r="G14" i="27" s="1"/>
  <c r="D147" i="27"/>
  <c r="G15" i="27" s="1"/>
  <c r="D159" i="27"/>
  <c r="D171" i="27"/>
  <c r="D183" i="27"/>
  <c r="G18" i="27" s="1"/>
  <c r="R25" i="3" s="1"/>
  <c r="R30" i="3" s="1"/>
  <c r="D195" i="27"/>
  <c r="G19" i="27" s="1"/>
  <c r="A2" i="18"/>
  <c r="C6" i="18"/>
  <c r="E27" i="18" s="1"/>
  <c r="F27" i="18" s="1"/>
  <c r="C7" i="18"/>
  <c r="C8" i="18"/>
  <c r="D8" i="18" s="1"/>
  <c r="C15" i="18"/>
  <c r="A16" i="18"/>
  <c r="C16" i="18"/>
  <c r="A17" i="18"/>
  <c r="C17" i="18"/>
  <c r="C18" i="18"/>
  <c r="C19" i="18"/>
  <c r="C20" i="18"/>
  <c r="C21" i="18"/>
  <c r="E21" i="18" s="1"/>
  <c r="F21" i="18" s="1"/>
  <c r="C22" i="18"/>
  <c r="E22" i="18"/>
  <c r="F22" i="18" s="1"/>
  <c r="C23" i="18"/>
  <c r="C24" i="18"/>
  <c r="C25" i="18"/>
  <c r="C26" i="18"/>
  <c r="C27" i="18"/>
  <c r="C28" i="18"/>
  <c r="C29" i="18"/>
  <c r="E29" i="18" s="1"/>
  <c r="F29" i="18" s="1"/>
  <c r="E31" i="18"/>
  <c r="F31" i="18" s="1"/>
  <c r="H57" i="18"/>
  <c r="I57" i="18"/>
  <c r="J57" i="18"/>
  <c r="K57" i="18"/>
  <c r="L57" i="18"/>
  <c r="D59" i="18"/>
  <c r="D15" i="18" s="1"/>
  <c r="D34" i="18" s="1"/>
  <c r="A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6" i="4"/>
  <c r="N29" i="2" s="1"/>
  <c r="O29" i="2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 s="1"/>
  <c r="F17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C19" i="4"/>
  <c r="D19" i="4"/>
  <c r="E19" i="4"/>
  <c r="F19" i="4" s="1"/>
  <c r="G19" i="4" s="1"/>
  <c r="H19" i="4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/>
  <c r="F20" i="4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/>
  <c r="T20" i="4" s="1"/>
  <c r="U20" i="4" s="1"/>
  <c r="V20" i="4" s="1"/>
  <c r="W20" i="4" s="1"/>
  <c r="X20" i="4" s="1"/>
  <c r="Y20" i="4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 s="1"/>
  <c r="G21" i="4" s="1"/>
  <c r="H21" i="4" s="1"/>
  <c r="I21" i="4" s="1"/>
  <c r="J21" i="4" s="1"/>
  <c r="K21" i="4"/>
  <c r="L21" i="4"/>
  <c r="M21" i="4" s="1"/>
  <c r="N21" i="4" s="1"/>
  <c r="O21" i="4" s="1"/>
  <c r="P21" i="4" s="1"/>
  <c r="Q21" i="4" s="1"/>
  <c r="R21" i="4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 s="1"/>
  <c r="F28" i="4" s="1"/>
  <c r="G28" i="4" s="1"/>
  <c r="H28" i="4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 s="1"/>
  <c r="G29" i="4" s="1"/>
  <c r="H29" i="4" s="1"/>
  <c r="I29" i="4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G38" i="4"/>
  <c r="B42" i="4"/>
  <c r="B43" i="4"/>
  <c r="B2" i="3"/>
  <c r="D7" i="3"/>
  <c r="E7" i="3"/>
  <c r="D8" i="3"/>
  <c r="D12" i="3"/>
  <c r="D21" i="3" s="1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E21" i="3"/>
  <c r="D25" i="3"/>
  <c r="D30" i="3" s="1"/>
  <c r="F25" i="3"/>
  <c r="F30" i="3" s="1"/>
  <c r="G25" i="3"/>
  <c r="G30" i="3" s="1"/>
  <c r="H25" i="3"/>
  <c r="H30" i="3" s="1"/>
  <c r="I25" i="3"/>
  <c r="J25" i="3"/>
  <c r="K25" i="3"/>
  <c r="L25" i="3"/>
  <c r="L30" i="3" s="1"/>
  <c r="N25" i="3"/>
  <c r="N30" i="3" s="1"/>
  <c r="O25" i="3"/>
  <c r="O30" i="3" s="1"/>
  <c r="P25" i="3"/>
  <c r="P30" i="3" s="1"/>
  <c r="Q25" i="3"/>
  <c r="S25" i="3"/>
  <c r="T25" i="3"/>
  <c r="T30" i="3" s="1"/>
  <c r="U25" i="3"/>
  <c r="V25" i="3"/>
  <c r="V30" i="3" s="1"/>
  <c r="W25" i="3"/>
  <c r="W30" i="3" s="1"/>
  <c r="X25" i="3"/>
  <c r="X30" i="3" s="1"/>
  <c r="D28" i="3"/>
  <c r="E28" i="3"/>
  <c r="F28" i="3"/>
  <c r="G28" i="3"/>
  <c r="H28" i="3"/>
  <c r="I28" i="3"/>
  <c r="I30" i="3" s="1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J30" i="3"/>
  <c r="K30" i="3"/>
  <c r="M30" i="3"/>
  <c r="Q30" i="3"/>
  <c r="S30" i="3"/>
  <c r="U30" i="3"/>
  <c r="Y30" i="3"/>
  <c r="Z30" i="3"/>
  <c r="AA30" i="3"/>
  <c r="AB30" i="3"/>
  <c r="AC30" i="3"/>
  <c r="AD30" i="3"/>
  <c r="AE30" i="3"/>
  <c r="AF30" i="3"/>
  <c r="AG30" i="3"/>
  <c r="AH30" i="3"/>
  <c r="N34" i="3"/>
  <c r="AB34" i="3"/>
  <c r="D35" i="3"/>
  <c r="E35" i="3"/>
  <c r="E36" i="3"/>
  <c r="E38" i="3" s="1"/>
  <c r="A38" i="3"/>
  <c r="D42" i="3"/>
  <c r="E42" i="3"/>
  <c r="E44" i="3" s="1"/>
  <c r="E34" i="3" s="1"/>
  <c r="F42" i="3"/>
  <c r="G42" i="3"/>
  <c r="H42" i="3"/>
  <c r="I42" i="3"/>
  <c r="I44" i="3" s="1"/>
  <c r="J42" i="3"/>
  <c r="K42" i="3"/>
  <c r="K44" i="3" s="1"/>
  <c r="K34" i="3" s="1"/>
  <c r="L42" i="3"/>
  <c r="M42" i="3"/>
  <c r="M44" i="3" s="1"/>
  <c r="M34" i="3" s="1"/>
  <c r="N42" i="3"/>
  <c r="O42" i="3"/>
  <c r="O44" i="3" s="1"/>
  <c r="O34" i="3" s="1"/>
  <c r="P42" i="3"/>
  <c r="Q42" i="3"/>
  <c r="Q44" i="3" s="1"/>
  <c r="Q34" i="3" s="1"/>
  <c r="R42" i="3"/>
  <c r="S42" i="3"/>
  <c r="S44" i="3" s="1"/>
  <c r="S34" i="3" s="1"/>
  <c r="T42" i="3"/>
  <c r="U42" i="3"/>
  <c r="U44" i="3" s="1"/>
  <c r="U34" i="3" s="1"/>
  <c r="V42" i="3"/>
  <c r="W42" i="3"/>
  <c r="X42" i="3"/>
  <c r="Y42" i="3"/>
  <c r="Y44" i="3" s="1"/>
  <c r="Z42" i="3"/>
  <c r="AA42" i="3"/>
  <c r="AA44" i="3" s="1"/>
  <c r="AA34" i="3" s="1"/>
  <c r="AB42" i="3"/>
  <c r="AC42" i="3"/>
  <c r="AC44" i="3" s="1"/>
  <c r="AC34" i="3" s="1"/>
  <c r="AD42" i="3"/>
  <c r="AE42" i="3"/>
  <c r="AF42" i="3"/>
  <c r="AG42" i="3"/>
  <c r="AG44" i="3" s="1"/>
  <c r="AH42" i="3"/>
  <c r="D44" i="3"/>
  <c r="D34" i="3" s="1"/>
  <c r="D36" i="3" s="1"/>
  <c r="D38" i="3" s="1"/>
  <c r="F44" i="3"/>
  <c r="F34" i="3" s="1"/>
  <c r="G44" i="3"/>
  <c r="G34" i="3" s="1"/>
  <c r="H44" i="3"/>
  <c r="H34" i="3" s="1"/>
  <c r="J44" i="3"/>
  <c r="L44" i="3"/>
  <c r="N44" i="3"/>
  <c r="P44" i="3"/>
  <c r="P34" i="3" s="1"/>
  <c r="R44" i="3"/>
  <c r="R34" i="3" s="1"/>
  <c r="T44" i="3"/>
  <c r="T34" i="3" s="1"/>
  <c r="V44" i="3"/>
  <c r="V34" i="3" s="1"/>
  <c r="W44" i="3"/>
  <c r="X44" i="3"/>
  <c r="X34" i="3" s="1"/>
  <c r="Z44" i="3"/>
  <c r="AB44" i="3"/>
  <c r="AD44" i="3"/>
  <c r="AD34" i="3" s="1"/>
  <c r="AE44" i="3"/>
  <c r="AE34" i="3" s="1"/>
  <c r="AF44" i="3"/>
  <c r="AF34" i="3" s="1"/>
  <c r="AH44" i="3"/>
  <c r="C5" i="30"/>
  <c r="C6" i="30"/>
  <c r="C7" i="30" s="1"/>
  <c r="C11" i="30"/>
  <c r="C12" i="30"/>
  <c r="A2" i="8"/>
  <c r="B6" i="8"/>
  <c r="C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Z34" i="3" l="1"/>
  <c r="L34" i="3"/>
  <c r="G17" i="4"/>
  <c r="J34" i="3"/>
  <c r="D20" i="2"/>
  <c r="C34" i="2"/>
  <c r="AH34" i="3"/>
  <c r="E6" i="19"/>
  <c r="E6" i="25"/>
  <c r="E6" i="7"/>
  <c r="F7" i="3"/>
  <c r="E19" i="18"/>
  <c r="F19" i="18" s="1"/>
  <c r="AG34" i="3"/>
  <c r="Y34" i="3"/>
  <c r="I34" i="3"/>
  <c r="D7" i="19"/>
  <c r="D7" i="25"/>
  <c r="D78" i="25" s="1"/>
  <c r="E8" i="3"/>
  <c r="D7" i="7"/>
  <c r="C7" i="4"/>
  <c r="D6" i="4"/>
  <c r="W34" i="3"/>
  <c r="E23" i="18"/>
  <c r="F23" i="18" s="1"/>
  <c r="E30" i="18"/>
  <c r="F30" i="18" s="1"/>
  <c r="E17" i="18"/>
  <c r="F17" i="18" s="1"/>
  <c r="E25" i="18"/>
  <c r="F25" i="18" s="1"/>
  <c r="E15" i="18"/>
  <c r="E32" i="18"/>
  <c r="F32" i="18" s="1"/>
  <c r="E33" i="18"/>
  <c r="F33" i="18" s="1"/>
  <c r="A18" i="18"/>
  <c r="E24" i="18"/>
  <c r="F24" i="18" s="1"/>
  <c r="E16" i="18"/>
  <c r="F16" i="18" s="1"/>
  <c r="E26" i="18"/>
  <c r="F26" i="18" s="1"/>
  <c r="E18" i="18"/>
  <c r="F18" i="18" s="1"/>
  <c r="F27" i="7"/>
  <c r="F42" i="7"/>
  <c r="D6" i="19"/>
  <c r="D6" i="25"/>
  <c r="D6" i="7"/>
  <c r="C6" i="4"/>
  <c r="E28" i="18"/>
  <c r="F28" i="18" s="1"/>
  <c r="E20" i="18"/>
  <c r="F20" i="18" s="1"/>
  <c r="C34" i="18"/>
  <c r="B47" i="7"/>
  <c r="D29" i="31"/>
  <c r="D31" i="31" s="1"/>
  <c r="D30" i="31"/>
  <c r="D35" i="31" s="1"/>
  <c r="I31" i="31"/>
  <c r="I35" i="31"/>
  <c r="D31" i="2"/>
  <c r="AA13" i="2"/>
  <c r="AA14" i="2" s="1"/>
  <c r="D30" i="2"/>
  <c r="D25" i="2"/>
  <c r="D24" i="2"/>
  <c r="D23" i="2"/>
  <c r="C50" i="2"/>
  <c r="D26" i="2"/>
  <c r="O21" i="2"/>
  <c r="O23" i="2"/>
  <c r="O25" i="2"/>
  <c r="D41" i="2"/>
  <c r="D45" i="2"/>
  <c r="D55" i="2"/>
  <c r="O19" i="2"/>
  <c r="O26" i="2" s="1"/>
  <c r="D39" i="2"/>
  <c r="D33" i="2"/>
  <c r="D42" i="2"/>
  <c r="D46" i="2"/>
  <c r="D56" i="2"/>
  <c r="O22" i="2"/>
  <c r="O24" i="2"/>
  <c r="D32" i="2"/>
  <c r="D43" i="2"/>
  <c r="D47" i="2"/>
  <c r="D57" i="2"/>
  <c r="O20" i="2"/>
  <c r="H62" i="2"/>
  <c r="D44" i="2"/>
  <c r="D21" i="2"/>
  <c r="D22" i="2"/>
  <c r="D28" i="2"/>
  <c r="D51" i="2"/>
  <c r="E8" i="19"/>
  <c r="D8" i="25"/>
  <c r="D49" i="2"/>
  <c r="D40" i="2"/>
  <c r="D29" i="2"/>
  <c r="D58" i="2"/>
  <c r="D27" i="2"/>
  <c r="Z14" i="2"/>
  <c r="D39" i="31" l="1"/>
  <c r="D33" i="31"/>
  <c r="F15" i="18"/>
  <c r="E34" i="18"/>
  <c r="N30" i="2"/>
  <c r="A19" i="18"/>
  <c r="D50" i="2"/>
  <c r="B76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5" i="30"/>
  <c r="N32" i="2"/>
  <c r="O32" i="2" s="1"/>
  <c r="C26" i="4"/>
  <c r="N33" i="2" s="1"/>
  <c r="O33" i="2" s="1"/>
  <c r="C14" i="30"/>
  <c r="C10" i="4"/>
  <c r="C13" i="4" s="1"/>
  <c r="C17" i="4"/>
  <c r="W26" i="4"/>
  <c r="E7" i="19"/>
  <c r="E7" i="25"/>
  <c r="E78" i="25" s="1"/>
  <c r="E7" i="7"/>
  <c r="D7" i="4"/>
  <c r="F8" i="3"/>
  <c r="C7" i="8"/>
  <c r="F6" i="19"/>
  <c r="F6" i="25"/>
  <c r="E6" i="4"/>
  <c r="F6" i="7"/>
  <c r="F35" i="3"/>
  <c r="F36" i="3" s="1"/>
  <c r="F38" i="3" s="1"/>
  <c r="G7" i="3"/>
  <c r="F21" i="3"/>
  <c r="G21" i="3"/>
  <c r="D6" i="8"/>
  <c r="D34" i="2"/>
  <c r="F8" i="19"/>
  <c r="E8" i="25"/>
  <c r="J27" i="4"/>
  <c r="R27" i="4"/>
  <c r="Z27" i="4"/>
  <c r="C27" i="4"/>
  <c r="K27" i="4"/>
  <c r="S27" i="4"/>
  <c r="AA27" i="4"/>
  <c r="D27" i="4"/>
  <c r="L27" i="4"/>
  <c r="T27" i="4"/>
  <c r="AB27" i="4"/>
  <c r="E27" i="4"/>
  <c r="M27" i="4"/>
  <c r="U27" i="4"/>
  <c r="AC27" i="4"/>
  <c r="F27" i="4"/>
  <c r="N27" i="4"/>
  <c r="V27" i="4"/>
  <c r="AD27" i="4"/>
  <c r="H27" i="4"/>
  <c r="AE27" i="4"/>
  <c r="I27" i="4"/>
  <c r="AF27" i="4"/>
  <c r="O27" i="4"/>
  <c r="AG27" i="4"/>
  <c r="P27" i="4"/>
  <c r="Q27" i="4"/>
  <c r="G27" i="4"/>
  <c r="W27" i="4"/>
  <c r="X27" i="4"/>
  <c r="Y27" i="4"/>
  <c r="D14" i="7"/>
  <c r="D13" i="7"/>
  <c r="D41" i="7"/>
  <c r="D43" i="7"/>
  <c r="D47" i="7" s="1"/>
  <c r="E41" i="7"/>
  <c r="E43" i="7"/>
  <c r="E47" i="7" s="1"/>
  <c r="E14" i="7"/>
  <c r="I33" i="31"/>
  <c r="I39" i="31"/>
  <c r="H17" i="4"/>
  <c r="D14" i="30"/>
  <c r="D10" i="4"/>
  <c r="D13" i="4" s="1"/>
  <c r="E28" i="7" l="1"/>
  <c r="E33" i="7" s="1"/>
  <c r="E18" i="7"/>
  <c r="G8" i="19"/>
  <c r="F8" i="25"/>
  <c r="F7" i="19"/>
  <c r="F7" i="25"/>
  <c r="F78" i="25" s="1"/>
  <c r="F7" i="7"/>
  <c r="G8" i="3"/>
  <c r="E7" i="4"/>
  <c r="D7" i="8"/>
  <c r="O30" i="2"/>
  <c r="C23" i="4"/>
  <c r="D23" i="4" s="1"/>
  <c r="G15" i="18"/>
  <c r="F34" i="18"/>
  <c r="D28" i="7"/>
  <c r="D33" i="7" s="1"/>
  <c r="D18" i="7"/>
  <c r="G6" i="19"/>
  <c r="G6" i="25"/>
  <c r="G6" i="7"/>
  <c r="F6" i="4"/>
  <c r="H21" i="3"/>
  <c r="E6" i="8"/>
  <c r="H7" i="3"/>
  <c r="G35" i="3"/>
  <c r="G36" i="3" s="1"/>
  <c r="G38" i="3" s="1"/>
  <c r="F14" i="7"/>
  <c r="F41" i="7"/>
  <c r="F43" i="7"/>
  <c r="F47" i="7" s="1"/>
  <c r="A20" i="18"/>
  <c r="C76" i="2"/>
  <c r="D15" i="30"/>
  <c r="I17" i="4"/>
  <c r="E10" i="4"/>
  <c r="E13" i="4" s="1"/>
  <c r="E14" i="30"/>
  <c r="D27" i="7"/>
  <c r="I13" i="7"/>
  <c r="D42" i="7"/>
  <c r="H6" i="19" l="1"/>
  <c r="H6" i="25"/>
  <c r="G6" i="4"/>
  <c r="H6" i="7"/>
  <c r="H35" i="3"/>
  <c r="H36" i="3" s="1"/>
  <c r="H38" i="3" s="1"/>
  <c r="I21" i="3"/>
  <c r="F6" i="8"/>
  <c r="I7" i="3"/>
  <c r="G7" i="19"/>
  <c r="G7" i="25"/>
  <c r="G78" i="25" s="1"/>
  <c r="G7" i="7"/>
  <c r="F7" i="4"/>
  <c r="F15" i="30" s="1"/>
  <c r="H8" i="3"/>
  <c r="E7" i="8"/>
  <c r="F14" i="30"/>
  <c r="F10" i="4"/>
  <c r="F13" i="4" s="1"/>
  <c r="H16" i="18"/>
  <c r="G16" i="18"/>
  <c r="J17" i="4"/>
  <c r="F28" i="7"/>
  <c r="F33" i="7" s="1"/>
  <c r="F18" i="7"/>
  <c r="G41" i="7"/>
  <c r="G43" i="7"/>
  <c r="G47" i="7" s="1"/>
  <c r="G14" i="7"/>
  <c r="E23" i="4"/>
  <c r="H8" i="19"/>
  <c r="G8" i="25"/>
  <c r="I27" i="7"/>
  <c r="I42" i="7"/>
  <c r="A21" i="18"/>
  <c r="D76" i="2"/>
  <c r="E15" i="30"/>
  <c r="I8" i="19" l="1"/>
  <c r="H8" i="25"/>
  <c r="H7" i="19"/>
  <c r="H7" i="25"/>
  <c r="H78" i="25" s="1"/>
  <c r="H7" i="7"/>
  <c r="G7" i="4"/>
  <c r="G15" i="30" s="1"/>
  <c r="I8" i="3"/>
  <c r="F7" i="8"/>
  <c r="A22" i="18"/>
  <c r="H41" i="7"/>
  <c r="H43" i="7"/>
  <c r="H47" i="7" s="1"/>
  <c r="H14" i="7"/>
  <c r="K17" i="4"/>
  <c r="G10" i="4"/>
  <c r="G13" i="4" s="1"/>
  <c r="G14" i="30"/>
  <c r="F23" i="4"/>
  <c r="H17" i="18"/>
  <c r="I17" i="18" s="1"/>
  <c r="G17" i="18"/>
  <c r="G28" i="7"/>
  <c r="G33" i="7" s="1"/>
  <c r="G18" i="7"/>
  <c r="I16" i="18"/>
  <c r="I6" i="19"/>
  <c r="I6" i="25"/>
  <c r="H6" i="4"/>
  <c r="I6" i="7"/>
  <c r="G6" i="8"/>
  <c r="I35" i="3"/>
  <c r="I36" i="3" s="1"/>
  <c r="I38" i="3" s="1"/>
  <c r="J7" i="3"/>
  <c r="I41" i="7" l="1"/>
  <c r="I43" i="7"/>
  <c r="I47" i="7" s="1"/>
  <c r="I14" i="7"/>
  <c r="J8" i="19"/>
  <c r="I8" i="25"/>
  <c r="L17" i="4"/>
  <c r="I7" i="19"/>
  <c r="I7" i="25"/>
  <c r="I78" i="25" s="1"/>
  <c r="I7" i="7"/>
  <c r="H7" i="4"/>
  <c r="H15" i="30" s="1"/>
  <c r="G7" i="8"/>
  <c r="J8" i="3"/>
  <c r="H18" i="18"/>
  <c r="I18" i="18" s="1"/>
  <c r="G23" i="4"/>
  <c r="H28" i="7"/>
  <c r="H33" i="7" s="1"/>
  <c r="H18" i="7"/>
  <c r="J6" i="25"/>
  <c r="J6" i="19"/>
  <c r="J6" i="7"/>
  <c r="I6" i="4"/>
  <c r="K21" i="3"/>
  <c r="J35" i="3"/>
  <c r="J36" i="3" s="1"/>
  <c r="J38" i="3" s="1"/>
  <c r="K7" i="3"/>
  <c r="H6" i="8"/>
  <c r="A23" i="18"/>
  <c r="J21" i="3"/>
  <c r="H10" i="4"/>
  <c r="H13" i="4" s="1"/>
  <c r="H14" i="30"/>
  <c r="H23" i="4" l="1"/>
  <c r="I10" i="4"/>
  <c r="I13" i="4" s="1"/>
  <c r="I14" i="30"/>
  <c r="A24" i="18"/>
  <c r="H23" i="18"/>
  <c r="J14" i="7"/>
  <c r="J41" i="7"/>
  <c r="J43" i="7"/>
  <c r="J47" i="7" s="1"/>
  <c r="G18" i="18"/>
  <c r="J7" i="19"/>
  <c r="J7" i="25"/>
  <c r="J78" i="25" s="1"/>
  <c r="J7" i="7"/>
  <c r="I7" i="4"/>
  <c r="I15" i="30" s="1"/>
  <c r="H7" i="8"/>
  <c r="K8" i="3"/>
  <c r="K8" i="19"/>
  <c r="J8" i="25"/>
  <c r="K6" i="19"/>
  <c r="K6" i="25"/>
  <c r="K6" i="7"/>
  <c r="L7" i="3"/>
  <c r="J6" i="4"/>
  <c r="L21" i="3"/>
  <c r="I6" i="8"/>
  <c r="K35" i="3"/>
  <c r="K36" i="3" s="1"/>
  <c r="K38" i="3" s="1"/>
  <c r="I28" i="7"/>
  <c r="I33" i="7" s="1"/>
  <c r="I18" i="7"/>
  <c r="M17" i="4"/>
  <c r="N17" i="4" l="1"/>
  <c r="A25" i="18"/>
  <c r="H24" i="18"/>
  <c r="J28" i="7"/>
  <c r="J33" i="7" s="1"/>
  <c r="J18" i="7"/>
  <c r="K8" i="25"/>
  <c r="L8" i="19"/>
  <c r="G19" i="18"/>
  <c r="H19" i="18"/>
  <c r="K41" i="7"/>
  <c r="K43" i="7"/>
  <c r="K47" i="7" s="1"/>
  <c r="K14" i="7"/>
  <c r="J10" i="4"/>
  <c r="J13" i="4" s="1"/>
  <c r="J14" i="30"/>
  <c r="K7" i="25"/>
  <c r="K78" i="25" s="1"/>
  <c r="K7" i="19"/>
  <c r="K7" i="7"/>
  <c r="J7" i="4"/>
  <c r="J15" i="30" s="1"/>
  <c r="I7" i="8"/>
  <c r="L8" i="3"/>
  <c r="L6" i="19"/>
  <c r="L6" i="25"/>
  <c r="K6" i="4"/>
  <c r="L6" i="7"/>
  <c r="M7" i="3"/>
  <c r="M21" i="3"/>
  <c r="J6" i="8"/>
  <c r="L35" i="3"/>
  <c r="L36" i="3" s="1"/>
  <c r="L38" i="3" s="1"/>
  <c r="I23" i="4"/>
  <c r="O17" i="4" l="1"/>
  <c r="H20" i="18"/>
  <c r="L7" i="19"/>
  <c r="L7" i="25"/>
  <c r="L78" i="25" s="1"/>
  <c r="L7" i="7"/>
  <c r="M8" i="3"/>
  <c r="J7" i="8"/>
  <c r="K7" i="4"/>
  <c r="K15" i="30" s="1"/>
  <c r="M6" i="19"/>
  <c r="M6" i="25"/>
  <c r="M6" i="7"/>
  <c r="L6" i="4"/>
  <c r="N7" i="3"/>
  <c r="N21" i="3" s="1"/>
  <c r="M35" i="3"/>
  <c r="M36" i="3" s="1"/>
  <c r="M38" i="3" s="1"/>
  <c r="K6" i="8"/>
  <c r="A26" i="18"/>
  <c r="H25" i="18"/>
  <c r="K10" i="4"/>
  <c r="K13" i="4" s="1"/>
  <c r="K14" i="30"/>
  <c r="J23" i="4"/>
  <c r="M8" i="19"/>
  <c r="L8" i="25"/>
  <c r="K28" i="7"/>
  <c r="K33" i="7" s="1"/>
  <c r="K18" i="7"/>
  <c r="L14" i="7"/>
  <c r="L41" i="7"/>
  <c r="L43" i="7"/>
  <c r="L47" i="7" s="1"/>
  <c r="I19" i="18"/>
  <c r="L10" i="4" l="1"/>
  <c r="L13" i="4" s="1"/>
  <c r="L14" i="30"/>
  <c r="M14" i="7"/>
  <c r="M41" i="7"/>
  <c r="M43" i="7"/>
  <c r="M47" i="7" s="1"/>
  <c r="H26" i="18"/>
  <c r="A27" i="18"/>
  <c r="I20" i="18"/>
  <c r="N8" i="19"/>
  <c r="M8" i="25"/>
  <c r="G20" i="18"/>
  <c r="L28" i="7"/>
  <c r="L33" i="7" s="1"/>
  <c r="L18" i="7"/>
  <c r="K23" i="4"/>
  <c r="M7" i="19"/>
  <c r="M7" i="25"/>
  <c r="M78" i="25" s="1"/>
  <c r="L7" i="4"/>
  <c r="L15" i="30" s="1"/>
  <c r="M7" i="7"/>
  <c r="N8" i="3"/>
  <c r="K7" i="8"/>
  <c r="P17" i="4"/>
  <c r="N6" i="19"/>
  <c r="N6" i="25"/>
  <c r="M6" i="4"/>
  <c r="N6" i="7"/>
  <c r="N35" i="3"/>
  <c r="N36" i="3" s="1"/>
  <c r="N38" i="3" s="1"/>
  <c r="O7" i="3"/>
  <c r="L6" i="8"/>
  <c r="O21" i="3"/>
  <c r="O6" i="19" l="1"/>
  <c r="O6" i="25"/>
  <c r="N6" i="4"/>
  <c r="M6" i="8"/>
  <c r="P7" i="3"/>
  <c r="O35" i="3"/>
  <c r="O36" i="3" s="1"/>
  <c r="O38" i="3" s="1"/>
  <c r="O6" i="7"/>
  <c r="N7" i="19"/>
  <c r="N7" i="25"/>
  <c r="N78" i="25" s="1"/>
  <c r="N7" i="7"/>
  <c r="O8" i="3"/>
  <c r="M7" i="4"/>
  <c r="M15" i="30" s="1"/>
  <c r="L7" i="8"/>
  <c r="N14" i="7"/>
  <c r="N43" i="7"/>
  <c r="N47" i="7" s="1"/>
  <c r="N41" i="7"/>
  <c r="H21" i="18"/>
  <c r="M10" i="4"/>
  <c r="M13" i="4" s="1"/>
  <c r="M14" i="30"/>
  <c r="O8" i="19"/>
  <c r="N8" i="25"/>
  <c r="M28" i="7"/>
  <c r="M33" i="7" s="1"/>
  <c r="M18" i="7"/>
  <c r="Q17" i="4"/>
  <c r="L23" i="4"/>
  <c r="H27" i="18"/>
  <c r="A28" i="18"/>
  <c r="O14" i="7" l="1"/>
  <c r="O41" i="7"/>
  <c r="O43" i="7"/>
  <c r="O47" i="7" s="1"/>
  <c r="N28" i="7"/>
  <c r="N33" i="7" s="1"/>
  <c r="N18" i="7"/>
  <c r="P6" i="19"/>
  <c r="P6" i="25"/>
  <c r="O6" i="4"/>
  <c r="P35" i="3"/>
  <c r="P36" i="3" s="1"/>
  <c r="P38" i="3" s="1"/>
  <c r="Q7" i="3"/>
  <c r="Q21" i="3" s="1"/>
  <c r="N6" i="8"/>
  <c r="P6" i="7"/>
  <c r="A29" i="18"/>
  <c r="H28" i="18"/>
  <c r="P8" i="19"/>
  <c r="O8" i="25"/>
  <c r="M23" i="4"/>
  <c r="R17" i="4"/>
  <c r="I21" i="18"/>
  <c r="O7" i="19"/>
  <c r="O7" i="25"/>
  <c r="O78" i="25" s="1"/>
  <c r="N7" i="4"/>
  <c r="N15" i="30" s="1"/>
  <c r="O7" i="7"/>
  <c r="P8" i="3"/>
  <c r="M7" i="8"/>
  <c r="P21" i="3"/>
  <c r="G21" i="18"/>
  <c r="N10" i="4"/>
  <c r="N13" i="4" s="1"/>
  <c r="N14" i="30"/>
  <c r="N23" i="4" l="1"/>
  <c r="P14" i="7"/>
  <c r="P41" i="7"/>
  <c r="P43" i="7"/>
  <c r="P47" i="7" s="1"/>
  <c r="H22" i="18"/>
  <c r="I22" i="18" s="1"/>
  <c r="I23" i="18" s="1"/>
  <c r="I24" i="18" s="1"/>
  <c r="I25" i="18" s="1"/>
  <c r="I26" i="18" s="1"/>
  <c r="I27" i="18" s="1"/>
  <c r="I28" i="18" s="1"/>
  <c r="I29" i="18" s="1"/>
  <c r="S17" i="4"/>
  <c r="P7" i="19"/>
  <c r="P7" i="25"/>
  <c r="P78" i="25" s="1"/>
  <c r="P7" i="7"/>
  <c r="O7" i="4"/>
  <c r="O15" i="30" s="1"/>
  <c r="Q8" i="3"/>
  <c r="N7" i="8"/>
  <c r="Q8" i="19"/>
  <c r="P8" i="25"/>
  <c r="Q6" i="19"/>
  <c r="Q6" i="25"/>
  <c r="P6" i="4"/>
  <c r="Q6" i="7"/>
  <c r="R21" i="3"/>
  <c r="R7" i="3"/>
  <c r="Q35" i="3"/>
  <c r="Q36" i="3" s="1"/>
  <c r="Q38" i="3" s="1"/>
  <c r="O6" i="8"/>
  <c r="O28" i="7"/>
  <c r="O33" i="7" s="1"/>
  <c r="O18" i="7"/>
  <c r="H29" i="18"/>
  <c r="A30" i="18"/>
  <c r="O10" i="4"/>
  <c r="O13" i="4" s="1"/>
  <c r="O14" i="30"/>
  <c r="P28" i="7" l="1"/>
  <c r="P33" i="7" s="1"/>
  <c r="P18" i="7"/>
  <c r="R8" i="19"/>
  <c r="Q8" i="25"/>
  <c r="T17" i="4"/>
  <c r="O23" i="4"/>
  <c r="R6" i="19"/>
  <c r="R6" i="25"/>
  <c r="R6" i="7"/>
  <c r="Q6" i="4"/>
  <c r="S21" i="3"/>
  <c r="R35" i="3"/>
  <c r="R36" i="3" s="1"/>
  <c r="R38" i="3" s="1"/>
  <c r="S7" i="3"/>
  <c r="P6" i="8"/>
  <c r="A31" i="18"/>
  <c r="H30" i="18"/>
  <c r="I30" i="18"/>
  <c r="Q43" i="7"/>
  <c r="Q47" i="7" s="1"/>
  <c r="Q41" i="7"/>
  <c r="Q14" i="7"/>
  <c r="Q7" i="19"/>
  <c r="Q7" i="25"/>
  <c r="Q78" i="25" s="1"/>
  <c r="P7" i="4"/>
  <c r="P15" i="30" s="1"/>
  <c r="Q7" i="7"/>
  <c r="O7" i="8"/>
  <c r="R8" i="3"/>
  <c r="G22" i="18"/>
  <c r="G23" i="18" s="1"/>
  <c r="G24" i="18" s="1"/>
  <c r="G25" i="18" s="1"/>
  <c r="G26" i="18" s="1"/>
  <c r="G27" i="18" s="1"/>
  <c r="G28" i="18" s="1"/>
  <c r="G29" i="18" s="1"/>
  <c r="G30" i="18" s="1"/>
  <c r="P10" i="4"/>
  <c r="P13" i="4" s="1"/>
  <c r="P14" i="30"/>
  <c r="U17" i="4" l="1"/>
  <c r="A32" i="18"/>
  <c r="H31" i="18"/>
  <c r="I31" i="18"/>
  <c r="S6" i="19"/>
  <c r="S6" i="25"/>
  <c r="S6" i="7"/>
  <c r="T7" i="3"/>
  <c r="R6" i="4"/>
  <c r="T21" i="3"/>
  <c r="S35" i="3"/>
  <c r="S36" i="3" s="1"/>
  <c r="S38" i="3" s="1"/>
  <c r="Q6" i="8"/>
  <c r="P23" i="4"/>
  <c r="Q28" i="7"/>
  <c r="Q33" i="7" s="1"/>
  <c r="Q18" i="7"/>
  <c r="G31" i="18"/>
  <c r="R7" i="19"/>
  <c r="R7" i="25"/>
  <c r="R78" i="25" s="1"/>
  <c r="R7" i="7"/>
  <c r="Q7" i="4"/>
  <c r="Q15" i="30" s="1"/>
  <c r="P7" i="8"/>
  <c r="S8" i="3"/>
  <c r="Q10" i="4"/>
  <c r="Q13" i="4" s="1"/>
  <c r="Q14" i="30"/>
  <c r="R14" i="7"/>
  <c r="R41" i="7"/>
  <c r="R43" i="7"/>
  <c r="R47" i="7" s="1"/>
  <c r="S8" i="19"/>
  <c r="R8" i="25"/>
  <c r="H32" i="18" l="1"/>
  <c r="G32" i="18" s="1"/>
  <c r="I32" i="18"/>
  <c r="A33" i="18"/>
  <c r="S7" i="19"/>
  <c r="S7" i="25"/>
  <c r="S78" i="25" s="1"/>
  <c r="S7" i="7"/>
  <c r="R7" i="4"/>
  <c r="R15" i="30" s="1"/>
  <c r="Q7" i="8"/>
  <c r="T8" i="3"/>
  <c r="R10" i="4"/>
  <c r="R13" i="4" s="1"/>
  <c r="R14" i="30"/>
  <c r="T6" i="19"/>
  <c r="T6" i="25"/>
  <c r="T6" i="7"/>
  <c r="S6" i="4"/>
  <c r="U7" i="3"/>
  <c r="T35" i="3"/>
  <c r="T36" i="3" s="1"/>
  <c r="T38" i="3" s="1"/>
  <c r="R6" i="8"/>
  <c r="V17" i="4"/>
  <c r="T8" i="19"/>
  <c r="S8" i="25"/>
  <c r="S14" i="7"/>
  <c r="S41" i="7"/>
  <c r="S43" i="7"/>
  <c r="S47" i="7" s="1"/>
  <c r="Q23" i="4"/>
  <c r="R28" i="7"/>
  <c r="R33" i="7" s="1"/>
  <c r="R18" i="7"/>
  <c r="U6" i="19" l="1"/>
  <c r="U6" i="25"/>
  <c r="U6" i="7"/>
  <c r="V7" i="3"/>
  <c r="V21" i="3"/>
  <c r="T6" i="4"/>
  <c r="S6" i="8"/>
  <c r="U35" i="3"/>
  <c r="U36" i="3" s="1"/>
  <c r="U38" i="3" s="1"/>
  <c r="T7" i="19"/>
  <c r="T7" i="25"/>
  <c r="T78" i="25" s="1"/>
  <c r="T7" i="7"/>
  <c r="S7" i="4"/>
  <c r="S15" i="30" s="1"/>
  <c r="U8" i="3"/>
  <c r="R7" i="8"/>
  <c r="S14" i="30"/>
  <c r="S10" i="4"/>
  <c r="S13" i="4" s="1"/>
  <c r="U8" i="19"/>
  <c r="T8" i="25"/>
  <c r="T14" i="7"/>
  <c r="T43" i="7"/>
  <c r="T47" i="7" s="1"/>
  <c r="T41" i="7"/>
  <c r="W17" i="4"/>
  <c r="H33" i="18"/>
  <c r="H34" i="18" s="1"/>
  <c r="C48" i="2" s="1"/>
  <c r="I33" i="18"/>
  <c r="R23" i="4"/>
  <c r="S18" i="7"/>
  <c r="S28" i="7"/>
  <c r="S33" i="7" s="1"/>
  <c r="U21" i="3"/>
  <c r="V8" i="19" l="1"/>
  <c r="U8" i="25"/>
  <c r="D48" i="2"/>
  <c r="C52" i="2"/>
  <c r="B16" i="7"/>
  <c r="G33" i="18"/>
  <c r="X17" i="4"/>
  <c r="T10" i="4"/>
  <c r="T13" i="4" s="1"/>
  <c r="T14" i="30"/>
  <c r="U7" i="19"/>
  <c r="U7" i="25"/>
  <c r="U78" i="25" s="1"/>
  <c r="T7" i="4"/>
  <c r="T15" i="30" s="1"/>
  <c r="U7" i="7"/>
  <c r="V8" i="3"/>
  <c r="S7" i="8"/>
  <c r="V6" i="19"/>
  <c r="V6" i="25"/>
  <c r="U6" i="4"/>
  <c r="V6" i="7"/>
  <c r="V35" i="3"/>
  <c r="V36" i="3" s="1"/>
  <c r="V38" i="3" s="1"/>
  <c r="W7" i="3"/>
  <c r="T6" i="8"/>
  <c r="W21" i="3"/>
  <c r="T28" i="7"/>
  <c r="T33" i="7" s="1"/>
  <c r="T18" i="7"/>
  <c r="U41" i="7"/>
  <c r="U43" i="7"/>
  <c r="U47" i="7" s="1"/>
  <c r="U14" i="7"/>
  <c r="S23" i="4"/>
  <c r="U10" i="4" l="1"/>
  <c r="U13" i="4" s="1"/>
  <c r="U14" i="30"/>
  <c r="V7" i="19"/>
  <c r="V7" i="25"/>
  <c r="V78" i="25" s="1"/>
  <c r="U7" i="4"/>
  <c r="U15" i="30" s="1"/>
  <c r="W8" i="3"/>
  <c r="V7" i="7"/>
  <c r="T7" i="8"/>
  <c r="T23" i="4"/>
  <c r="W6" i="19"/>
  <c r="W6" i="25"/>
  <c r="W6" i="7"/>
  <c r="X21" i="3"/>
  <c r="U6" i="8"/>
  <c r="X7" i="3"/>
  <c r="W35" i="3"/>
  <c r="W36" i="3" s="1"/>
  <c r="W38" i="3" s="1"/>
  <c r="V6" i="4"/>
  <c r="W8" i="19"/>
  <c r="V8" i="25"/>
  <c r="U28" i="7"/>
  <c r="U33" i="7" s="1"/>
  <c r="U18" i="7"/>
  <c r="Y17" i="4"/>
  <c r="V14" i="7"/>
  <c r="V43" i="7"/>
  <c r="V47" i="7" s="1"/>
  <c r="V41" i="7"/>
  <c r="F16" i="7"/>
  <c r="N16" i="7"/>
  <c r="V16" i="7"/>
  <c r="AD16" i="7"/>
  <c r="H16" i="7"/>
  <c r="P16" i="7"/>
  <c r="X16" i="7"/>
  <c r="AF16" i="7"/>
  <c r="I16" i="7"/>
  <c r="Q16" i="7"/>
  <c r="Y16" i="7"/>
  <c r="AG16" i="7"/>
  <c r="D16" i="7"/>
  <c r="L16" i="7"/>
  <c r="T16" i="7"/>
  <c r="AB16" i="7"/>
  <c r="B45" i="7"/>
  <c r="S16" i="7"/>
  <c r="B19" i="7"/>
  <c r="E16" i="7"/>
  <c r="U16" i="7"/>
  <c r="G16" i="7"/>
  <c r="W16" i="7"/>
  <c r="J16" i="7"/>
  <c r="Z16" i="7"/>
  <c r="O16" i="7"/>
  <c r="AE16" i="7"/>
  <c r="AH16" i="7"/>
  <c r="K16" i="7"/>
  <c r="M16" i="7"/>
  <c r="R16" i="7"/>
  <c r="AA16" i="7"/>
  <c r="AC16" i="7"/>
  <c r="B31" i="7"/>
  <c r="D52" i="2"/>
  <c r="B17" i="7"/>
  <c r="C60" i="2"/>
  <c r="W7" i="19" l="1"/>
  <c r="W7" i="25"/>
  <c r="W78" i="25" s="1"/>
  <c r="V7" i="4"/>
  <c r="V15" i="30" s="1"/>
  <c r="W7" i="7"/>
  <c r="X8" i="3"/>
  <c r="U7" i="8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V45" i="7"/>
  <c r="X8" i="19"/>
  <c r="W8" i="25"/>
  <c r="F31" i="7"/>
  <c r="N31" i="7"/>
  <c r="V31" i="7"/>
  <c r="AD31" i="7"/>
  <c r="H31" i="7"/>
  <c r="P31" i="7"/>
  <c r="X31" i="7"/>
  <c r="AF31" i="7"/>
  <c r="I31" i="7"/>
  <c r="Q31" i="7"/>
  <c r="Y31" i="7"/>
  <c r="AG31" i="7"/>
  <c r="D31" i="7"/>
  <c r="L31" i="7"/>
  <c r="T31" i="7"/>
  <c r="AB31" i="7"/>
  <c r="J31" i="7"/>
  <c r="Z31" i="7"/>
  <c r="K31" i="7"/>
  <c r="AA31" i="7"/>
  <c r="M31" i="7"/>
  <c r="AC31" i="7"/>
  <c r="O31" i="7"/>
  <c r="AE31" i="7"/>
  <c r="E31" i="7"/>
  <c r="U31" i="7"/>
  <c r="S31" i="7"/>
  <c r="W31" i="7"/>
  <c r="AH31" i="7"/>
  <c r="G31" i="7"/>
  <c r="B34" i="7"/>
  <c r="R31" i="7"/>
  <c r="W41" i="7"/>
  <c r="W45" i="7" s="1"/>
  <c r="W43" i="7"/>
  <c r="W47" i="7" s="1"/>
  <c r="W14" i="7"/>
  <c r="R19" i="7"/>
  <c r="V14" i="30"/>
  <c r="V10" i="4"/>
  <c r="V13" i="4" s="1"/>
  <c r="B21" i="7"/>
  <c r="M19" i="7"/>
  <c r="L19" i="7"/>
  <c r="U23" i="4"/>
  <c r="G19" i="7"/>
  <c r="V28" i="7"/>
  <c r="V33" i="7" s="1"/>
  <c r="V18" i="7"/>
  <c r="B39" i="2"/>
  <c r="B42" i="2"/>
  <c r="B46" i="2"/>
  <c r="B56" i="2"/>
  <c r="C12" i="2"/>
  <c r="C11" i="2" s="1"/>
  <c r="B29" i="2"/>
  <c r="B38" i="2"/>
  <c r="B40" i="2"/>
  <c r="B44" i="2"/>
  <c r="C18" i="19"/>
  <c r="C20" i="19" s="1"/>
  <c r="C25" i="19" s="1"/>
  <c r="B21" i="2"/>
  <c r="B57" i="2"/>
  <c r="B49" i="2"/>
  <c r="D60" i="2"/>
  <c r="C66" i="2" s="1"/>
  <c r="B41" i="2"/>
  <c r="B45" i="2"/>
  <c r="B43" i="2"/>
  <c r="B47" i="2"/>
  <c r="B55" i="2"/>
  <c r="B58" i="2" s="1"/>
  <c r="AH53" i="25"/>
  <c r="AH61" i="25" s="1"/>
  <c r="C3" i="30"/>
  <c r="B32" i="2"/>
  <c r="B24" i="2"/>
  <c r="B30" i="2"/>
  <c r="B51" i="2"/>
  <c r="B33" i="2"/>
  <c r="B23" i="2"/>
  <c r="B27" i="2"/>
  <c r="B20" i="2"/>
  <c r="B34" i="2" s="1"/>
  <c r="B28" i="2"/>
  <c r="B25" i="2"/>
  <c r="B22" i="2"/>
  <c r="B31" i="2"/>
  <c r="B26" i="2"/>
  <c r="B50" i="2"/>
  <c r="B48" i="2"/>
  <c r="H19" i="7"/>
  <c r="X6" i="19"/>
  <c r="X6" i="25"/>
  <c r="W6" i="4"/>
  <c r="X6" i="7"/>
  <c r="X35" i="3"/>
  <c r="X36" i="3" s="1"/>
  <c r="X38" i="3" s="1"/>
  <c r="V6" i="8"/>
  <c r="Y7" i="3"/>
  <c r="F17" i="7"/>
  <c r="F19" i="7" s="1"/>
  <c r="N17" i="7"/>
  <c r="N19" i="7" s="1"/>
  <c r="V17" i="7"/>
  <c r="V19" i="7" s="1"/>
  <c r="AD17" i="7"/>
  <c r="H17" i="7"/>
  <c r="P17" i="7"/>
  <c r="P19" i="7" s="1"/>
  <c r="X17" i="7"/>
  <c r="AF17" i="7"/>
  <c r="I17" i="7"/>
  <c r="I19" i="7" s="1"/>
  <c r="Q17" i="7"/>
  <c r="Q19" i="7" s="1"/>
  <c r="Y17" i="7"/>
  <c r="AG17" i="7"/>
  <c r="D17" i="7"/>
  <c r="D19" i="7" s="1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L17" i="7"/>
  <c r="T17" i="7"/>
  <c r="T19" i="7" s="1"/>
  <c r="AB17" i="7"/>
  <c r="B46" i="7"/>
  <c r="S17" i="7"/>
  <c r="S19" i="7" s="1"/>
  <c r="E17" i="7"/>
  <c r="U17" i="7"/>
  <c r="U19" i="7" s="1"/>
  <c r="G17" i="7"/>
  <c r="W17" i="7"/>
  <c r="J17" i="7"/>
  <c r="J19" i="7" s="1"/>
  <c r="Z17" i="7"/>
  <c r="O17" i="7"/>
  <c r="O19" i="7" s="1"/>
  <c r="AE17" i="7"/>
  <c r="K17" i="7"/>
  <c r="K19" i="7" s="1"/>
  <c r="M17" i="7"/>
  <c r="R17" i="7"/>
  <c r="B32" i="7"/>
  <c r="AA17" i="7"/>
  <c r="AC17" i="7"/>
  <c r="AH17" i="7"/>
  <c r="E19" i="7"/>
  <c r="Z17" i="4"/>
  <c r="U45" i="7"/>
  <c r="I41" i="19" l="1"/>
  <c r="Q41" i="19"/>
  <c r="Y41" i="19"/>
  <c r="AG41" i="19"/>
  <c r="D11" i="2"/>
  <c r="J41" i="19"/>
  <c r="R41" i="19"/>
  <c r="Z41" i="19"/>
  <c r="AH41" i="19"/>
  <c r="H48" i="2"/>
  <c r="C41" i="19"/>
  <c r="C43" i="19" s="1"/>
  <c r="C45" i="19" s="1"/>
  <c r="C47" i="19" s="1"/>
  <c r="K41" i="19"/>
  <c r="S41" i="19"/>
  <c r="AA41" i="19"/>
  <c r="E41" i="19"/>
  <c r="M41" i="19"/>
  <c r="U41" i="19"/>
  <c r="AC41" i="19"/>
  <c r="H47" i="2"/>
  <c r="F41" i="19"/>
  <c r="N41" i="19"/>
  <c r="V41" i="19"/>
  <c r="AD41" i="19"/>
  <c r="C14" i="2"/>
  <c r="G41" i="19"/>
  <c r="O41" i="19"/>
  <c r="W41" i="19"/>
  <c r="AE41" i="19"/>
  <c r="AF41" i="19"/>
  <c r="C33" i="32"/>
  <c r="K33" i="32"/>
  <c r="S33" i="32"/>
  <c r="AA33" i="32"/>
  <c r="D41" i="19"/>
  <c r="D33" i="32"/>
  <c r="L33" i="32"/>
  <c r="T33" i="32"/>
  <c r="AB33" i="32"/>
  <c r="H41" i="19"/>
  <c r="E33" i="32"/>
  <c r="M33" i="32"/>
  <c r="U33" i="32"/>
  <c r="L41" i="19"/>
  <c r="F33" i="32"/>
  <c r="N33" i="32"/>
  <c r="V33" i="32"/>
  <c r="P41" i="19"/>
  <c r="G33" i="32"/>
  <c r="O33" i="32"/>
  <c r="X41" i="19"/>
  <c r="I33" i="32"/>
  <c r="Q33" i="32"/>
  <c r="Y33" i="32"/>
  <c r="R33" i="32"/>
  <c r="C26" i="25"/>
  <c r="W33" i="32"/>
  <c r="X33" i="32"/>
  <c r="Z33" i="32"/>
  <c r="T41" i="19"/>
  <c r="J33" i="32"/>
  <c r="C51" i="25"/>
  <c r="AB41" i="19"/>
  <c r="C68" i="25"/>
  <c r="C71" i="25" s="1"/>
  <c r="H33" i="32"/>
  <c r="C37" i="25"/>
  <c r="C39" i="25" s="1"/>
  <c r="C43" i="25"/>
  <c r="C46" i="25" s="1"/>
  <c r="P33" i="32"/>
  <c r="E46" i="7"/>
  <c r="M46" i="7"/>
  <c r="M48" i="7" s="1"/>
  <c r="L34" i="4" s="1"/>
  <c r="U46" i="7"/>
  <c r="AC46" i="7"/>
  <c r="O46" i="7"/>
  <c r="W46" i="7"/>
  <c r="AE46" i="7"/>
  <c r="H46" i="7"/>
  <c r="H48" i="7" s="1"/>
  <c r="G34" i="4" s="1"/>
  <c r="P46" i="7"/>
  <c r="X46" i="7"/>
  <c r="AF46" i="7"/>
  <c r="K46" i="7"/>
  <c r="K48" i="7" s="1"/>
  <c r="J34" i="4" s="1"/>
  <c r="S46" i="7"/>
  <c r="AA46" i="7"/>
  <c r="N46" i="7"/>
  <c r="Q46" i="7"/>
  <c r="V46" i="7"/>
  <c r="AD46" i="7"/>
  <c r="AG46" i="7"/>
  <c r="AB46" i="7"/>
  <c r="Z46" i="7"/>
  <c r="G46" i="7"/>
  <c r="AH46" i="7"/>
  <c r="T46" i="7"/>
  <c r="T48" i="7" s="1"/>
  <c r="S34" i="4" s="1"/>
  <c r="R46" i="7"/>
  <c r="J46" i="7"/>
  <c r="J48" i="7" s="1"/>
  <c r="I34" i="4" s="1"/>
  <c r="L46" i="7"/>
  <c r="L48" i="7" s="1"/>
  <c r="K34" i="4" s="1"/>
  <c r="Y46" i="7"/>
  <c r="F46" i="7"/>
  <c r="D46" i="7"/>
  <c r="I46" i="7"/>
  <c r="W10" i="4"/>
  <c r="W13" i="4" s="1"/>
  <c r="W14" i="30"/>
  <c r="B60" i="2"/>
  <c r="V23" i="4"/>
  <c r="D34" i="7"/>
  <c r="B12" i="8" s="1"/>
  <c r="H34" i="7"/>
  <c r="F12" i="8" s="1"/>
  <c r="V48" i="7"/>
  <c r="U34" i="4" s="1"/>
  <c r="O48" i="7"/>
  <c r="N34" i="4" s="1"/>
  <c r="G48" i="7"/>
  <c r="F34" i="4" s="1"/>
  <c r="U48" i="7"/>
  <c r="T34" i="4" s="1"/>
  <c r="W28" i="7"/>
  <c r="W33" i="7" s="1"/>
  <c r="W18" i="7"/>
  <c r="W19" i="7" s="1"/>
  <c r="W21" i="7" s="1"/>
  <c r="W34" i="7"/>
  <c r="U12" i="8" s="1"/>
  <c r="N48" i="7"/>
  <c r="M34" i="4" s="1"/>
  <c r="F48" i="7"/>
  <c r="E34" i="4" s="1"/>
  <c r="N32" i="7"/>
  <c r="V32" i="7"/>
  <c r="AD32" i="7"/>
  <c r="H32" i="7"/>
  <c r="P32" i="7"/>
  <c r="P34" i="7" s="1"/>
  <c r="N12" i="8" s="1"/>
  <c r="X32" i="7"/>
  <c r="AF32" i="7"/>
  <c r="Q32" i="7"/>
  <c r="Y32" i="7"/>
  <c r="AG32" i="7"/>
  <c r="L32" i="7"/>
  <c r="L34" i="7" s="1"/>
  <c r="J12" i="8" s="1"/>
  <c r="T32" i="7"/>
  <c r="AB32" i="7"/>
  <c r="O32" i="7"/>
  <c r="O34" i="7" s="1"/>
  <c r="M12" i="8" s="1"/>
  <c r="AE32" i="7"/>
  <c r="E32" i="7"/>
  <c r="G32" i="7"/>
  <c r="R32" i="7"/>
  <c r="R34" i="7" s="1"/>
  <c r="P12" i="8" s="1"/>
  <c r="S32" i="7"/>
  <c r="S34" i="7" s="1"/>
  <c r="Q12" i="8" s="1"/>
  <c r="W32" i="7"/>
  <c r="AC32" i="7"/>
  <c r="U32" i="7"/>
  <c r="M32" i="7"/>
  <c r="M34" i="7" s="1"/>
  <c r="K12" i="8" s="1"/>
  <c r="AH32" i="7"/>
  <c r="AA32" i="7"/>
  <c r="Z32" i="7"/>
  <c r="K32" i="7"/>
  <c r="K34" i="7" s="1"/>
  <c r="I12" i="8" s="1"/>
  <c r="J32" i="7"/>
  <c r="F32" i="7"/>
  <c r="F34" i="7" s="1"/>
  <c r="D12" i="8" s="1"/>
  <c r="D32" i="7"/>
  <c r="I32" i="7"/>
  <c r="E48" i="7"/>
  <c r="D34" i="4" s="1"/>
  <c r="AA17" i="4"/>
  <c r="Y6" i="19"/>
  <c r="Y6" i="25"/>
  <c r="X6" i="4"/>
  <c r="Y6" i="7"/>
  <c r="W6" i="8"/>
  <c r="Z7" i="3"/>
  <c r="Z21" i="3" s="1"/>
  <c r="Y35" i="3"/>
  <c r="Y36" i="3" s="1"/>
  <c r="Y38" i="3" s="1"/>
  <c r="W48" i="7"/>
  <c r="V34" i="4" s="1"/>
  <c r="Q34" i="7"/>
  <c r="O12" i="8" s="1"/>
  <c r="N34" i="7"/>
  <c r="L12" i="8" s="1"/>
  <c r="D48" i="7"/>
  <c r="Y21" i="3"/>
  <c r="B52" i="2"/>
  <c r="E34" i="7"/>
  <c r="C12" i="8" s="1"/>
  <c r="J34" i="7"/>
  <c r="H12" i="8" s="1"/>
  <c r="I34" i="7"/>
  <c r="G12" i="8" s="1"/>
  <c r="S48" i="7"/>
  <c r="R34" i="4" s="1"/>
  <c r="B48" i="7"/>
  <c r="V34" i="7"/>
  <c r="T12" i="8" s="1"/>
  <c r="U34" i="7"/>
  <c r="S12" i="8" s="1"/>
  <c r="R48" i="7"/>
  <c r="Q34" i="4" s="1"/>
  <c r="C4" i="30"/>
  <c r="C10" i="30" s="1"/>
  <c r="C34" i="19"/>
  <c r="C37" i="19" s="1"/>
  <c r="D12" i="2"/>
  <c r="B33" i="6"/>
  <c r="B36" i="7"/>
  <c r="I48" i="7"/>
  <c r="H34" i="4" s="1"/>
  <c r="T34" i="7"/>
  <c r="R12" i="8" s="1"/>
  <c r="Q48" i="7"/>
  <c r="P34" i="4" s="1"/>
  <c r="X14" i="7"/>
  <c r="X41" i="7"/>
  <c r="X45" i="7" s="1"/>
  <c r="X48" i="7" s="1"/>
  <c r="W34" i="4" s="1"/>
  <c r="X43" i="7"/>
  <c r="X47" i="7" s="1"/>
  <c r="G34" i="7"/>
  <c r="E12" i="8" s="1"/>
  <c r="Y8" i="19"/>
  <c r="X8" i="25"/>
  <c r="P48" i="7"/>
  <c r="O34" i="4" s="1"/>
  <c r="X7" i="19"/>
  <c r="X7" i="25"/>
  <c r="X78" i="25" s="1"/>
  <c r="X7" i="7"/>
  <c r="W7" i="4"/>
  <c r="W15" i="30" s="1"/>
  <c r="Y8" i="3"/>
  <c r="V7" i="8"/>
  <c r="K82" i="25" l="1"/>
  <c r="I11" i="8"/>
  <c r="L82" i="25"/>
  <c r="J11" i="8"/>
  <c r="J82" i="25"/>
  <c r="H11" i="8"/>
  <c r="M82" i="25"/>
  <c r="K11" i="8"/>
  <c r="T82" i="25"/>
  <c r="R11" i="8"/>
  <c r="H82" i="25"/>
  <c r="F11" i="8"/>
  <c r="X82" i="25"/>
  <c r="V11" i="8"/>
  <c r="R82" i="25"/>
  <c r="P11" i="8"/>
  <c r="W82" i="25"/>
  <c r="U11" i="8"/>
  <c r="O82" i="25"/>
  <c r="M11" i="8"/>
  <c r="X28" i="7"/>
  <c r="X33" i="7" s="1"/>
  <c r="X34" i="7" s="1"/>
  <c r="V12" i="8" s="1"/>
  <c r="X18" i="7"/>
  <c r="X19" i="7" s="1"/>
  <c r="X21" i="7" s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V82" i="25"/>
  <c r="T11" i="8"/>
  <c r="Y7" i="19"/>
  <c r="Y7" i="25"/>
  <c r="Y78" i="25" s="1"/>
  <c r="Y7" i="7"/>
  <c r="X7" i="4"/>
  <c r="X15" i="30" s="1"/>
  <c r="W7" i="8"/>
  <c r="Z8" i="3"/>
  <c r="G19" i="19"/>
  <c r="O19" i="19"/>
  <c r="W19" i="19"/>
  <c r="H19" i="19"/>
  <c r="P19" i="19"/>
  <c r="X19" i="19"/>
  <c r="I19" i="19"/>
  <c r="Q19" i="19"/>
  <c r="K19" i="19"/>
  <c r="S19" i="19"/>
  <c r="D19" i="19"/>
  <c r="L19" i="19"/>
  <c r="T19" i="19"/>
  <c r="E19" i="19"/>
  <c r="M19" i="19"/>
  <c r="U19" i="19"/>
  <c r="V19" i="19"/>
  <c r="F19" i="19"/>
  <c r="N19" i="19"/>
  <c r="J19" i="19"/>
  <c r="R19" i="19"/>
  <c r="C34" i="4"/>
  <c r="D14" i="2"/>
  <c r="B14" i="2"/>
  <c r="S82" i="25"/>
  <c r="Q11" i="8"/>
  <c r="D27" i="25"/>
  <c r="C30" i="25"/>
  <c r="D26" i="25" s="1"/>
  <c r="Z6" i="25"/>
  <c r="Z6" i="19"/>
  <c r="Z6" i="7"/>
  <c r="Y6" i="4"/>
  <c r="Z35" i="3"/>
  <c r="Z36" i="3" s="1"/>
  <c r="Z38" i="3" s="1"/>
  <c r="X6" i="8"/>
  <c r="AA7" i="3"/>
  <c r="E82" i="25"/>
  <c r="C11" i="8"/>
  <c r="B11" i="2"/>
  <c r="Y14" i="7"/>
  <c r="Y41" i="7"/>
  <c r="Y45" i="7" s="1"/>
  <c r="Y43" i="7"/>
  <c r="Y47" i="7" s="1"/>
  <c r="F82" i="25"/>
  <c r="D11" i="8"/>
  <c r="Q82" i="25"/>
  <c r="O11" i="8"/>
  <c r="F18" i="19"/>
  <c r="N18" i="19"/>
  <c r="N20" i="19" s="1"/>
  <c r="N25" i="19" s="1"/>
  <c r="V18" i="19"/>
  <c r="V20" i="19" s="1"/>
  <c r="V25" i="19" s="1"/>
  <c r="AD18" i="19"/>
  <c r="C15" i="32"/>
  <c r="K15" i="32"/>
  <c r="S15" i="32"/>
  <c r="AA15" i="32"/>
  <c r="G18" i="19"/>
  <c r="G20" i="19" s="1"/>
  <c r="G25" i="19" s="1"/>
  <c r="O18" i="19"/>
  <c r="O20" i="19" s="1"/>
  <c r="O25" i="19" s="1"/>
  <c r="W18" i="19"/>
  <c r="AE18" i="19"/>
  <c r="D15" i="32"/>
  <c r="L15" i="32"/>
  <c r="T15" i="32"/>
  <c r="AB15" i="32"/>
  <c r="H18" i="19"/>
  <c r="H20" i="19" s="1"/>
  <c r="H25" i="19" s="1"/>
  <c r="P18" i="19"/>
  <c r="X18" i="19"/>
  <c r="X20" i="19" s="1"/>
  <c r="X25" i="19" s="1"/>
  <c r="AF18" i="19"/>
  <c r="E15" i="32"/>
  <c r="M15" i="32"/>
  <c r="U15" i="32"/>
  <c r="J18" i="19"/>
  <c r="J20" i="19" s="1"/>
  <c r="J25" i="19" s="1"/>
  <c r="R18" i="19"/>
  <c r="R20" i="19" s="1"/>
  <c r="R25" i="19" s="1"/>
  <c r="Z18" i="19"/>
  <c r="AH18" i="19"/>
  <c r="G15" i="32"/>
  <c r="O15" i="32"/>
  <c r="W15" i="32"/>
  <c r="K18" i="19"/>
  <c r="K20" i="19" s="1"/>
  <c r="K25" i="19" s="1"/>
  <c r="S18" i="19"/>
  <c r="S20" i="19" s="1"/>
  <c r="S25" i="19" s="1"/>
  <c r="AA18" i="19"/>
  <c r="H15" i="32"/>
  <c r="P15" i="32"/>
  <c r="X15" i="32"/>
  <c r="D18" i="19"/>
  <c r="D20" i="19" s="1"/>
  <c r="D25" i="19" s="1"/>
  <c r="L18" i="19"/>
  <c r="L20" i="19" s="1"/>
  <c r="L25" i="19" s="1"/>
  <c r="T18" i="19"/>
  <c r="AB18" i="19"/>
  <c r="I15" i="32"/>
  <c r="Q15" i="32"/>
  <c r="Y15" i="32"/>
  <c r="U18" i="19"/>
  <c r="Y18" i="19"/>
  <c r="AC18" i="19"/>
  <c r="F15" i="32"/>
  <c r="AG18" i="19"/>
  <c r="J15" i="32"/>
  <c r="E18" i="19"/>
  <c r="N15" i="32"/>
  <c r="M18" i="19"/>
  <c r="M20" i="19" s="1"/>
  <c r="M25" i="19" s="1"/>
  <c r="V15" i="32"/>
  <c r="Z15" i="32"/>
  <c r="I18" i="19"/>
  <c r="I20" i="19" s="1"/>
  <c r="I25" i="19" s="1"/>
  <c r="Q18" i="19"/>
  <c r="Q20" i="19" s="1"/>
  <c r="Q25" i="19" s="1"/>
  <c r="R15" i="32"/>
  <c r="B50" i="7"/>
  <c r="D50" i="7"/>
  <c r="I82" i="25"/>
  <c r="G11" i="8"/>
  <c r="C59" i="25"/>
  <c r="C62" i="25" s="1"/>
  <c r="C54" i="25"/>
  <c r="P82" i="25"/>
  <c r="N11" i="8"/>
  <c r="Z8" i="19"/>
  <c r="Y8" i="25"/>
  <c r="B36" i="6"/>
  <c r="E67" i="6"/>
  <c r="AB17" i="4"/>
  <c r="G17" i="30"/>
  <c r="O17" i="30"/>
  <c r="W17" i="30"/>
  <c r="AE17" i="30"/>
  <c r="I17" i="30"/>
  <c r="Q17" i="30"/>
  <c r="Y17" i="30"/>
  <c r="K17" i="30"/>
  <c r="U17" i="30"/>
  <c r="AF17" i="30"/>
  <c r="L17" i="30"/>
  <c r="V17" i="30"/>
  <c r="C17" i="30"/>
  <c r="M17" i="30"/>
  <c r="X17" i="30"/>
  <c r="D17" i="30"/>
  <c r="N17" i="30"/>
  <c r="Z17" i="30"/>
  <c r="E17" i="30"/>
  <c r="P17" i="30"/>
  <c r="AA17" i="30"/>
  <c r="S17" i="30"/>
  <c r="J17" i="30"/>
  <c r="R17" i="30"/>
  <c r="T17" i="30"/>
  <c r="AB17" i="30"/>
  <c r="C16" i="30"/>
  <c r="AC17" i="30"/>
  <c r="F17" i="30"/>
  <c r="AD17" i="30"/>
  <c r="H17" i="30"/>
  <c r="X14" i="30"/>
  <c r="X10" i="4"/>
  <c r="X13" i="4" s="1"/>
  <c r="N82" i="25"/>
  <c r="L11" i="8"/>
  <c r="U82" i="25"/>
  <c r="S11" i="8"/>
  <c r="G82" i="25"/>
  <c r="E11" i="8"/>
  <c r="W23" i="4"/>
  <c r="AC17" i="4" l="1"/>
  <c r="Y28" i="7"/>
  <c r="Y33" i="7" s="1"/>
  <c r="Y34" i="7" s="1"/>
  <c r="W12" i="8" s="1"/>
  <c r="Y18" i="7"/>
  <c r="Y19" i="7" s="1"/>
  <c r="Y21" i="7" s="1"/>
  <c r="Y36" i="7"/>
  <c r="T20" i="19"/>
  <c r="T25" i="19" s="1"/>
  <c r="Z41" i="7"/>
  <c r="Z45" i="7" s="1"/>
  <c r="Z43" i="7"/>
  <c r="Z47" i="7" s="1"/>
  <c r="Z14" i="7"/>
  <c r="Z7" i="19"/>
  <c r="Z7" i="25"/>
  <c r="Z78" i="25" s="1"/>
  <c r="Y7" i="4"/>
  <c r="Y15" i="30" s="1"/>
  <c r="X7" i="8"/>
  <c r="Z7" i="7"/>
  <c r="AA8" i="3"/>
  <c r="X23" i="4"/>
  <c r="C28" i="32"/>
  <c r="C18" i="30"/>
  <c r="C38" i="4" s="1"/>
  <c r="D12" i="25" s="1"/>
  <c r="U20" i="19"/>
  <c r="U25" i="19" s="1"/>
  <c r="AA6" i="19"/>
  <c r="AA6" i="25"/>
  <c r="AA6" i="7"/>
  <c r="AB7" i="3"/>
  <c r="AB21" i="3" s="1"/>
  <c r="AA35" i="3"/>
  <c r="AA36" i="3" s="1"/>
  <c r="AA38" i="3" s="1"/>
  <c r="Y6" i="8"/>
  <c r="Z6" i="4"/>
  <c r="B49" i="6"/>
  <c r="E50" i="7"/>
  <c r="C24" i="4"/>
  <c r="W20" i="19"/>
  <c r="W25" i="19" s="1"/>
  <c r="C19" i="30"/>
  <c r="D13" i="25" s="1"/>
  <c r="E20" i="19"/>
  <c r="E25" i="19" s="1"/>
  <c r="P20" i="19"/>
  <c r="P25" i="19" s="1"/>
  <c r="C16" i="32"/>
  <c r="D16" i="32" s="1"/>
  <c r="E16" i="32" s="1"/>
  <c r="F16" i="32" s="1"/>
  <c r="G16" i="32" s="1"/>
  <c r="H16" i="32" s="1"/>
  <c r="I16" i="32" s="1"/>
  <c r="J16" i="32" s="1"/>
  <c r="K16" i="32" s="1"/>
  <c r="L16" i="32" s="1"/>
  <c r="M16" i="32" s="1"/>
  <c r="N16" i="32" s="1"/>
  <c r="O16" i="32" s="1"/>
  <c r="P16" i="32" s="1"/>
  <c r="Q16" i="32" s="1"/>
  <c r="R16" i="32" s="1"/>
  <c r="S16" i="32" s="1"/>
  <c r="T16" i="32" s="1"/>
  <c r="U16" i="32" s="1"/>
  <c r="V16" i="32" s="1"/>
  <c r="W16" i="32" s="1"/>
  <c r="W17" i="32" s="1"/>
  <c r="W20" i="32" s="1"/>
  <c r="D82" i="25"/>
  <c r="B11" i="8"/>
  <c r="Y10" i="4"/>
  <c r="Y13" i="4" s="1"/>
  <c r="Y14" i="30"/>
  <c r="AA8" i="19"/>
  <c r="Z8" i="25"/>
  <c r="F20" i="19"/>
  <c r="F25" i="19" s="1"/>
  <c r="Y48" i="7"/>
  <c r="AA21" i="3"/>
  <c r="Z21" i="7" l="1"/>
  <c r="Y23" i="4"/>
  <c r="T17" i="32"/>
  <c r="T20" i="32" s="1"/>
  <c r="AD17" i="4"/>
  <c r="AA41" i="7"/>
  <c r="AA45" i="7" s="1"/>
  <c r="AA43" i="7"/>
  <c r="AA47" i="7" s="1"/>
  <c r="AA14" i="7"/>
  <c r="V17" i="32"/>
  <c r="V20" i="32" s="1"/>
  <c r="I17" i="32"/>
  <c r="I20" i="32" s="1"/>
  <c r="J17" i="32"/>
  <c r="J20" i="32" s="1"/>
  <c r="Z10" i="4"/>
  <c r="Z13" i="4" s="1"/>
  <c r="Z14" i="30"/>
  <c r="Z28" i="7"/>
  <c r="Z33" i="7" s="1"/>
  <c r="Z34" i="7" s="1"/>
  <c r="X12" i="8" s="1"/>
  <c r="Z18" i="7"/>
  <c r="Z19" i="7" s="1"/>
  <c r="F17" i="32"/>
  <c r="F20" i="32" s="1"/>
  <c r="X34" i="4"/>
  <c r="Z19" i="19"/>
  <c r="Z20" i="19" s="1"/>
  <c r="Z25" i="19" s="1"/>
  <c r="Y19" i="19"/>
  <c r="Y20" i="19" s="1"/>
  <c r="Y25" i="19" s="1"/>
  <c r="M17" i="32"/>
  <c r="M20" i="32" s="1"/>
  <c r="H17" i="32"/>
  <c r="H20" i="32" s="1"/>
  <c r="Q17" i="32"/>
  <c r="Q20" i="32" s="1"/>
  <c r="N17" i="32"/>
  <c r="N20" i="32" s="1"/>
  <c r="D16" i="30"/>
  <c r="E17" i="32"/>
  <c r="E20" i="32" s="1"/>
  <c r="AA7" i="25"/>
  <c r="AA78" i="25" s="1"/>
  <c r="AA7" i="19"/>
  <c r="AA7" i="7"/>
  <c r="Z7" i="4"/>
  <c r="Z15" i="30" s="1"/>
  <c r="Y7" i="8"/>
  <c r="AB8" i="3"/>
  <c r="Z48" i="7"/>
  <c r="Y34" i="4" s="1"/>
  <c r="C17" i="32"/>
  <c r="C20" i="32" s="1"/>
  <c r="Z36" i="7"/>
  <c r="R17" i="32"/>
  <c r="R20" i="32" s="1"/>
  <c r="D17" i="32"/>
  <c r="D20" i="32" s="1"/>
  <c r="AA8" i="25"/>
  <c r="AB8" i="19"/>
  <c r="N31" i="2"/>
  <c r="O31" i="2" s="1"/>
  <c r="C30" i="4"/>
  <c r="C32" i="4" s="1"/>
  <c r="K17" i="32"/>
  <c r="K20" i="32" s="1"/>
  <c r="G17" i="32"/>
  <c r="G20" i="32" s="1"/>
  <c r="O17" i="32"/>
  <c r="O20" i="32" s="1"/>
  <c r="S17" i="32"/>
  <c r="S20" i="32" s="1"/>
  <c r="AB6" i="19"/>
  <c r="AB6" i="25"/>
  <c r="AA6" i="4"/>
  <c r="AB6" i="7"/>
  <c r="AC7" i="3"/>
  <c r="AB35" i="3"/>
  <c r="AB36" i="3" s="1"/>
  <c r="AB38" i="3" s="1"/>
  <c r="AC21" i="3"/>
  <c r="Z6" i="8"/>
  <c r="P17" i="32"/>
  <c r="P20" i="32" s="1"/>
  <c r="D24" i="4"/>
  <c r="D30" i="4" s="1"/>
  <c r="D32" i="4" s="1"/>
  <c r="F50" i="7"/>
  <c r="L17" i="32"/>
  <c r="L20" i="32" s="1"/>
  <c r="U17" i="32"/>
  <c r="U20" i="32" s="1"/>
  <c r="AC6" i="19" l="1"/>
  <c r="AC6" i="25"/>
  <c r="AC6" i="7"/>
  <c r="AB6" i="4"/>
  <c r="AD7" i="3"/>
  <c r="AC35" i="3"/>
  <c r="AC36" i="3" s="1"/>
  <c r="AC38" i="3" s="1"/>
  <c r="AA6" i="8"/>
  <c r="AB14" i="7"/>
  <c r="AB41" i="7"/>
  <c r="AB45" i="7" s="1"/>
  <c r="AB48" i="7" s="1"/>
  <c r="AA34" i="4" s="1"/>
  <c r="AB43" i="7"/>
  <c r="AB47" i="7" s="1"/>
  <c r="B77" i="2"/>
  <c r="D11" i="25"/>
  <c r="D14" i="25" s="1"/>
  <c r="C36" i="4"/>
  <c r="C40" i="4" s="1"/>
  <c r="C21" i="30"/>
  <c r="C22" i="30" s="1"/>
  <c r="B38" i="6"/>
  <c r="AE17" i="4"/>
  <c r="C77" i="2"/>
  <c r="E11" i="25"/>
  <c r="D36" i="4"/>
  <c r="D21" i="30"/>
  <c r="C38" i="6"/>
  <c r="C29" i="6"/>
  <c r="AC8" i="19"/>
  <c r="AB8" i="25"/>
  <c r="AB7" i="19"/>
  <c r="AB7" i="25"/>
  <c r="AB78" i="25" s="1"/>
  <c r="AB7" i="7"/>
  <c r="AC8" i="3"/>
  <c r="AA7" i="4"/>
  <c r="AA15" i="30" s="1"/>
  <c r="Z7" i="8"/>
  <c r="G50" i="7"/>
  <c r="E24" i="4"/>
  <c r="E30" i="4" s="1"/>
  <c r="E32" i="4" s="1"/>
  <c r="AA10" i="4"/>
  <c r="AA13" i="4" s="1"/>
  <c r="AA14" i="30"/>
  <c r="X16" i="32"/>
  <c r="X17" i="32" s="1"/>
  <c r="X20" i="32" s="1"/>
  <c r="Y82" i="25"/>
  <c r="W11" i="8"/>
  <c r="Y16" i="32"/>
  <c r="Y17" i="32" s="1"/>
  <c r="Y20" i="32" s="1"/>
  <c r="Z82" i="25"/>
  <c r="X11" i="8"/>
  <c r="D28" i="32"/>
  <c r="D18" i="30"/>
  <c r="AA28" i="7"/>
  <c r="AA33" i="7" s="1"/>
  <c r="AA34" i="7" s="1"/>
  <c r="Y12" i="8" s="1"/>
  <c r="AA18" i="7"/>
  <c r="AA19" i="7" s="1"/>
  <c r="AA21" i="7" s="1"/>
  <c r="Z23" i="4"/>
  <c r="AA48" i="7"/>
  <c r="H50" i="7" l="1"/>
  <c r="F24" i="4"/>
  <c r="F30" i="4" s="1"/>
  <c r="F32" i="4" s="1"/>
  <c r="AD8" i="19"/>
  <c r="AC8" i="25"/>
  <c r="B79" i="2"/>
  <c r="D22" i="25"/>
  <c r="D77" i="2"/>
  <c r="F11" i="25"/>
  <c r="E21" i="30"/>
  <c r="E36" i="4"/>
  <c r="D29" i="6"/>
  <c r="D38" i="6"/>
  <c r="AA19" i="19"/>
  <c r="AA20" i="19" s="1"/>
  <c r="AA25" i="19" s="1"/>
  <c r="AC7" i="19"/>
  <c r="AC7" i="25"/>
  <c r="AC78" i="25" s="1"/>
  <c r="AC7" i="7"/>
  <c r="AB7" i="4"/>
  <c r="AB15" i="30" s="1"/>
  <c r="AD8" i="3"/>
  <c r="AA7" i="8"/>
  <c r="AB82" i="25"/>
  <c r="Z11" i="8"/>
  <c r="AD6" i="19"/>
  <c r="AD6" i="25"/>
  <c r="AC6" i="4"/>
  <c r="AD6" i="7"/>
  <c r="AD35" i="3"/>
  <c r="AD36" i="3" s="1"/>
  <c r="AD38" i="3" s="1"/>
  <c r="AE7" i="3"/>
  <c r="AB6" i="8"/>
  <c r="AE21" i="3"/>
  <c r="AA36" i="7"/>
  <c r="AB36" i="7" s="1"/>
  <c r="AB28" i="7"/>
  <c r="AB33" i="7" s="1"/>
  <c r="AB34" i="7" s="1"/>
  <c r="Z12" i="8" s="1"/>
  <c r="AB18" i="7"/>
  <c r="AB19" i="7" s="1"/>
  <c r="AB21" i="7" s="1"/>
  <c r="AB10" i="4"/>
  <c r="AB13" i="4" s="1"/>
  <c r="AB14" i="30"/>
  <c r="B11" i="6"/>
  <c r="B13" i="6" s="1"/>
  <c r="B37" i="6" s="1"/>
  <c r="AC41" i="7"/>
  <c r="AC45" i="7" s="1"/>
  <c r="AC48" i="7" s="1"/>
  <c r="AB34" i="4" s="1"/>
  <c r="AC43" i="7"/>
  <c r="AC47" i="7" s="1"/>
  <c r="AC14" i="7"/>
  <c r="D38" i="4"/>
  <c r="E12" i="25" s="1"/>
  <c r="D19" i="30"/>
  <c r="C11" i="6"/>
  <c r="C13" i="6" s="1"/>
  <c r="Z34" i="4"/>
  <c r="AB19" i="19"/>
  <c r="AB20" i="19" s="1"/>
  <c r="AB25" i="19" s="1"/>
  <c r="C42" i="4"/>
  <c r="C43" i="4"/>
  <c r="D17" i="25" s="1"/>
  <c r="B10" i="8"/>
  <c r="B13" i="8" s="1"/>
  <c r="AA23" i="4"/>
  <c r="AF17" i="4"/>
  <c r="D40" i="4"/>
  <c r="AD21" i="3"/>
  <c r="AC36" i="7" l="1"/>
  <c r="D32" i="19"/>
  <c r="D16" i="25"/>
  <c r="D19" i="25" s="1"/>
  <c r="D23" i="25" s="1"/>
  <c r="D60" i="25" s="1"/>
  <c r="D62" i="25" s="1"/>
  <c r="B46" i="8"/>
  <c r="AG17" i="4"/>
  <c r="E13" i="25"/>
  <c r="E14" i="25" s="1"/>
  <c r="E16" i="30"/>
  <c r="AD14" i="7"/>
  <c r="AD43" i="7"/>
  <c r="AD47" i="7" s="1"/>
  <c r="AD41" i="7"/>
  <c r="AD45" i="7" s="1"/>
  <c r="AD48" i="7" s="1"/>
  <c r="AC34" i="4" s="1"/>
  <c r="AB23" i="4"/>
  <c r="AC10" i="4"/>
  <c r="AC13" i="4" s="1"/>
  <c r="AC14" i="30"/>
  <c r="D11" i="6"/>
  <c r="D13" i="6" s="1"/>
  <c r="B16" i="8"/>
  <c r="B24" i="8"/>
  <c r="B29" i="8" s="1"/>
  <c r="B28" i="8"/>
  <c r="B30" i="8" s="1"/>
  <c r="AC28" i="7"/>
  <c r="AC33" i="7" s="1"/>
  <c r="AC34" i="7" s="1"/>
  <c r="AA12" i="8" s="1"/>
  <c r="AC18" i="7"/>
  <c r="AC19" i="7" s="1"/>
  <c r="AC21" i="7" s="1"/>
  <c r="D22" i="30"/>
  <c r="Z16" i="32"/>
  <c r="AA82" i="25"/>
  <c r="Y11" i="8"/>
  <c r="G11" i="25"/>
  <c r="F36" i="4"/>
  <c r="F21" i="30"/>
  <c r="E38" i="6"/>
  <c r="E29" i="6"/>
  <c r="E11" i="6" s="1"/>
  <c r="E13" i="6" s="1"/>
  <c r="AE8" i="19"/>
  <c r="AD8" i="25"/>
  <c r="D42" i="4"/>
  <c r="D43" i="4" s="1"/>
  <c r="E17" i="25" s="1"/>
  <c r="C10" i="8"/>
  <c r="C13" i="8" s="1"/>
  <c r="C45" i="4"/>
  <c r="B42" i="6"/>
  <c r="B35" i="6"/>
  <c r="B39" i="6" s="1"/>
  <c r="AE6" i="19"/>
  <c r="AE6" i="25"/>
  <c r="AE6" i="7"/>
  <c r="AD6" i="4"/>
  <c r="AF21" i="3"/>
  <c r="AC6" i="8"/>
  <c r="AF7" i="3"/>
  <c r="AE35" i="3"/>
  <c r="AE36" i="3" s="1"/>
  <c r="AE38" i="3" s="1"/>
  <c r="I50" i="7"/>
  <c r="G24" i="4"/>
  <c r="G30" i="4" s="1"/>
  <c r="G32" i="4" s="1"/>
  <c r="B80" i="2"/>
  <c r="D28" i="25"/>
  <c r="D29" i="25" s="1"/>
  <c r="D30" i="25" s="1"/>
  <c r="E26" i="25" s="1"/>
  <c r="D38" i="25"/>
  <c r="D39" i="25" s="1"/>
  <c r="D44" i="25"/>
  <c r="D46" i="25" s="1"/>
  <c r="D52" i="25"/>
  <c r="D54" i="25" s="1"/>
  <c r="D69" i="25"/>
  <c r="D71" i="25" s="1"/>
  <c r="AC82" i="25"/>
  <c r="AA11" i="8"/>
  <c r="AC19" i="19"/>
  <c r="AC20" i="19" s="1"/>
  <c r="AC25" i="19" s="1"/>
  <c r="AD7" i="19"/>
  <c r="AD7" i="25"/>
  <c r="AD78" i="25" s="1"/>
  <c r="AD7" i="7"/>
  <c r="AE8" i="3"/>
  <c r="AC7" i="4"/>
  <c r="AC15" i="30" s="1"/>
  <c r="AB7" i="8"/>
  <c r="C79" i="2" l="1"/>
  <c r="E22" i="25"/>
  <c r="AE7" i="19"/>
  <c r="AE7" i="25"/>
  <c r="AE78" i="25" s="1"/>
  <c r="AD7" i="4"/>
  <c r="AD15" i="30" s="1"/>
  <c r="AE7" i="7"/>
  <c r="AF8" i="3"/>
  <c r="AC7" i="8"/>
  <c r="D45" i="4"/>
  <c r="AF6" i="19"/>
  <c r="AF6" i="25"/>
  <c r="AE6" i="4"/>
  <c r="AF6" i="7"/>
  <c r="AF35" i="3"/>
  <c r="AF36" i="3" s="1"/>
  <c r="AF38" i="3" s="1"/>
  <c r="AD6" i="8"/>
  <c r="AG7" i="3"/>
  <c r="AG21" i="3"/>
  <c r="B44" i="6"/>
  <c r="B57" i="6" s="1"/>
  <c r="B45" i="6"/>
  <c r="C24" i="6" s="1"/>
  <c r="AC23" i="4"/>
  <c r="AD82" i="25"/>
  <c r="AB11" i="8"/>
  <c r="AD10" i="4"/>
  <c r="AD13" i="4" s="1"/>
  <c r="AD14" i="30"/>
  <c r="B78" i="2"/>
  <c r="D42" i="19"/>
  <c r="D43" i="19" s="1"/>
  <c r="C34" i="32"/>
  <c r="C35" i="32" s="1"/>
  <c r="D80" i="25"/>
  <c r="Z17" i="32"/>
  <c r="Z20" i="32" s="1"/>
  <c r="AA16" i="32"/>
  <c r="B19" i="8"/>
  <c r="B21" i="8"/>
  <c r="H11" i="25"/>
  <c r="F29" i="6"/>
  <c r="G36" i="4"/>
  <c r="G21" i="30"/>
  <c r="F38" i="6"/>
  <c r="AE41" i="7"/>
  <c r="AE45" i="7" s="1"/>
  <c r="AE48" i="7" s="1"/>
  <c r="AD34" i="4" s="1"/>
  <c r="AE43" i="7"/>
  <c r="AE47" i="7" s="1"/>
  <c r="AE14" i="7"/>
  <c r="C28" i="8"/>
  <c r="C30" i="8" s="1"/>
  <c r="C16" i="8"/>
  <c r="C24" i="8"/>
  <c r="C29" i="8" s="1"/>
  <c r="AD28" i="7"/>
  <c r="AD33" i="7" s="1"/>
  <c r="AD34" i="7" s="1"/>
  <c r="AB12" i="8" s="1"/>
  <c r="AD18" i="7"/>
  <c r="AD19" i="7" s="1"/>
  <c r="AD21" i="7" s="1"/>
  <c r="E32" i="19"/>
  <c r="D37" i="19"/>
  <c r="E27" i="25"/>
  <c r="AD19" i="19"/>
  <c r="AD20" i="19" s="1"/>
  <c r="AD25" i="19" s="1"/>
  <c r="J50" i="7"/>
  <c r="H24" i="4"/>
  <c r="H30" i="4" s="1"/>
  <c r="H32" i="4" s="1"/>
  <c r="E28" i="32"/>
  <c r="E18" i="30"/>
  <c r="AF8" i="19"/>
  <c r="AE8" i="25"/>
  <c r="B41" i="8"/>
  <c r="B33" i="8"/>
  <c r="E16" i="25"/>
  <c r="E19" i="25" s="1"/>
  <c r="E23" i="25" s="1"/>
  <c r="E60" i="25" s="1"/>
  <c r="E62" i="25" s="1"/>
  <c r="C46" i="8"/>
  <c r="B48" i="6"/>
  <c r="B50" i="6" s="1"/>
  <c r="B52" i="6" s="1"/>
  <c r="B56" i="6"/>
  <c r="B58" i="6" s="1"/>
  <c r="I11" i="25" l="1"/>
  <c r="H36" i="4"/>
  <c r="H21" i="30"/>
  <c r="G29" i="6"/>
  <c r="G11" i="6" s="1"/>
  <c r="G13" i="6" s="1"/>
  <c r="G38" i="6"/>
  <c r="K50" i="7"/>
  <c r="I24" i="4"/>
  <c r="I30" i="4" s="1"/>
  <c r="I32" i="4" s="1"/>
  <c r="B22" i="8"/>
  <c r="C18" i="8" s="1"/>
  <c r="C22" i="8" s="1"/>
  <c r="D18" i="8" s="1"/>
  <c r="AG6" i="19"/>
  <c r="AG6" i="25"/>
  <c r="AF6" i="4"/>
  <c r="AG6" i="7"/>
  <c r="AH21" i="3"/>
  <c r="AE6" i="8"/>
  <c r="AH7" i="3"/>
  <c r="AG35" i="3"/>
  <c r="AG36" i="3" s="1"/>
  <c r="AG38" i="3" s="1"/>
  <c r="E38" i="4"/>
  <c r="E19" i="30"/>
  <c r="AD23" i="4"/>
  <c r="AE10" i="4"/>
  <c r="AE13" i="4" s="1"/>
  <c r="AE14" i="30"/>
  <c r="C78" i="2"/>
  <c r="E42" i="19"/>
  <c r="E43" i="19" s="1"/>
  <c r="E45" i="19" s="1"/>
  <c r="E47" i="19" s="1"/>
  <c r="D34" i="32"/>
  <c r="D35" i="32" s="1"/>
  <c r="E80" i="25"/>
  <c r="E37" i="19"/>
  <c r="C27" i="6"/>
  <c r="C28" i="6"/>
  <c r="C26" i="6"/>
  <c r="AA17" i="32"/>
  <c r="AA20" i="32" s="1"/>
  <c r="AB16" i="32"/>
  <c r="AB17" i="32" s="1"/>
  <c r="AB20" i="32" s="1"/>
  <c r="AE19" i="19"/>
  <c r="AE20" i="19" s="1"/>
  <c r="AE25" i="19" s="1"/>
  <c r="AD36" i="7"/>
  <c r="AE36" i="7" s="1"/>
  <c r="AF7" i="19"/>
  <c r="AF7" i="25"/>
  <c r="AF78" i="25" s="1"/>
  <c r="AF7" i="7"/>
  <c r="AE7" i="4"/>
  <c r="AE15" i="30" s="1"/>
  <c r="AG8" i="3"/>
  <c r="AD7" i="8"/>
  <c r="AG8" i="19"/>
  <c r="AF8" i="25"/>
  <c r="C19" i="8"/>
  <c r="C21" i="8"/>
  <c r="F11" i="6"/>
  <c r="F13" i="6" s="1"/>
  <c r="AF14" i="7"/>
  <c r="AF41" i="7"/>
  <c r="AF45" i="7" s="1"/>
  <c r="AF43" i="7"/>
  <c r="AF47" i="7" s="1"/>
  <c r="AE82" i="25"/>
  <c r="AC11" i="8"/>
  <c r="C33" i="8"/>
  <c r="C41" i="8"/>
  <c r="C80" i="2"/>
  <c r="E28" i="25"/>
  <c r="E29" i="25" s="1"/>
  <c r="E30" i="25" s="1"/>
  <c r="F26" i="25" s="1"/>
  <c r="E38" i="25"/>
  <c r="E39" i="25" s="1"/>
  <c r="E44" i="25"/>
  <c r="E46" i="25" s="1"/>
  <c r="E52" i="25"/>
  <c r="E54" i="25" s="1"/>
  <c r="E69" i="25"/>
  <c r="E71" i="25" s="1"/>
  <c r="B38" i="8"/>
  <c r="B45" i="8"/>
  <c r="B47" i="8" s="1"/>
  <c r="B36" i="8"/>
  <c r="AE28" i="7"/>
  <c r="AE33" i="7" s="1"/>
  <c r="AE34" i="7" s="1"/>
  <c r="AC12" i="8" s="1"/>
  <c r="AE18" i="7"/>
  <c r="AE19" i="7" s="1"/>
  <c r="AE21" i="7" s="1"/>
  <c r="D45" i="19"/>
  <c r="D47" i="19" s="1"/>
  <c r="AF21" i="7" l="1"/>
  <c r="F12" i="25"/>
  <c r="F14" i="25" s="1"/>
  <c r="E40" i="4"/>
  <c r="B39" i="8"/>
  <c r="C35" i="8" s="1"/>
  <c r="D81" i="25"/>
  <c r="D87" i="25" s="1"/>
  <c r="B49" i="8"/>
  <c r="C36" i="8"/>
  <c r="C45" i="8"/>
  <c r="C47" i="8" s="1"/>
  <c r="E81" i="25" s="1"/>
  <c r="E87" i="25" s="1"/>
  <c r="C38" i="8"/>
  <c r="AF10" i="4"/>
  <c r="AF13" i="4" s="1"/>
  <c r="AF14" i="30"/>
  <c r="F13" i="25"/>
  <c r="E22" i="30"/>
  <c r="F16" i="30"/>
  <c r="AF48" i="7"/>
  <c r="C30" i="6"/>
  <c r="C33" i="6"/>
  <c r="AH6" i="25"/>
  <c r="AH6" i="19"/>
  <c r="AH6" i="7"/>
  <c r="AG6" i="4"/>
  <c r="AG10" i="4" s="1"/>
  <c r="AG13" i="4" s="1"/>
  <c r="AH35" i="3"/>
  <c r="AH36" i="3" s="1"/>
  <c r="AH38" i="3" s="1"/>
  <c r="AF6" i="8"/>
  <c r="F27" i="25"/>
  <c r="AF28" i="7"/>
  <c r="AF33" i="7" s="1"/>
  <c r="AF34" i="7" s="1"/>
  <c r="AD12" i="8" s="1"/>
  <c r="AF18" i="7"/>
  <c r="AF19" i="7" s="1"/>
  <c r="AG7" i="19"/>
  <c r="AG7" i="25"/>
  <c r="AG78" i="25" s="1"/>
  <c r="AF7" i="4"/>
  <c r="AF15" i="30" s="1"/>
  <c r="AG7" i="7"/>
  <c r="AE7" i="8"/>
  <c r="AH8" i="3"/>
  <c r="J11" i="25"/>
  <c r="H38" i="6"/>
  <c r="I36" i="4"/>
  <c r="I21" i="30"/>
  <c r="H29" i="6"/>
  <c r="H11" i="6" s="1"/>
  <c r="H13" i="6" s="1"/>
  <c r="AH8" i="19"/>
  <c r="AH8" i="25" s="1"/>
  <c r="AG8" i="25"/>
  <c r="L50" i="7"/>
  <c r="J24" i="4"/>
  <c r="J30" i="4" s="1"/>
  <c r="J32" i="4" s="1"/>
  <c r="AE23" i="4"/>
  <c r="AG14" i="7"/>
  <c r="AG41" i="7"/>
  <c r="AG45" i="7" s="1"/>
  <c r="AG48" i="7" s="1"/>
  <c r="AG43" i="7"/>
  <c r="AG47" i="7" s="1"/>
  <c r="AH7" i="19" l="1"/>
  <c r="AH7" i="25"/>
  <c r="AH78" i="25" s="1"/>
  <c r="AH7" i="7"/>
  <c r="AG7" i="4"/>
  <c r="AF7" i="8"/>
  <c r="AE34" i="4"/>
  <c r="AF19" i="19"/>
  <c r="AF20" i="19" s="1"/>
  <c r="AF25" i="19" s="1"/>
  <c r="D79" i="2"/>
  <c r="F22" i="25"/>
  <c r="AF23" i="4"/>
  <c r="AH41" i="7"/>
  <c r="AH45" i="7" s="1"/>
  <c r="AH43" i="7"/>
  <c r="AH47" i="7" s="1"/>
  <c r="AH14" i="7"/>
  <c r="C36" i="6"/>
  <c r="C37" i="6" s="1"/>
  <c r="K11" i="25"/>
  <c r="J36" i="4"/>
  <c r="J21" i="30"/>
  <c r="I29" i="6"/>
  <c r="I38" i="6"/>
  <c r="C39" i="8"/>
  <c r="D35" i="8" s="1"/>
  <c r="C25" i="32"/>
  <c r="C30" i="32" s="1"/>
  <c r="C36" i="32" s="1"/>
  <c r="C38" i="32" s="1"/>
  <c r="C49" i="8"/>
  <c r="AF34" i="4"/>
  <c r="AG19" i="19"/>
  <c r="AG20" i="19" s="1"/>
  <c r="AG25" i="19" s="1"/>
  <c r="M50" i="7"/>
  <c r="K24" i="4"/>
  <c r="K30" i="4" s="1"/>
  <c r="K32" i="4" s="1"/>
  <c r="AF36" i="7"/>
  <c r="F28" i="32"/>
  <c r="F18" i="30"/>
  <c r="E45" i="4"/>
  <c r="E42" i="4"/>
  <c r="E43" i="4"/>
  <c r="F17" i="25" s="1"/>
  <c r="D10" i="8"/>
  <c r="D13" i="8" s="1"/>
  <c r="AG28" i="7"/>
  <c r="AG33" i="7" s="1"/>
  <c r="AG34" i="7" s="1"/>
  <c r="AE12" i="8" s="1"/>
  <c r="AG18" i="7"/>
  <c r="AG19" i="7" s="1"/>
  <c r="AG21" i="7"/>
  <c r="C39" i="6" l="1"/>
  <c r="C42" i="6"/>
  <c r="C35" i="6"/>
  <c r="F38" i="4"/>
  <c r="F19" i="30"/>
  <c r="AH48" i="7"/>
  <c r="AG82" i="25"/>
  <c r="AE11" i="8"/>
  <c r="AH28" i="7"/>
  <c r="AH33" i="7" s="1"/>
  <c r="AH34" i="7" s="1"/>
  <c r="AF12" i="8" s="1"/>
  <c r="AH18" i="7"/>
  <c r="AH19" i="7" s="1"/>
  <c r="AH21" i="7" s="1"/>
  <c r="AG36" i="7"/>
  <c r="AH36" i="7" s="1"/>
  <c r="AF82" i="25"/>
  <c r="AD11" i="8"/>
  <c r="D16" i="8"/>
  <c r="D28" i="8"/>
  <c r="D24" i="8"/>
  <c r="D29" i="8" s="1"/>
  <c r="L11" i="25"/>
  <c r="K36" i="4"/>
  <c r="K21" i="30"/>
  <c r="J29" i="6"/>
  <c r="J11" i="6" s="1"/>
  <c r="J13" i="6" s="1"/>
  <c r="J38" i="6"/>
  <c r="C49" i="6"/>
  <c r="AG23" i="4"/>
  <c r="N50" i="7"/>
  <c r="L24" i="4"/>
  <c r="L30" i="4" s="1"/>
  <c r="L32" i="4" s="1"/>
  <c r="F16" i="25"/>
  <c r="F19" i="25" s="1"/>
  <c r="F23" i="25" s="1"/>
  <c r="F60" i="25" s="1"/>
  <c r="F62" i="25" s="1"/>
  <c r="D46" i="8"/>
  <c r="F32" i="19"/>
  <c r="I11" i="6"/>
  <c r="I13" i="6" s="1"/>
  <c r="D80" i="2"/>
  <c r="F52" i="25"/>
  <c r="F54" i="25" s="1"/>
  <c r="F28" i="25"/>
  <c r="F29" i="25" s="1"/>
  <c r="F30" i="25" s="1"/>
  <c r="G26" i="25" s="1"/>
  <c r="F38" i="25"/>
  <c r="F39" i="25" s="1"/>
  <c r="F69" i="25"/>
  <c r="F71" i="25" s="1"/>
  <c r="F44" i="25"/>
  <c r="F46" i="25" s="1"/>
  <c r="D25" i="32"/>
  <c r="D30" i="32" s="1"/>
  <c r="D36" i="32" s="1"/>
  <c r="D38" i="32" s="1"/>
  <c r="D78" i="2"/>
  <c r="F42" i="19"/>
  <c r="F43" i="19" s="1"/>
  <c r="E34" i="32"/>
  <c r="E35" i="32" s="1"/>
  <c r="F80" i="25"/>
  <c r="F45" i="19" l="1"/>
  <c r="F47" i="19" s="1"/>
  <c r="O50" i="7"/>
  <c r="M24" i="4"/>
  <c r="M30" i="4" s="1"/>
  <c r="M32" i="4" s="1"/>
  <c r="G13" i="25"/>
  <c r="F22" i="30"/>
  <c r="G16" i="30"/>
  <c r="G27" i="25"/>
  <c r="G12" i="25"/>
  <c r="G14" i="25" s="1"/>
  <c r="F40" i="4"/>
  <c r="F37" i="19"/>
  <c r="D21" i="8"/>
  <c r="D19" i="8"/>
  <c r="C45" i="6"/>
  <c r="D24" i="6" s="1"/>
  <c r="C44" i="6"/>
  <c r="C57" i="6" s="1"/>
  <c r="D30" i="8"/>
  <c r="AG34" i="4"/>
  <c r="AH19" i="19"/>
  <c r="AH20" i="19" s="1"/>
  <c r="AH25" i="19" s="1"/>
  <c r="C48" i="6"/>
  <c r="C50" i="6" s="1"/>
  <c r="C52" i="6" s="1"/>
  <c r="C56" i="6"/>
  <c r="M11" i="25"/>
  <c r="K38" i="6"/>
  <c r="L36" i="4"/>
  <c r="L21" i="30"/>
  <c r="K29" i="6"/>
  <c r="K11" i="6" s="1"/>
  <c r="K13" i="6" s="1"/>
  <c r="G22" i="25" l="1"/>
  <c r="D22" i="8"/>
  <c r="E18" i="8" s="1"/>
  <c r="D27" i="6"/>
  <c r="D28" i="6" s="1"/>
  <c r="G28" i="32"/>
  <c r="G18" i="30"/>
  <c r="N11" i="25"/>
  <c r="L38" i="6"/>
  <c r="M21" i="30"/>
  <c r="M36" i="4"/>
  <c r="L29" i="6"/>
  <c r="C58" i="6"/>
  <c r="P50" i="7"/>
  <c r="N24" i="4"/>
  <c r="N30" i="4" s="1"/>
  <c r="N32" i="4" s="1"/>
  <c r="AH82" i="25"/>
  <c r="AF11" i="8"/>
  <c r="D33" i="8"/>
  <c r="D41" i="8"/>
  <c r="F42" i="4"/>
  <c r="F43" i="4"/>
  <c r="G17" i="25" s="1"/>
  <c r="E10" i="8"/>
  <c r="E13" i="8" s="1"/>
  <c r="D30" i="6" l="1"/>
  <c r="D33" i="6"/>
  <c r="D26" i="6"/>
  <c r="D38" i="8"/>
  <c r="D45" i="8"/>
  <c r="D47" i="8" s="1"/>
  <c r="D36" i="8"/>
  <c r="G16" i="25"/>
  <c r="G19" i="25" s="1"/>
  <c r="G23" i="25" s="1"/>
  <c r="G60" i="25" s="1"/>
  <c r="G62" i="25" s="1"/>
  <c r="E46" i="8"/>
  <c r="G32" i="19"/>
  <c r="L11" i="6"/>
  <c r="L13" i="6" s="1"/>
  <c r="F45" i="4"/>
  <c r="Q50" i="7"/>
  <c r="O24" i="4"/>
  <c r="O30" i="4" s="1"/>
  <c r="O32" i="4" s="1"/>
  <c r="O11" i="25"/>
  <c r="N21" i="30"/>
  <c r="N36" i="4"/>
  <c r="M38" i="6"/>
  <c r="M29" i="6"/>
  <c r="G38" i="4"/>
  <c r="G19" i="30"/>
  <c r="G28" i="25"/>
  <c r="G29" i="25" s="1"/>
  <c r="G30" i="25" s="1"/>
  <c r="H26" i="25" s="1"/>
  <c r="G38" i="25"/>
  <c r="G39" i="25" s="1"/>
  <c r="G44" i="25"/>
  <c r="G46" i="25" s="1"/>
  <c r="G52" i="25"/>
  <c r="G54" i="25" s="1"/>
  <c r="G69" i="25"/>
  <c r="G71" i="25" s="1"/>
  <c r="E16" i="8"/>
  <c r="E28" i="8"/>
  <c r="E24" i="8"/>
  <c r="E29" i="8" s="1"/>
  <c r="H27" i="25" l="1"/>
  <c r="E30" i="8"/>
  <c r="E21" i="8"/>
  <c r="E19" i="8"/>
  <c r="M11" i="6"/>
  <c r="M13" i="6" s="1"/>
  <c r="R50" i="7"/>
  <c r="P24" i="4"/>
  <c r="P30" i="4" s="1"/>
  <c r="P32" i="4" s="1"/>
  <c r="H13" i="25"/>
  <c r="G22" i="30"/>
  <c r="H16" i="30"/>
  <c r="H12" i="25"/>
  <c r="H14" i="25" s="1"/>
  <c r="G40" i="4"/>
  <c r="D39" i="8"/>
  <c r="E35" i="8" s="1"/>
  <c r="P11" i="25"/>
  <c r="O21" i="30"/>
  <c r="O36" i="4"/>
  <c r="N38" i="6"/>
  <c r="N29" i="6"/>
  <c r="F81" i="25"/>
  <c r="F87" i="25" s="1"/>
  <c r="D49" i="8"/>
  <c r="G42" i="19"/>
  <c r="G43" i="19" s="1"/>
  <c r="G45" i="19" s="1"/>
  <c r="G47" i="19" s="1"/>
  <c r="F34" i="32"/>
  <c r="F35" i="32" s="1"/>
  <c r="G80" i="25"/>
  <c r="D36" i="6"/>
  <c r="D37" i="6"/>
  <c r="G37" i="19"/>
  <c r="G42" i="4" l="1"/>
  <c r="F10" i="8"/>
  <c r="F13" i="8" s="1"/>
  <c r="D39" i="6"/>
  <c r="D42" i="6"/>
  <c r="D49" i="6"/>
  <c r="E25" i="32"/>
  <c r="E30" i="32" s="1"/>
  <c r="E36" i="32" s="1"/>
  <c r="E38" i="32" s="1"/>
  <c r="Q11" i="25"/>
  <c r="O38" i="6"/>
  <c r="P36" i="4"/>
  <c r="P21" i="30"/>
  <c r="O29" i="6"/>
  <c r="O11" i="6" s="1"/>
  <c r="O13" i="6" s="1"/>
  <c r="H22" i="25"/>
  <c r="E22" i="8"/>
  <c r="F18" i="8" s="1"/>
  <c r="S50" i="7"/>
  <c r="Q24" i="4"/>
  <c r="Q30" i="4" s="1"/>
  <c r="Q32" i="4" s="1"/>
  <c r="H28" i="32"/>
  <c r="H18" i="30"/>
  <c r="D35" i="6"/>
  <c r="N11" i="6"/>
  <c r="N13" i="6" s="1"/>
  <c r="E33" i="8"/>
  <c r="E41" i="8"/>
  <c r="G43" i="4" l="1"/>
  <c r="H17" i="25" s="1"/>
  <c r="R11" i="25"/>
  <c r="P38" i="6"/>
  <c r="P29" i="6"/>
  <c r="P11" i="6" s="1"/>
  <c r="P13" i="6" s="1"/>
  <c r="Q36" i="4"/>
  <c r="Q21" i="30"/>
  <c r="H28" i="25"/>
  <c r="H29" i="25" s="1"/>
  <c r="H30" i="25" s="1"/>
  <c r="I26" i="25" s="1"/>
  <c r="H38" i="25"/>
  <c r="H39" i="25" s="1"/>
  <c r="H69" i="25"/>
  <c r="H71" i="25" s="1"/>
  <c r="H44" i="25"/>
  <c r="H46" i="25" s="1"/>
  <c r="H52" i="25"/>
  <c r="H54" i="25" s="1"/>
  <c r="H16" i="25"/>
  <c r="H19" i="25" s="1"/>
  <c r="H23" i="25" s="1"/>
  <c r="H60" i="25" s="1"/>
  <c r="H62" i="25" s="1"/>
  <c r="T50" i="7"/>
  <c r="R24" i="4"/>
  <c r="R30" i="4" s="1"/>
  <c r="R32" i="4" s="1"/>
  <c r="D45" i="6"/>
  <c r="E24" i="6" s="1"/>
  <c r="D44" i="6"/>
  <c r="D57" i="6" s="1"/>
  <c r="E36" i="8"/>
  <c r="E45" i="8"/>
  <c r="E47" i="8" s="1"/>
  <c r="E38" i="8"/>
  <c r="D48" i="6"/>
  <c r="D50" i="6" s="1"/>
  <c r="D52" i="6" s="1"/>
  <c r="D56" i="6"/>
  <c r="F16" i="8"/>
  <c r="F24" i="8"/>
  <c r="F29" i="8" s="1"/>
  <c r="F28" i="8"/>
  <c r="H38" i="4"/>
  <c r="H19" i="30"/>
  <c r="S11" i="25" l="1"/>
  <c r="R36" i="4"/>
  <c r="R21" i="30"/>
  <c r="Q38" i="6"/>
  <c r="Q29" i="6"/>
  <c r="Q11" i="6" s="1"/>
  <c r="Q13" i="6" s="1"/>
  <c r="I13" i="25"/>
  <c r="H22" i="30"/>
  <c r="I16" i="30"/>
  <c r="U50" i="7"/>
  <c r="S24" i="4"/>
  <c r="S30" i="4" s="1"/>
  <c r="S32" i="4" s="1"/>
  <c r="I27" i="25"/>
  <c r="I12" i="25"/>
  <c r="H40" i="4"/>
  <c r="G81" i="25"/>
  <c r="G87" i="25" s="1"/>
  <c r="E49" i="8"/>
  <c r="H32" i="19"/>
  <c r="G45" i="4"/>
  <c r="F30" i="8"/>
  <c r="E39" i="8"/>
  <c r="F35" i="8" s="1"/>
  <c r="F46" i="8"/>
  <c r="F19" i="8"/>
  <c r="F21" i="8"/>
  <c r="E28" i="6"/>
  <c r="E27" i="6"/>
  <c r="D58" i="6"/>
  <c r="F25" i="32" l="1"/>
  <c r="F30" i="32" s="1"/>
  <c r="F36" i="32" s="1"/>
  <c r="F38" i="32" s="1"/>
  <c r="H42" i="4"/>
  <c r="G10" i="8"/>
  <c r="G13" i="8" s="1"/>
  <c r="I14" i="25"/>
  <c r="I28" i="32"/>
  <c r="I18" i="30"/>
  <c r="E33" i="6"/>
  <c r="E26" i="6"/>
  <c r="E30" i="6" s="1"/>
  <c r="F41" i="8"/>
  <c r="F33" i="8"/>
  <c r="H42" i="19"/>
  <c r="H43" i="19" s="1"/>
  <c r="H45" i="19" s="1"/>
  <c r="H47" i="19" s="1"/>
  <c r="G34" i="32"/>
  <c r="G35" i="32" s="1"/>
  <c r="H80" i="25"/>
  <c r="T11" i="25"/>
  <c r="S36" i="4"/>
  <c r="S21" i="30"/>
  <c r="R38" i="6"/>
  <c r="R29" i="6"/>
  <c r="F22" i="8"/>
  <c r="G18" i="8" s="1"/>
  <c r="H37" i="19"/>
  <c r="V50" i="7"/>
  <c r="T24" i="4"/>
  <c r="T30" i="4" s="1"/>
  <c r="T32" i="4" s="1"/>
  <c r="I22" i="25" l="1"/>
  <c r="E37" i="6"/>
  <c r="E36" i="6"/>
  <c r="R11" i="6"/>
  <c r="R13" i="6" s="1"/>
  <c r="U11" i="25"/>
  <c r="S38" i="6"/>
  <c r="T36" i="4"/>
  <c r="T21" i="30"/>
  <c r="S29" i="6"/>
  <c r="G28" i="8"/>
  <c r="G16" i="8"/>
  <c r="G24" i="8"/>
  <c r="G29" i="8" s="1"/>
  <c r="W50" i="7"/>
  <c r="U24" i="4"/>
  <c r="U30" i="4" s="1"/>
  <c r="U32" i="4" s="1"/>
  <c r="I38" i="4"/>
  <c r="I19" i="30"/>
  <c r="I16" i="25"/>
  <c r="F38" i="8"/>
  <c r="F36" i="8"/>
  <c r="F45" i="8"/>
  <c r="F47" i="8" s="1"/>
  <c r="H43" i="4"/>
  <c r="G46" i="8" s="1"/>
  <c r="E42" i="6" l="1"/>
  <c r="I44" i="25"/>
  <c r="I46" i="25" s="1"/>
  <c r="I28" i="25"/>
  <c r="I29" i="25" s="1"/>
  <c r="I30" i="25" s="1"/>
  <c r="J26" i="25" s="1"/>
  <c r="I38" i="25"/>
  <c r="I39" i="25" s="1"/>
  <c r="I69" i="25"/>
  <c r="I71" i="25" s="1"/>
  <c r="I52" i="25"/>
  <c r="I54" i="25" s="1"/>
  <c r="G21" i="8"/>
  <c r="G19" i="8"/>
  <c r="G30" i="8"/>
  <c r="X50" i="7"/>
  <c r="V24" i="4"/>
  <c r="V30" i="4" s="1"/>
  <c r="V32" i="4" s="1"/>
  <c r="J13" i="25"/>
  <c r="I22" i="30"/>
  <c r="J16" i="30"/>
  <c r="I17" i="25"/>
  <c r="I19" i="25" s="1"/>
  <c r="I23" i="25" s="1"/>
  <c r="I60" i="25" s="1"/>
  <c r="I62" i="25" s="1"/>
  <c r="H45" i="4"/>
  <c r="I32" i="19"/>
  <c r="J12" i="25"/>
  <c r="J14" i="25" s="1"/>
  <c r="I40" i="4"/>
  <c r="S11" i="6"/>
  <c r="S13" i="6" s="1"/>
  <c r="E49" i="6"/>
  <c r="H81" i="25"/>
  <c r="H87" i="25" s="1"/>
  <c r="F49" i="8"/>
  <c r="F39" i="8"/>
  <c r="G35" i="8" s="1"/>
  <c r="V11" i="25"/>
  <c r="U21" i="30"/>
  <c r="U36" i="4"/>
  <c r="T29" i="6"/>
  <c r="T38" i="6"/>
  <c r="E35" i="6"/>
  <c r="I42" i="4" l="1"/>
  <c r="I43" i="4"/>
  <c r="J17" i="25" s="1"/>
  <c r="H10" i="8"/>
  <c r="H13" i="8" s="1"/>
  <c r="W11" i="25"/>
  <c r="U38" i="6"/>
  <c r="V21" i="30"/>
  <c r="V36" i="4"/>
  <c r="U29" i="6"/>
  <c r="J27" i="25"/>
  <c r="J28" i="32"/>
  <c r="J18" i="30"/>
  <c r="E48" i="6"/>
  <c r="E50" i="6" s="1"/>
  <c r="E52" i="6" s="1"/>
  <c r="E56" i="6"/>
  <c r="J22" i="25"/>
  <c r="Y50" i="7"/>
  <c r="W24" i="4"/>
  <c r="W30" i="4" s="1"/>
  <c r="W32" i="4" s="1"/>
  <c r="I37" i="19"/>
  <c r="G33" i="8"/>
  <c r="G41" i="8"/>
  <c r="G25" i="32"/>
  <c r="G30" i="32" s="1"/>
  <c r="G36" i="32" s="1"/>
  <c r="G38" i="32" s="1"/>
  <c r="I42" i="19"/>
  <c r="I43" i="19" s="1"/>
  <c r="H34" i="32"/>
  <c r="H35" i="32" s="1"/>
  <c r="I80" i="25"/>
  <c r="G22" i="8"/>
  <c r="H18" i="8" s="1"/>
  <c r="E39" i="6"/>
  <c r="T11" i="6"/>
  <c r="T13" i="6" s="1"/>
  <c r="E44" i="6"/>
  <c r="E57" i="6" s="1"/>
  <c r="E45" i="6"/>
  <c r="F24" i="6" s="1"/>
  <c r="J32" i="19" l="1"/>
  <c r="J38" i="4"/>
  <c r="J19" i="30"/>
  <c r="X11" i="25"/>
  <c r="X45" i="25"/>
  <c r="W36" i="4"/>
  <c r="W21" i="30"/>
  <c r="V29" i="6"/>
  <c r="V38" i="6"/>
  <c r="I45" i="19"/>
  <c r="I47" i="19" s="1"/>
  <c r="Z50" i="7"/>
  <c r="X24" i="4"/>
  <c r="X30" i="4" s="1"/>
  <c r="X32" i="4" s="1"/>
  <c r="H16" i="8"/>
  <c r="H28" i="8"/>
  <c r="J28" i="25"/>
  <c r="J29" i="25" s="1"/>
  <c r="J30" i="25" s="1"/>
  <c r="K26" i="25" s="1"/>
  <c r="J38" i="25"/>
  <c r="J39" i="25" s="1"/>
  <c r="J52" i="25"/>
  <c r="J54" i="25" s="1"/>
  <c r="J69" i="25"/>
  <c r="J71" i="25" s="1"/>
  <c r="J44" i="25"/>
  <c r="J46" i="25" s="1"/>
  <c r="I45" i="4"/>
  <c r="U11" i="6"/>
  <c r="U13" i="6" s="1"/>
  <c r="J16" i="25"/>
  <c r="J19" i="25" s="1"/>
  <c r="J23" i="25" s="1"/>
  <c r="J60" i="25" s="1"/>
  <c r="J62" i="25" s="1"/>
  <c r="H46" i="8"/>
  <c r="F27" i="6"/>
  <c r="F28" i="6" s="1"/>
  <c r="G45" i="8"/>
  <c r="G47" i="8" s="1"/>
  <c r="G36" i="8"/>
  <c r="G38" i="8"/>
  <c r="E58" i="6"/>
  <c r="F33" i="6" l="1"/>
  <c r="F26" i="6"/>
  <c r="F30" i="6" s="1"/>
  <c r="I81" i="25"/>
  <c r="I87" i="25" s="1"/>
  <c r="G49" i="8"/>
  <c r="J42" i="19"/>
  <c r="J43" i="19" s="1"/>
  <c r="J45" i="19" s="1"/>
  <c r="J47" i="19" s="1"/>
  <c r="I34" i="32"/>
  <c r="I35" i="32" s="1"/>
  <c r="J80" i="25"/>
  <c r="H21" i="8"/>
  <c r="H19" i="8"/>
  <c r="Y11" i="25"/>
  <c r="W38" i="6"/>
  <c r="X36" i="4"/>
  <c r="X21" i="30"/>
  <c r="W29" i="6"/>
  <c r="J37" i="19"/>
  <c r="AA50" i="7"/>
  <c r="Y24" i="4"/>
  <c r="Y30" i="4" s="1"/>
  <c r="Y32" i="4" s="1"/>
  <c r="G39" i="8"/>
  <c r="H35" i="8" s="1"/>
  <c r="K13" i="25"/>
  <c r="J22" i="30"/>
  <c r="K16" i="30"/>
  <c r="K12" i="25"/>
  <c r="K14" i="25" s="1"/>
  <c r="J40" i="4"/>
  <c r="K27" i="25"/>
  <c r="V11" i="6"/>
  <c r="V13" i="6" s="1"/>
  <c r="H24" i="8" l="1"/>
  <c r="H29" i="8" s="1"/>
  <c r="H30" i="8" s="1"/>
  <c r="W11" i="6"/>
  <c r="W13" i="6" s="1"/>
  <c r="F36" i="6"/>
  <c r="K28" i="32"/>
  <c r="K18" i="30"/>
  <c r="K22" i="25"/>
  <c r="H25" i="32"/>
  <c r="H30" i="32" s="1"/>
  <c r="H36" i="32" s="1"/>
  <c r="H38" i="32" s="1"/>
  <c r="Z11" i="25"/>
  <c r="Y36" i="4"/>
  <c r="Y21" i="30"/>
  <c r="X29" i="6"/>
  <c r="X38" i="6"/>
  <c r="AB50" i="7"/>
  <c r="Z24" i="4"/>
  <c r="Z30" i="4" s="1"/>
  <c r="Z32" i="4" s="1"/>
  <c r="J42" i="4"/>
  <c r="J45" i="4" s="1"/>
  <c r="J43" i="4"/>
  <c r="K17" i="25" s="1"/>
  <c r="I10" i="8"/>
  <c r="I13" i="8" s="1"/>
  <c r="H22" i="8"/>
  <c r="I18" i="8" s="1"/>
  <c r="K42" i="19" l="1"/>
  <c r="K43" i="19" s="1"/>
  <c r="J34" i="32"/>
  <c r="J35" i="32" s="1"/>
  <c r="K80" i="25"/>
  <c r="F49" i="6"/>
  <c r="K28" i="25"/>
  <c r="K29" i="25" s="1"/>
  <c r="K30" i="25" s="1"/>
  <c r="L26" i="25" s="1"/>
  <c r="K38" i="25"/>
  <c r="K39" i="25" s="1"/>
  <c r="K52" i="25"/>
  <c r="K54" i="25" s="1"/>
  <c r="K69" i="25"/>
  <c r="K71" i="25" s="1"/>
  <c r="K44" i="25"/>
  <c r="K46" i="25" s="1"/>
  <c r="X11" i="6"/>
  <c r="X13" i="6" s="1"/>
  <c r="F37" i="6"/>
  <c r="I16" i="8"/>
  <c r="I28" i="8"/>
  <c r="K38" i="4"/>
  <c r="K19" i="30"/>
  <c r="K16" i="25"/>
  <c r="K19" i="25" s="1"/>
  <c r="K23" i="25" s="1"/>
  <c r="K60" i="25" s="1"/>
  <c r="K62" i="25" s="1"/>
  <c r="I46" i="8"/>
  <c r="K32" i="19"/>
  <c r="AA11" i="25"/>
  <c r="Z36" i="4"/>
  <c r="Z21" i="30"/>
  <c r="Y29" i="6"/>
  <c r="Y38" i="6"/>
  <c r="H33" i="8"/>
  <c r="AC50" i="7"/>
  <c r="AA24" i="4"/>
  <c r="AA30" i="4" s="1"/>
  <c r="AA32" i="4" s="1"/>
  <c r="L13" i="25" l="1"/>
  <c r="K22" i="30"/>
  <c r="L16" i="30"/>
  <c r="L12" i="25"/>
  <c r="K40" i="4"/>
  <c r="AB11" i="25"/>
  <c r="AA36" i="4"/>
  <c r="AA21" i="30"/>
  <c r="Z29" i="6"/>
  <c r="Z38" i="6"/>
  <c r="AD50" i="7"/>
  <c r="AB24" i="4"/>
  <c r="AB30" i="4" s="1"/>
  <c r="AB32" i="4" s="1"/>
  <c r="K37" i="19"/>
  <c r="K45" i="19" s="1"/>
  <c r="K47" i="19" s="1"/>
  <c r="H36" i="8"/>
  <c r="H38" i="8"/>
  <c r="H45" i="8"/>
  <c r="H47" i="8" s="1"/>
  <c r="L27" i="25"/>
  <c r="I19" i="8"/>
  <c r="I21" i="8"/>
  <c r="F42" i="6"/>
  <c r="F35" i="6"/>
  <c r="Y11" i="6"/>
  <c r="Y13" i="6" s="1"/>
  <c r="AC11" i="25" l="1"/>
  <c r="AB36" i="4"/>
  <c r="AB21" i="30"/>
  <c r="AA38" i="6"/>
  <c r="AA29" i="6"/>
  <c r="AA11" i="6" s="1"/>
  <c r="AA13" i="6" s="1"/>
  <c r="AE50" i="7"/>
  <c r="AC24" i="4"/>
  <c r="AC30" i="4" s="1"/>
  <c r="AC32" i="4" s="1"/>
  <c r="K42" i="4"/>
  <c r="K43" i="4"/>
  <c r="L17" i="25" s="1"/>
  <c r="J10" i="8"/>
  <c r="J13" i="8" s="1"/>
  <c r="J20" i="8"/>
  <c r="I24" i="8"/>
  <c r="I29" i="8" s="1"/>
  <c r="I30" i="8" s="1"/>
  <c r="I22" i="8"/>
  <c r="J18" i="8" s="1"/>
  <c r="J81" i="25"/>
  <c r="J87" i="25" s="1"/>
  <c r="H49" i="8"/>
  <c r="L14" i="25"/>
  <c r="F56" i="6"/>
  <c r="F48" i="6"/>
  <c r="F50" i="6" s="1"/>
  <c r="F52" i="6" s="1"/>
  <c r="H41" i="8"/>
  <c r="F44" i="6"/>
  <c r="F57" i="6" s="1"/>
  <c r="F45" i="6"/>
  <c r="G24" i="6" s="1"/>
  <c r="H39" i="8"/>
  <c r="I35" i="8" s="1"/>
  <c r="F39" i="6"/>
  <c r="Z11" i="6"/>
  <c r="Z13" i="6" s="1"/>
  <c r="L28" i="32"/>
  <c r="L18" i="30"/>
  <c r="AD11" i="25" l="1"/>
  <c r="AC21" i="30"/>
  <c r="AC36" i="4"/>
  <c r="AB29" i="6"/>
  <c r="AB38" i="6"/>
  <c r="AF50" i="7"/>
  <c r="AD24" i="4"/>
  <c r="AD30" i="4" s="1"/>
  <c r="AD32" i="4" s="1"/>
  <c r="I25" i="32"/>
  <c r="I30" i="32" s="1"/>
  <c r="I36" i="32" s="1"/>
  <c r="I38" i="32" s="1"/>
  <c r="I33" i="8"/>
  <c r="L16" i="25"/>
  <c r="J46" i="8"/>
  <c r="L32" i="19"/>
  <c r="G27" i="6"/>
  <c r="G28" i="6"/>
  <c r="G26" i="6"/>
  <c r="K45" i="4"/>
  <c r="J16" i="8"/>
  <c r="J28" i="8"/>
  <c r="L38" i="4"/>
  <c r="L19" i="30"/>
  <c r="F58" i="6"/>
  <c r="L19" i="25"/>
  <c r="L23" i="25" s="1"/>
  <c r="L60" i="25" s="1"/>
  <c r="L62" i="25" s="1"/>
  <c r="L22" i="25"/>
  <c r="K34" i="32" l="1"/>
  <c r="K35" i="32" s="1"/>
  <c r="L42" i="19"/>
  <c r="L43" i="19" s="1"/>
  <c r="L80" i="25"/>
  <c r="AE24" i="4"/>
  <c r="AE30" i="4" s="1"/>
  <c r="AE32" i="4" s="1"/>
  <c r="AG50" i="7"/>
  <c r="M13" i="25"/>
  <c r="L22" i="30"/>
  <c r="M16" i="30"/>
  <c r="M12" i="25"/>
  <c r="L40" i="4"/>
  <c r="J19" i="8"/>
  <c r="J21" i="8"/>
  <c r="I36" i="8"/>
  <c r="I38" i="8"/>
  <c r="I45" i="8"/>
  <c r="I47" i="8" s="1"/>
  <c r="AB11" i="6"/>
  <c r="AB13" i="6" s="1"/>
  <c r="G33" i="6"/>
  <c r="G30" i="6"/>
  <c r="L37" i="19"/>
  <c r="L28" i="25"/>
  <c r="L29" i="25" s="1"/>
  <c r="L30" i="25" s="1"/>
  <c r="M26" i="25" s="1"/>
  <c r="L38" i="25"/>
  <c r="L39" i="25" s="1"/>
  <c r="L44" i="25"/>
  <c r="L46" i="25" s="1"/>
  <c r="L52" i="25"/>
  <c r="L54" i="25" s="1"/>
  <c r="L69" i="25"/>
  <c r="L71" i="25" s="1"/>
  <c r="AE11" i="25"/>
  <c r="AC29" i="6"/>
  <c r="AC11" i="6" s="1"/>
  <c r="AC13" i="6" s="1"/>
  <c r="AD21" i="30"/>
  <c r="AD36" i="4"/>
  <c r="AC38" i="6"/>
  <c r="I41" i="8" l="1"/>
  <c r="G35" i="6"/>
  <c r="G37" i="6"/>
  <c r="G36" i="6"/>
  <c r="J22" i="8"/>
  <c r="K18" i="8" s="1"/>
  <c r="AH50" i="7"/>
  <c r="AG24" i="4" s="1"/>
  <c r="AG30" i="4" s="1"/>
  <c r="AG32" i="4" s="1"/>
  <c r="AF24" i="4"/>
  <c r="AF30" i="4" s="1"/>
  <c r="AF32" i="4" s="1"/>
  <c r="K20" i="8"/>
  <c r="J24" i="8"/>
  <c r="J29" i="8" s="1"/>
  <c r="J30" i="8" s="1"/>
  <c r="AF11" i="25"/>
  <c r="AE21" i="30"/>
  <c r="AE36" i="4"/>
  <c r="AD29" i="6"/>
  <c r="AD11" i="6" s="1"/>
  <c r="AD13" i="6" s="1"/>
  <c r="AD38" i="6"/>
  <c r="M28" i="32"/>
  <c r="M18" i="30"/>
  <c r="I39" i="8"/>
  <c r="J35" i="8" s="1"/>
  <c r="L42" i="4"/>
  <c r="L43" i="4" s="1"/>
  <c r="K10" i="8"/>
  <c r="K13" i="8" s="1"/>
  <c r="L45" i="19"/>
  <c r="L47" i="19" s="1"/>
  <c r="M27" i="25"/>
  <c r="K81" i="25"/>
  <c r="K87" i="25" s="1"/>
  <c r="I49" i="8"/>
  <c r="M14" i="25"/>
  <c r="M17" i="25" l="1"/>
  <c r="L45" i="4"/>
  <c r="G56" i="6"/>
  <c r="G48" i="6"/>
  <c r="G50" i="6" s="1"/>
  <c r="G52" i="6" s="1"/>
  <c r="G39" i="6"/>
  <c r="G42" i="6"/>
  <c r="AG11" i="25"/>
  <c r="AH45" i="25"/>
  <c r="AF36" i="4"/>
  <c r="AF21" i="30"/>
  <c r="AE29" i="6"/>
  <c r="AE11" i="6" s="1"/>
  <c r="AE13" i="6" s="1"/>
  <c r="AE38" i="6"/>
  <c r="J33" i="8"/>
  <c r="AH11" i="25"/>
  <c r="AF38" i="6"/>
  <c r="AF29" i="6"/>
  <c r="AF11" i="6" s="1"/>
  <c r="AF13" i="6" s="1"/>
  <c r="AG36" i="4"/>
  <c r="AG40" i="4" s="1"/>
  <c r="M22" i="25"/>
  <c r="M19" i="25"/>
  <c r="M23" i="25" s="1"/>
  <c r="M60" i="25" s="1"/>
  <c r="M62" i="25" s="1"/>
  <c r="K28" i="8"/>
  <c r="K16" i="8"/>
  <c r="M38" i="4"/>
  <c r="M19" i="30"/>
  <c r="J25" i="32"/>
  <c r="J30" i="32" s="1"/>
  <c r="J36" i="32" s="1"/>
  <c r="J38" i="32" s="1"/>
  <c r="M16" i="25"/>
  <c r="K46" i="8"/>
  <c r="M32" i="19"/>
  <c r="G49" i="6"/>
  <c r="G45" i="6" l="1"/>
  <c r="H24" i="6" s="1"/>
  <c r="G44" i="6"/>
  <c r="G57" i="6" s="1"/>
  <c r="N13" i="25"/>
  <c r="M22" i="30"/>
  <c r="N16" i="30"/>
  <c r="M28" i="25"/>
  <c r="M29" i="25" s="1"/>
  <c r="M30" i="25" s="1"/>
  <c r="N26" i="25" s="1"/>
  <c r="M38" i="25"/>
  <c r="M39" i="25" s="1"/>
  <c r="M52" i="25"/>
  <c r="M54" i="25" s="1"/>
  <c r="M69" i="25"/>
  <c r="M71" i="25" s="1"/>
  <c r="M44" i="25"/>
  <c r="M46" i="25" s="1"/>
  <c r="M37" i="19"/>
  <c r="K19" i="8"/>
  <c r="K21" i="8"/>
  <c r="AG42" i="4"/>
  <c r="AF10" i="8"/>
  <c r="AF13" i="8" s="1"/>
  <c r="G58" i="6"/>
  <c r="J36" i="8"/>
  <c r="J38" i="8"/>
  <c r="J45" i="8"/>
  <c r="J47" i="8" s="1"/>
  <c r="M42" i="19"/>
  <c r="M43" i="19" s="1"/>
  <c r="L34" i="32"/>
  <c r="L35" i="32" s="1"/>
  <c r="M80" i="25"/>
  <c r="N12" i="25"/>
  <c r="N14" i="25" s="1"/>
  <c r="M40" i="4"/>
  <c r="AH16" i="25" l="1"/>
  <c r="J41" i="8"/>
  <c r="N22" i="25"/>
  <c r="N28" i="32"/>
  <c r="N18" i="30"/>
  <c r="AG43" i="4"/>
  <c r="AH17" i="25" s="1"/>
  <c r="N27" i="25"/>
  <c r="K22" i="8"/>
  <c r="L18" i="8" s="1"/>
  <c r="M45" i="19"/>
  <c r="M47" i="19" s="1"/>
  <c r="AF16" i="8"/>
  <c r="AF28" i="8"/>
  <c r="H27" i="6"/>
  <c r="H28" i="6"/>
  <c r="H26" i="6" s="1"/>
  <c r="L81" i="25"/>
  <c r="L87" i="25" s="1"/>
  <c r="J49" i="8"/>
  <c r="M42" i="4"/>
  <c r="M43" i="4"/>
  <c r="N17" i="25" s="1"/>
  <c r="L10" i="8"/>
  <c r="L13" i="8" s="1"/>
  <c r="L20" i="8"/>
  <c r="K24" i="8"/>
  <c r="K29" i="8" s="1"/>
  <c r="K30" i="8" s="1"/>
  <c r="J39" i="8"/>
  <c r="K35" i="8" s="1"/>
  <c r="AG45" i="4"/>
  <c r="AH42" i="19" l="1"/>
  <c r="AH43" i="19" s="1"/>
  <c r="AH80" i="25"/>
  <c r="N52" i="25"/>
  <c r="N54" i="25" s="1"/>
  <c r="N28" i="25"/>
  <c r="N29" i="25" s="1"/>
  <c r="N30" i="25" s="1"/>
  <c r="O26" i="25" s="1"/>
  <c r="N38" i="25"/>
  <c r="N39" i="25" s="1"/>
  <c r="N44" i="25"/>
  <c r="N46" i="25" s="1"/>
  <c r="N69" i="25"/>
  <c r="N71" i="25" s="1"/>
  <c r="L28" i="8"/>
  <c r="L16" i="8"/>
  <c r="K33" i="8"/>
  <c r="N16" i="25"/>
  <c r="N19" i="25" s="1"/>
  <c r="N23" i="25" s="1"/>
  <c r="N60" i="25" s="1"/>
  <c r="N62" i="25" s="1"/>
  <c r="L46" i="8"/>
  <c r="N32" i="19"/>
  <c r="AF19" i="8"/>
  <c r="N38" i="4"/>
  <c r="N19" i="30"/>
  <c r="K25" i="32"/>
  <c r="K30" i="32" s="1"/>
  <c r="K36" i="32" s="1"/>
  <c r="K38" i="32" s="1"/>
  <c r="M45" i="4"/>
  <c r="AF46" i="8"/>
  <c r="H30" i="6"/>
  <c r="H33" i="6"/>
  <c r="N42" i="19" l="1"/>
  <c r="N43" i="19" s="1"/>
  <c r="N45" i="19" s="1"/>
  <c r="N47" i="19" s="1"/>
  <c r="M34" i="32"/>
  <c r="M35" i="32" s="1"/>
  <c r="N80" i="25"/>
  <c r="O13" i="25"/>
  <c r="N22" i="30"/>
  <c r="O16" i="30"/>
  <c r="K36" i="8"/>
  <c r="K38" i="8"/>
  <c r="K45" i="8"/>
  <c r="K47" i="8" s="1"/>
  <c r="N37" i="19"/>
  <c r="H36" i="6"/>
  <c r="H37" i="6"/>
  <c r="O12" i="25"/>
  <c r="O14" i="25" s="1"/>
  <c r="N40" i="4"/>
  <c r="O27" i="25"/>
  <c r="L21" i="8"/>
  <c r="L19" i="8"/>
  <c r="H42" i="6" l="1"/>
  <c r="K39" i="8"/>
  <c r="L35" i="8" s="1"/>
  <c r="L22" i="8"/>
  <c r="M18" i="8" s="1"/>
  <c r="H35" i="6"/>
  <c r="O28" i="32"/>
  <c r="O18" i="30"/>
  <c r="M20" i="8"/>
  <c r="L24" i="8"/>
  <c r="L29" i="8" s="1"/>
  <c r="L30" i="8" s="1"/>
  <c r="H49" i="6"/>
  <c r="N45" i="4"/>
  <c r="N42" i="4"/>
  <c r="N43" i="4"/>
  <c r="O17" i="25" s="1"/>
  <c r="M10" i="8"/>
  <c r="M13" i="8" s="1"/>
  <c r="O22" i="25"/>
  <c r="M81" i="25"/>
  <c r="M87" i="25" s="1"/>
  <c r="K49" i="8"/>
  <c r="K41" i="8"/>
  <c r="M28" i="8" l="1"/>
  <c r="M16" i="8"/>
  <c r="O16" i="25"/>
  <c r="O19" i="25" s="1"/>
  <c r="O23" i="25" s="1"/>
  <c r="O60" i="25" s="1"/>
  <c r="O62" i="25" s="1"/>
  <c r="M46" i="8"/>
  <c r="O32" i="19"/>
  <c r="L33" i="8"/>
  <c r="H48" i="6"/>
  <c r="H50" i="6" s="1"/>
  <c r="H52" i="6" s="1"/>
  <c r="H56" i="6"/>
  <c r="H58" i="6" s="1"/>
  <c r="O42" i="19"/>
  <c r="O43" i="19" s="1"/>
  <c r="N34" i="32"/>
  <c r="N35" i="32" s="1"/>
  <c r="O80" i="25"/>
  <c r="H39" i="6"/>
  <c r="O28" i="25"/>
  <c r="O29" i="25" s="1"/>
  <c r="O30" i="25" s="1"/>
  <c r="P26" i="25" s="1"/>
  <c r="O38" i="25"/>
  <c r="O39" i="25" s="1"/>
  <c r="O69" i="25"/>
  <c r="O71" i="25" s="1"/>
  <c r="O52" i="25"/>
  <c r="O54" i="25" s="1"/>
  <c r="O44" i="25"/>
  <c r="O46" i="25" s="1"/>
  <c r="L25" i="32"/>
  <c r="L30" i="32" s="1"/>
  <c r="L36" i="32" s="1"/>
  <c r="L38" i="32" s="1"/>
  <c r="O38" i="4"/>
  <c r="O19" i="30"/>
  <c r="H45" i="6"/>
  <c r="I24" i="6" s="1"/>
  <c r="H44" i="6"/>
  <c r="H57" i="6" s="1"/>
  <c r="P13" i="25" l="1"/>
  <c r="O22" i="30"/>
  <c r="P16" i="30"/>
  <c r="L38" i="8"/>
  <c r="L45" i="8"/>
  <c r="L47" i="8" s="1"/>
  <c r="L36" i="8"/>
  <c r="O37" i="19"/>
  <c r="O45" i="19"/>
  <c r="O47" i="19" s="1"/>
  <c r="P12" i="25"/>
  <c r="O40" i="4"/>
  <c r="M19" i="8"/>
  <c r="M21" i="8"/>
  <c r="I27" i="6"/>
  <c r="P27" i="25"/>
  <c r="L39" i="8" l="1"/>
  <c r="M35" i="8" s="1"/>
  <c r="M22" i="8"/>
  <c r="N18" i="8" s="1"/>
  <c r="N81" i="25"/>
  <c r="N87" i="25" s="1"/>
  <c r="L49" i="8"/>
  <c r="I28" i="6"/>
  <c r="O42" i="4"/>
  <c r="O43" i="4" s="1"/>
  <c r="P17" i="25" s="1"/>
  <c r="N10" i="8"/>
  <c r="N13" i="8" s="1"/>
  <c r="L41" i="8"/>
  <c r="N20" i="8"/>
  <c r="M24" i="8"/>
  <c r="M29" i="8" s="1"/>
  <c r="M30" i="8" s="1"/>
  <c r="P14" i="25"/>
  <c r="P28" i="32"/>
  <c r="P18" i="30"/>
  <c r="P22" i="25" l="1"/>
  <c r="P19" i="25"/>
  <c r="P23" i="25" s="1"/>
  <c r="P60" i="25" s="1"/>
  <c r="P62" i="25" s="1"/>
  <c r="I30" i="6"/>
  <c r="I33" i="6"/>
  <c r="I26" i="6"/>
  <c r="M33" i="8"/>
  <c r="M25" i="32"/>
  <c r="M30" i="32" s="1"/>
  <c r="M36" i="32" s="1"/>
  <c r="M38" i="32" s="1"/>
  <c r="N16" i="8"/>
  <c r="N28" i="8"/>
  <c r="P38" i="4"/>
  <c r="P19" i="30"/>
  <c r="P16" i="25"/>
  <c r="N46" i="8"/>
  <c r="P32" i="19"/>
  <c r="O45" i="4"/>
  <c r="Q13" i="25" l="1"/>
  <c r="P22" i="30"/>
  <c r="Q16" i="30"/>
  <c r="M45" i="8"/>
  <c r="M47" i="8" s="1"/>
  <c r="M36" i="8"/>
  <c r="M38" i="8"/>
  <c r="Q12" i="25"/>
  <c r="Q14" i="25" s="1"/>
  <c r="P40" i="4"/>
  <c r="N19" i="8"/>
  <c r="N21" i="8"/>
  <c r="O34" i="32"/>
  <c r="O35" i="32" s="1"/>
  <c r="P80" i="25"/>
  <c r="P42" i="19"/>
  <c r="P43" i="19" s="1"/>
  <c r="P45" i="19" s="1"/>
  <c r="P47" i="19" s="1"/>
  <c r="I37" i="6"/>
  <c r="I36" i="6"/>
  <c r="P37" i="19"/>
  <c r="P28" i="25"/>
  <c r="P29" i="25" s="1"/>
  <c r="P30" i="25" s="1"/>
  <c r="Q26" i="25" s="1"/>
  <c r="P38" i="25"/>
  <c r="P39" i="25" s="1"/>
  <c r="P44" i="25"/>
  <c r="P46" i="25" s="1"/>
  <c r="P69" i="25"/>
  <c r="P71" i="25" s="1"/>
  <c r="P52" i="25"/>
  <c r="P54" i="25" s="1"/>
  <c r="I42" i="6" l="1"/>
  <c r="O20" i="8"/>
  <c r="N24" i="8"/>
  <c r="N29" i="8" s="1"/>
  <c r="N30" i="8" s="1"/>
  <c r="Q28" i="32"/>
  <c r="Q18" i="30"/>
  <c r="N22" i="8"/>
  <c r="O18" i="8" s="1"/>
  <c r="I49" i="6"/>
  <c r="P42" i="4"/>
  <c r="P43" i="4"/>
  <c r="Q17" i="25" s="1"/>
  <c r="O10" i="8"/>
  <c r="O13" i="8" s="1"/>
  <c r="Q27" i="25"/>
  <c r="M39" i="8"/>
  <c r="N35" i="8" s="1"/>
  <c r="Q22" i="25"/>
  <c r="M41" i="8"/>
  <c r="O81" i="25"/>
  <c r="O87" i="25" s="1"/>
  <c r="M49" i="8"/>
  <c r="I35" i="6"/>
  <c r="Q16" i="25" l="1"/>
  <c r="Q19" i="25" s="1"/>
  <c r="Q23" i="25" s="1"/>
  <c r="Q60" i="25" s="1"/>
  <c r="Q62" i="25" s="1"/>
  <c r="O46" i="8"/>
  <c r="Q32" i="19"/>
  <c r="N33" i="8"/>
  <c r="O28" i="8"/>
  <c r="O16" i="8"/>
  <c r="I56" i="6"/>
  <c r="I58" i="6" s="1"/>
  <c r="I48" i="6"/>
  <c r="I50" i="6" s="1"/>
  <c r="I52" i="6" s="1"/>
  <c r="Q44" i="25"/>
  <c r="Q46" i="25" s="1"/>
  <c r="Q28" i="25"/>
  <c r="Q29" i="25" s="1"/>
  <c r="Q30" i="25" s="1"/>
  <c r="R26" i="25" s="1"/>
  <c r="Q38" i="25"/>
  <c r="Q39" i="25" s="1"/>
  <c r="Q52" i="25"/>
  <c r="Q54" i="25" s="1"/>
  <c r="Q69" i="25"/>
  <c r="Q71" i="25" s="1"/>
  <c r="Q38" i="4"/>
  <c r="Q19" i="30"/>
  <c r="I39" i="6"/>
  <c r="N25" i="32"/>
  <c r="N30" i="32" s="1"/>
  <c r="N36" i="32" s="1"/>
  <c r="N38" i="32" s="1"/>
  <c r="P45" i="4"/>
  <c r="I44" i="6"/>
  <c r="I57" i="6" s="1"/>
  <c r="I45" i="6"/>
  <c r="J24" i="6" s="1"/>
  <c r="R12" i="25" l="1"/>
  <c r="Q40" i="4"/>
  <c r="Q42" i="19"/>
  <c r="Q43" i="19" s="1"/>
  <c r="P34" i="32"/>
  <c r="P35" i="32" s="1"/>
  <c r="Q80" i="25"/>
  <c r="R27" i="25"/>
  <c r="N36" i="8"/>
  <c r="N45" i="8"/>
  <c r="N47" i="8" s="1"/>
  <c r="N38" i="8"/>
  <c r="Q37" i="19"/>
  <c r="R13" i="25"/>
  <c r="Q22" i="30"/>
  <c r="R16" i="30"/>
  <c r="J27" i="6"/>
  <c r="J28" i="6" s="1"/>
  <c r="O19" i="8"/>
  <c r="O21" i="8"/>
  <c r="J33" i="6" l="1"/>
  <c r="J26" i="6"/>
  <c r="J30" i="6" s="1"/>
  <c r="N41" i="8"/>
  <c r="Q42" i="4"/>
  <c r="P10" i="8"/>
  <c r="P13" i="8" s="1"/>
  <c r="R28" i="32"/>
  <c r="R18" i="30"/>
  <c r="P20" i="8"/>
  <c r="O24" i="8"/>
  <c r="O29" i="8" s="1"/>
  <c r="O30" i="8" s="1"/>
  <c r="O22" i="8"/>
  <c r="P18" i="8" s="1"/>
  <c r="Q45" i="19"/>
  <c r="Q47" i="19" s="1"/>
  <c r="P81" i="25"/>
  <c r="P87" i="25" s="1"/>
  <c r="N49" i="8"/>
  <c r="N39" i="8"/>
  <c r="O35" i="8" s="1"/>
  <c r="R14" i="25"/>
  <c r="R16" i="25" l="1"/>
  <c r="P46" i="8"/>
  <c r="R32" i="19"/>
  <c r="R22" i="25"/>
  <c r="R38" i="4"/>
  <c r="R19" i="30"/>
  <c r="O33" i="8"/>
  <c r="O25" i="32"/>
  <c r="O30" i="32" s="1"/>
  <c r="O36" i="32" s="1"/>
  <c r="O38" i="32" s="1"/>
  <c r="P16" i="8"/>
  <c r="P28" i="8"/>
  <c r="Q43" i="4"/>
  <c r="J36" i="6"/>
  <c r="R37" i="19" l="1"/>
  <c r="O45" i="8"/>
  <c r="O47" i="8" s="1"/>
  <c r="O38" i="8"/>
  <c r="O36" i="8"/>
  <c r="S12" i="25"/>
  <c r="S14" i="25" s="1"/>
  <c r="R40" i="4"/>
  <c r="J49" i="6"/>
  <c r="P21" i="8"/>
  <c r="P19" i="8"/>
  <c r="R44" i="25"/>
  <c r="R46" i="25" s="1"/>
  <c r="R69" i="25"/>
  <c r="R71" i="25" s="1"/>
  <c r="R28" i="25"/>
  <c r="R29" i="25" s="1"/>
  <c r="R30" i="25" s="1"/>
  <c r="S26" i="25" s="1"/>
  <c r="R38" i="25"/>
  <c r="R39" i="25" s="1"/>
  <c r="R52" i="25"/>
  <c r="R54" i="25" s="1"/>
  <c r="J37" i="6"/>
  <c r="R17" i="25"/>
  <c r="R19" i="25" s="1"/>
  <c r="R23" i="25" s="1"/>
  <c r="R60" i="25" s="1"/>
  <c r="R62" i="25" s="1"/>
  <c r="Q45" i="4"/>
  <c r="S13" i="25"/>
  <c r="R22" i="30"/>
  <c r="S16" i="30"/>
  <c r="J42" i="6" l="1"/>
  <c r="J35" i="6"/>
  <c r="R42" i="4"/>
  <c r="R43" i="4" s="1"/>
  <c r="Q10" i="8"/>
  <c r="Q13" i="8" s="1"/>
  <c r="S28" i="32"/>
  <c r="S18" i="30"/>
  <c r="S22" i="25"/>
  <c r="O39" i="8"/>
  <c r="P35" i="8" s="1"/>
  <c r="S27" i="25"/>
  <c r="R42" i="19"/>
  <c r="R43" i="19" s="1"/>
  <c r="R45" i="19" s="1"/>
  <c r="R47" i="19" s="1"/>
  <c r="Q34" i="32"/>
  <c r="Q35" i="32" s="1"/>
  <c r="R80" i="25"/>
  <c r="P22" i="8"/>
  <c r="Q18" i="8" s="1"/>
  <c r="O41" i="8"/>
  <c r="Q20" i="8"/>
  <c r="P24" i="8"/>
  <c r="P29" i="8" s="1"/>
  <c r="P30" i="8" s="1"/>
  <c r="Q81" i="25"/>
  <c r="Q87" i="25" s="1"/>
  <c r="O49" i="8"/>
  <c r="S17" i="25" l="1"/>
  <c r="R45" i="4"/>
  <c r="J56" i="6"/>
  <c r="J48" i="6"/>
  <c r="J50" i="6" s="1"/>
  <c r="J52" i="6" s="1"/>
  <c r="P25" i="32"/>
  <c r="P30" i="32" s="1"/>
  <c r="P36" i="32" s="1"/>
  <c r="P38" i="32" s="1"/>
  <c r="J39" i="6"/>
  <c r="P33" i="8"/>
  <c r="S52" i="25"/>
  <c r="S54" i="25" s="1"/>
  <c r="S44" i="25"/>
  <c r="S46" i="25" s="1"/>
  <c r="S69" i="25"/>
  <c r="S71" i="25" s="1"/>
  <c r="S28" i="25"/>
  <c r="S29" i="25" s="1"/>
  <c r="S30" i="25" s="1"/>
  <c r="T26" i="25" s="1"/>
  <c r="S38" i="25"/>
  <c r="S39" i="25" s="1"/>
  <c r="Q16" i="8"/>
  <c r="Q28" i="8"/>
  <c r="S16" i="25"/>
  <c r="S19" i="25" s="1"/>
  <c r="S23" i="25" s="1"/>
  <c r="S60" i="25" s="1"/>
  <c r="S62" i="25" s="1"/>
  <c r="Q46" i="8"/>
  <c r="S32" i="19"/>
  <c r="S38" i="4"/>
  <c r="S19" i="30"/>
  <c r="J44" i="6"/>
  <c r="J57" i="6" s="1"/>
  <c r="J45" i="6"/>
  <c r="K24" i="6" s="1"/>
  <c r="Q21" i="8" l="1"/>
  <c r="Q19" i="8"/>
  <c r="J58" i="6"/>
  <c r="S42" i="19"/>
  <c r="S43" i="19" s="1"/>
  <c r="R34" i="32"/>
  <c r="R35" i="32" s="1"/>
  <c r="S80" i="25"/>
  <c r="T12" i="25"/>
  <c r="S40" i="4"/>
  <c r="P36" i="8"/>
  <c r="P38" i="8"/>
  <c r="P45" i="8"/>
  <c r="P47" i="8" s="1"/>
  <c r="T27" i="25"/>
  <c r="S37" i="19"/>
  <c r="K27" i="6"/>
  <c r="K28" i="6"/>
  <c r="T13" i="25"/>
  <c r="S22" i="30"/>
  <c r="T16" i="30"/>
  <c r="K33" i="6" l="1"/>
  <c r="K30" i="6"/>
  <c r="S42" i="4"/>
  <c r="S43" i="4"/>
  <c r="T17" i="25" s="1"/>
  <c r="R10" i="8"/>
  <c r="R13" i="8" s="1"/>
  <c r="T14" i="25"/>
  <c r="T28" i="32"/>
  <c r="T18" i="30"/>
  <c r="S45" i="19"/>
  <c r="S47" i="19" s="1"/>
  <c r="R81" i="25"/>
  <c r="R87" i="25" s="1"/>
  <c r="P49" i="8"/>
  <c r="Q37" i="8"/>
  <c r="P41" i="8"/>
  <c r="Q22" i="8"/>
  <c r="R18" i="8" s="1"/>
  <c r="K26" i="6"/>
  <c r="P39" i="8"/>
  <c r="Q35" i="8" s="1"/>
  <c r="R20" i="8"/>
  <c r="Q24" i="8"/>
  <c r="Q29" i="8" s="1"/>
  <c r="Q30" i="8" s="1"/>
  <c r="Q33" i="8" l="1"/>
  <c r="T19" i="25"/>
  <c r="T23" i="25" s="1"/>
  <c r="T60" i="25" s="1"/>
  <c r="T62" i="25" s="1"/>
  <c r="T22" i="25"/>
  <c r="R16" i="8"/>
  <c r="R28" i="8"/>
  <c r="T16" i="25"/>
  <c r="R46" i="8"/>
  <c r="T32" i="19"/>
  <c r="Q25" i="32"/>
  <c r="Q30" i="32" s="1"/>
  <c r="Q36" i="32" s="1"/>
  <c r="Q38" i="32" s="1"/>
  <c r="T38" i="4"/>
  <c r="T19" i="30"/>
  <c r="S45" i="4"/>
  <c r="K36" i="6"/>
  <c r="K37" i="6" s="1"/>
  <c r="K42" i="6" l="1"/>
  <c r="K35" i="6"/>
  <c r="T37" i="19"/>
  <c r="Q36" i="8"/>
  <c r="Q38" i="8"/>
  <c r="Q45" i="8"/>
  <c r="Q47" i="8" s="1"/>
  <c r="S34" i="32"/>
  <c r="S35" i="32" s="1"/>
  <c r="T42" i="19"/>
  <c r="T43" i="19" s="1"/>
  <c r="T45" i="19" s="1"/>
  <c r="T47" i="19" s="1"/>
  <c r="T80" i="25"/>
  <c r="U13" i="25"/>
  <c r="T22" i="30"/>
  <c r="U16" i="30"/>
  <c r="U12" i="25"/>
  <c r="U14" i="25" s="1"/>
  <c r="T40" i="4"/>
  <c r="R19" i="8"/>
  <c r="R21" i="8"/>
  <c r="K49" i="6"/>
  <c r="T28" i="25"/>
  <c r="T29" i="25" s="1"/>
  <c r="T30" i="25" s="1"/>
  <c r="U26" i="25" s="1"/>
  <c r="T38" i="25"/>
  <c r="T39" i="25" s="1"/>
  <c r="T44" i="25"/>
  <c r="T46" i="25" s="1"/>
  <c r="T52" i="25"/>
  <c r="T54" i="25" s="1"/>
  <c r="T69" i="25"/>
  <c r="T71" i="25" s="1"/>
  <c r="U22" i="25" l="1"/>
  <c r="S81" i="25"/>
  <c r="S87" i="25" s="1"/>
  <c r="Q49" i="8"/>
  <c r="S20" i="8"/>
  <c r="R24" i="8"/>
  <c r="R29" i="8" s="1"/>
  <c r="R30" i="8" s="1"/>
  <c r="U27" i="25"/>
  <c r="Q39" i="8"/>
  <c r="R35" i="8" s="1"/>
  <c r="K48" i="6"/>
  <c r="K50" i="6" s="1"/>
  <c r="K52" i="6" s="1"/>
  <c r="K56" i="6"/>
  <c r="K58" i="6" s="1"/>
  <c r="R37" i="8"/>
  <c r="Q41" i="8"/>
  <c r="U28" i="32"/>
  <c r="U18" i="30"/>
  <c r="R22" i="8"/>
  <c r="S18" i="8" s="1"/>
  <c r="K45" i="6"/>
  <c r="L24" i="6" s="1"/>
  <c r="K44" i="6"/>
  <c r="K57" i="6" s="1"/>
  <c r="T42" i="4"/>
  <c r="S10" i="8"/>
  <c r="S13" i="8" s="1"/>
  <c r="K39" i="6"/>
  <c r="U16" i="25" l="1"/>
  <c r="S46" i="8"/>
  <c r="U32" i="19"/>
  <c r="R25" i="32"/>
  <c r="R30" i="32" s="1"/>
  <c r="R36" i="32" s="1"/>
  <c r="R38" i="32" s="1"/>
  <c r="L28" i="6"/>
  <c r="L26" i="6" s="1"/>
  <c r="L27" i="6"/>
  <c r="R33" i="8"/>
  <c r="S28" i="8"/>
  <c r="S16" i="8"/>
  <c r="T43" i="4"/>
  <c r="U17" i="25" s="1"/>
  <c r="U38" i="4"/>
  <c r="U19" i="30"/>
  <c r="U28" i="25"/>
  <c r="U29" i="25" s="1"/>
  <c r="U30" i="25" s="1"/>
  <c r="V26" i="25" s="1"/>
  <c r="U38" i="25"/>
  <c r="U39" i="25" s="1"/>
  <c r="U52" i="25"/>
  <c r="U54" i="25" s="1"/>
  <c r="U44" i="25"/>
  <c r="U46" i="25" s="1"/>
  <c r="U69" i="25"/>
  <c r="U71" i="25" s="1"/>
  <c r="U37" i="19" l="1"/>
  <c r="V12" i="25"/>
  <c r="V14" i="25" s="1"/>
  <c r="U40" i="4"/>
  <c r="U19" i="25"/>
  <c r="U23" i="25" s="1"/>
  <c r="U60" i="25" s="1"/>
  <c r="U62" i="25" s="1"/>
  <c r="V13" i="25"/>
  <c r="U22" i="30"/>
  <c r="V16" i="30"/>
  <c r="S19" i="8"/>
  <c r="S21" i="8"/>
  <c r="L33" i="6"/>
  <c r="L30" i="6"/>
  <c r="T45" i="4"/>
  <c r="V27" i="25"/>
  <c r="R36" i="8"/>
  <c r="R38" i="8"/>
  <c r="R45" i="8"/>
  <c r="R47" i="8" s="1"/>
  <c r="S37" i="8" l="1"/>
  <c r="R41" i="8"/>
  <c r="V22" i="25"/>
  <c r="S22" i="8"/>
  <c r="V28" i="32"/>
  <c r="V18" i="30"/>
  <c r="T20" i="8"/>
  <c r="S24" i="8"/>
  <c r="S29" i="8" s="1"/>
  <c r="S30" i="8" s="1"/>
  <c r="R39" i="8"/>
  <c r="S35" i="8" s="1"/>
  <c r="U42" i="19"/>
  <c r="U43" i="19" s="1"/>
  <c r="U45" i="19" s="1"/>
  <c r="U47" i="19" s="1"/>
  <c r="T34" i="32"/>
  <c r="T35" i="32" s="1"/>
  <c r="U80" i="25"/>
  <c r="T81" i="25"/>
  <c r="T87" i="25" s="1"/>
  <c r="R49" i="8"/>
  <c r="L36" i="6"/>
  <c r="L37" i="6"/>
  <c r="U42" i="4"/>
  <c r="U43" i="4" s="1"/>
  <c r="V17" i="25" s="1"/>
  <c r="T10" i="8"/>
  <c r="T13" i="8" s="1"/>
  <c r="L42" i="6" l="1"/>
  <c r="L39" i="6"/>
  <c r="S33" i="8"/>
  <c r="L49" i="6"/>
  <c r="T16" i="8"/>
  <c r="T28" i="8"/>
  <c r="S25" i="32"/>
  <c r="S30" i="32" s="1"/>
  <c r="S36" i="32" s="1"/>
  <c r="S38" i="32" s="1"/>
  <c r="V16" i="25"/>
  <c r="V19" i="25" s="1"/>
  <c r="V23" i="25" s="1"/>
  <c r="V60" i="25" s="1"/>
  <c r="V62" i="25" s="1"/>
  <c r="T46" i="8"/>
  <c r="V32" i="19"/>
  <c r="V52" i="25"/>
  <c r="V54" i="25" s="1"/>
  <c r="V28" i="25"/>
  <c r="V29" i="25" s="1"/>
  <c r="V30" i="25" s="1"/>
  <c r="W26" i="25" s="1"/>
  <c r="V38" i="25"/>
  <c r="V39" i="25" s="1"/>
  <c r="V69" i="25"/>
  <c r="V71" i="25" s="1"/>
  <c r="V44" i="25"/>
  <c r="V46" i="25" s="1"/>
  <c r="U45" i="4"/>
  <c r="V38" i="4"/>
  <c r="V19" i="30"/>
  <c r="L35" i="6"/>
  <c r="W27" i="25" l="1"/>
  <c r="L45" i="6"/>
  <c r="M24" i="6" s="1"/>
  <c r="L44" i="6"/>
  <c r="L57" i="6" s="1"/>
  <c r="L48" i="6"/>
  <c r="L50" i="6" s="1"/>
  <c r="L52" i="6" s="1"/>
  <c r="L56" i="6"/>
  <c r="L58" i="6" s="1"/>
  <c r="T21" i="8"/>
  <c r="T19" i="8"/>
  <c r="S36" i="8"/>
  <c r="S39" i="8" s="1"/>
  <c r="S45" i="8"/>
  <c r="S47" i="8" s="1"/>
  <c r="S38" i="8"/>
  <c r="W13" i="25"/>
  <c r="V22" i="30"/>
  <c r="W16" i="30"/>
  <c r="W12" i="25"/>
  <c r="V40" i="4"/>
  <c r="V37" i="19"/>
  <c r="V42" i="19"/>
  <c r="V43" i="19" s="1"/>
  <c r="U34" i="32"/>
  <c r="U35" i="32" s="1"/>
  <c r="V80" i="25"/>
  <c r="W28" i="32" l="1"/>
  <c r="W18" i="30"/>
  <c r="U81" i="25"/>
  <c r="U87" i="25" s="1"/>
  <c r="S49" i="8"/>
  <c r="V42" i="4"/>
  <c r="U10" i="8"/>
  <c r="U13" i="8" s="1"/>
  <c r="T22" i="8"/>
  <c r="U18" i="8" s="1"/>
  <c r="W14" i="25"/>
  <c r="U20" i="8"/>
  <c r="T24" i="8"/>
  <c r="T29" i="8" s="1"/>
  <c r="T30" i="8" s="1"/>
  <c r="V45" i="19"/>
  <c r="V47" i="19" s="1"/>
  <c r="T37" i="8"/>
  <c r="S41" i="8"/>
  <c r="M28" i="6"/>
  <c r="M27" i="6"/>
  <c r="V45" i="4" l="1"/>
  <c r="M33" i="6"/>
  <c r="T33" i="8"/>
  <c r="W38" i="4"/>
  <c r="W19" i="30"/>
  <c r="U28" i="8"/>
  <c r="U16" i="8"/>
  <c r="V43" i="4"/>
  <c r="W17" i="25" s="1"/>
  <c r="T25" i="32"/>
  <c r="T30" i="32" s="1"/>
  <c r="T36" i="32" s="1"/>
  <c r="T38" i="32" s="1"/>
  <c r="W22" i="25"/>
  <c r="W16" i="25"/>
  <c r="W19" i="25" s="1"/>
  <c r="W23" i="25" s="1"/>
  <c r="W60" i="25" s="1"/>
  <c r="W62" i="25" s="1"/>
  <c r="U46" i="8"/>
  <c r="W32" i="19"/>
  <c r="M26" i="6"/>
  <c r="M30" i="6" s="1"/>
  <c r="X12" i="25" l="1"/>
  <c r="W40" i="4"/>
  <c r="M37" i="6"/>
  <c r="M36" i="6"/>
  <c r="U19" i="8"/>
  <c r="U21" i="8"/>
  <c r="W28" i="25"/>
  <c r="W29" i="25" s="1"/>
  <c r="W30" i="25" s="1"/>
  <c r="X26" i="25" s="1"/>
  <c r="W38" i="25"/>
  <c r="W39" i="25" s="1"/>
  <c r="W52" i="25"/>
  <c r="W54" i="25" s="1"/>
  <c r="W44" i="25"/>
  <c r="W46" i="25" s="1"/>
  <c r="W69" i="25"/>
  <c r="W71" i="25" s="1"/>
  <c r="W42" i="19"/>
  <c r="W43" i="19" s="1"/>
  <c r="V34" i="32"/>
  <c r="V35" i="32" s="1"/>
  <c r="W80" i="25"/>
  <c r="X13" i="25"/>
  <c r="W22" i="30"/>
  <c r="X16" i="30"/>
  <c r="T38" i="8"/>
  <c r="T45" i="8"/>
  <c r="T47" i="8" s="1"/>
  <c r="T36" i="8"/>
  <c r="T39" i="8" s="1"/>
  <c r="U35" i="8" s="1"/>
  <c r="W37" i="19"/>
  <c r="M42" i="6" l="1"/>
  <c r="W42" i="4"/>
  <c r="V10" i="8"/>
  <c r="V13" i="8" s="1"/>
  <c r="X27" i="25"/>
  <c r="X14" i="25"/>
  <c r="V20" i="8"/>
  <c r="U24" i="8"/>
  <c r="U29" i="8" s="1"/>
  <c r="U30" i="8" s="1"/>
  <c r="W45" i="19"/>
  <c r="W47" i="19" s="1"/>
  <c r="U22" i="8"/>
  <c r="V18" i="8" s="1"/>
  <c r="V81" i="25"/>
  <c r="V87" i="25" s="1"/>
  <c r="T49" i="8"/>
  <c r="M35" i="6"/>
  <c r="M39" i="6" s="1"/>
  <c r="U37" i="8"/>
  <c r="T41" i="8"/>
  <c r="X28" i="32"/>
  <c r="X18" i="30"/>
  <c r="M49" i="6"/>
  <c r="X22" i="25" l="1"/>
  <c r="M45" i="6"/>
  <c r="N24" i="6" s="1"/>
  <c r="M44" i="6"/>
  <c r="M57" i="6" s="1"/>
  <c r="U33" i="8"/>
  <c r="M48" i="6"/>
  <c r="M50" i="6" s="1"/>
  <c r="M52" i="6" s="1"/>
  <c r="M56" i="6"/>
  <c r="M58" i="6" s="1"/>
  <c r="U25" i="32"/>
  <c r="U30" i="32" s="1"/>
  <c r="U36" i="32" s="1"/>
  <c r="U38" i="32" s="1"/>
  <c r="V16" i="8"/>
  <c r="V28" i="8"/>
  <c r="X38" i="4"/>
  <c r="X40" i="4" s="1"/>
  <c r="X19" i="30"/>
  <c r="X16" i="25"/>
  <c r="V46" i="8"/>
  <c r="X32" i="19"/>
  <c r="W43" i="4"/>
  <c r="V19" i="8" l="1"/>
  <c r="V21" i="8"/>
  <c r="N27" i="6"/>
  <c r="X28" i="25"/>
  <c r="X29" i="25" s="1"/>
  <c r="X30" i="25" s="1"/>
  <c r="Y26" i="25" s="1"/>
  <c r="X38" i="25"/>
  <c r="X39" i="25" s="1"/>
  <c r="X69" i="25"/>
  <c r="X71" i="25" s="1"/>
  <c r="X44" i="25"/>
  <c r="X46" i="25" s="1"/>
  <c r="X52" i="25"/>
  <c r="X54" i="25" s="1"/>
  <c r="Y32" i="19"/>
  <c r="X37" i="19"/>
  <c r="X22" i="30"/>
  <c r="Y16" i="30"/>
  <c r="X43" i="4"/>
  <c r="Y17" i="25" s="1"/>
  <c r="W10" i="8"/>
  <c r="W13" i="8" s="1"/>
  <c r="X42" i="4"/>
  <c r="U45" i="8"/>
  <c r="U47" i="8" s="1"/>
  <c r="U36" i="8"/>
  <c r="U38" i="8"/>
  <c r="X17" i="25"/>
  <c r="X19" i="25" s="1"/>
  <c r="X23" i="25" s="1"/>
  <c r="X60" i="25" s="1"/>
  <c r="X62" i="25" s="1"/>
  <c r="W45" i="4"/>
  <c r="Y37" i="19" l="1"/>
  <c r="Y16" i="25"/>
  <c r="W46" i="8"/>
  <c r="W20" i="8"/>
  <c r="V24" i="8"/>
  <c r="V29" i="8" s="1"/>
  <c r="V30" i="8" s="1"/>
  <c r="W28" i="8"/>
  <c r="W16" i="8"/>
  <c r="V22" i="8"/>
  <c r="W18" i="8" s="1"/>
  <c r="W34" i="32"/>
  <c r="W35" i="32" s="1"/>
  <c r="X42" i="19"/>
  <c r="X43" i="19" s="1"/>
  <c r="X45" i="19" s="1"/>
  <c r="X47" i="19" s="1"/>
  <c r="X80" i="25"/>
  <c r="X45" i="4"/>
  <c r="D40" i="25"/>
  <c r="B9" i="16" s="1"/>
  <c r="B12" i="16" s="1"/>
  <c r="D41" i="25"/>
  <c r="V37" i="8"/>
  <c r="U41" i="8"/>
  <c r="Y28" i="32"/>
  <c r="Y18" i="30"/>
  <c r="Y27" i="25"/>
  <c r="U39" i="8"/>
  <c r="V35" i="8" s="1"/>
  <c r="W81" i="25"/>
  <c r="W87" i="25" s="1"/>
  <c r="U49" i="8"/>
  <c r="N28" i="6"/>
  <c r="N33" i="6" l="1"/>
  <c r="N26" i="6"/>
  <c r="N30" i="6" s="1"/>
  <c r="V33" i="8"/>
  <c r="V25" i="32"/>
  <c r="V30" i="32" s="1"/>
  <c r="V36" i="32" s="1"/>
  <c r="V38" i="32" s="1"/>
  <c r="W19" i="8"/>
  <c r="W21" i="8"/>
  <c r="Y42" i="19"/>
  <c r="Y43" i="19" s="1"/>
  <c r="Y45" i="19" s="1"/>
  <c r="Y47" i="19" s="1"/>
  <c r="X34" i="32"/>
  <c r="X35" i="32" s="1"/>
  <c r="Y80" i="25"/>
  <c r="Y38" i="4"/>
  <c r="Y40" i="4" s="1"/>
  <c r="Y19" i="30"/>
  <c r="X20" i="8" l="1"/>
  <c r="W24" i="8"/>
  <c r="W29" i="8" s="1"/>
  <c r="W30" i="8" s="1"/>
  <c r="Y22" i="30"/>
  <c r="Z16" i="30"/>
  <c r="Y43" i="4"/>
  <c r="Z17" i="25" s="1"/>
  <c r="X10" i="8"/>
  <c r="X13" i="8" s="1"/>
  <c r="Y42" i="4"/>
  <c r="N36" i="6"/>
  <c r="N37" i="6" s="1"/>
  <c r="W22" i="8"/>
  <c r="X18" i="8" s="1"/>
  <c r="V45" i="8"/>
  <c r="V47" i="8" s="1"/>
  <c r="V36" i="8"/>
  <c r="V38" i="8"/>
  <c r="N42" i="6" l="1"/>
  <c r="N35" i="6"/>
  <c r="Z28" i="32"/>
  <c r="Z18" i="30"/>
  <c r="W37" i="8"/>
  <c r="V41" i="8"/>
  <c r="X81" i="25"/>
  <c r="X87" i="25" s="1"/>
  <c r="V49" i="8"/>
  <c r="X16" i="8"/>
  <c r="X28" i="8"/>
  <c r="W33" i="8"/>
  <c r="N49" i="6"/>
  <c r="V39" i="8"/>
  <c r="W35" i="8" s="1"/>
  <c r="Z16" i="25"/>
  <c r="X46" i="8"/>
  <c r="Z32" i="19"/>
  <c r="Y45" i="4"/>
  <c r="Z42" i="19" l="1"/>
  <c r="Z43" i="19" s="1"/>
  <c r="Z45" i="19" s="1"/>
  <c r="Z47" i="19" s="1"/>
  <c r="Y34" i="32"/>
  <c r="Y35" i="32" s="1"/>
  <c r="Z80" i="25"/>
  <c r="Z37" i="19"/>
  <c r="Z38" i="4"/>
  <c r="Z40" i="4" s="1"/>
  <c r="Z19" i="30"/>
  <c r="W45" i="8"/>
  <c r="W47" i="8" s="1"/>
  <c r="Y81" i="25" s="1"/>
  <c r="Y87" i="25" s="1"/>
  <c r="W36" i="8"/>
  <c r="W38" i="8"/>
  <c r="W39" i="8" s="1"/>
  <c r="X35" i="8" s="1"/>
  <c r="X21" i="8"/>
  <c r="X19" i="8"/>
  <c r="W25" i="32"/>
  <c r="W30" i="32" s="1"/>
  <c r="W36" i="32" s="1"/>
  <c r="W38" i="32" s="1"/>
  <c r="N56" i="6"/>
  <c r="N58" i="6" s="1"/>
  <c r="N48" i="6"/>
  <c r="N50" i="6" s="1"/>
  <c r="N52" i="6" s="1"/>
  <c r="N44" i="6"/>
  <c r="N57" i="6" s="1"/>
  <c r="N45" i="6"/>
  <c r="O24" i="6" s="1"/>
  <c r="N39" i="6"/>
  <c r="Z42" i="4" l="1"/>
  <c r="Z43" i="4"/>
  <c r="AA17" i="25" s="1"/>
  <c r="Y10" i="8"/>
  <c r="Y13" i="8" s="1"/>
  <c r="Z45" i="4"/>
  <c r="W49" i="8"/>
  <c r="Z22" i="30"/>
  <c r="AA16" i="30"/>
  <c r="X22" i="8"/>
  <c r="Y18" i="8" s="1"/>
  <c r="O27" i="6"/>
  <c r="O28" i="6" s="1"/>
  <c r="Y20" i="8"/>
  <c r="X24" i="8"/>
  <c r="X29" i="8" s="1"/>
  <c r="X30" i="8" s="1"/>
  <c r="X37" i="8"/>
  <c r="W41" i="8"/>
  <c r="O33" i="6" l="1"/>
  <c r="O30" i="6"/>
  <c r="O26" i="6"/>
  <c r="AA42" i="19"/>
  <c r="AA43" i="19" s="1"/>
  <c r="Z34" i="32"/>
  <c r="Z35" i="32" s="1"/>
  <c r="AA80" i="25"/>
  <c r="AA28" i="32"/>
  <c r="AA18" i="30"/>
  <c r="Y16" i="8"/>
  <c r="Y28" i="8"/>
  <c r="X33" i="8"/>
  <c r="X25" i="32"/>
  <c r="X30" i="32" s="1"/>
  <c r="X36" i="32" s="1"/>
  <c r="X38" i="32" s="1"/>
  <c r="AA16" i="25"/>
  <c r="Y46" i="8"/>
  <c r="AA32" i="19"/>
  <c r="AA38" i="4" l="1"/>
  <c r="AA40" i="4" s="1"/>
  <c r="AA19" i="30"/>
  <c r="Y19" i="8"/>
  <c r="Y21" i="8"/>
  <c r="X38" i="8"/>
  <c r="X45" i="8"/>
  <c r="X47" i="8" s="1"/>
  <c r="X36" i="8"/>
  <c r="X39" i="8" s="1"/>
  <c r="Y35" i="8" s="1"/>
  <c r="AA37" i="19"/>
  <c r="AA45" i="19" s="1"/>
  <c r="AA47" i="19" s="1"/>
  <c r="O36" i="6"/>
  <c r="O37" i="6" s="1"/>
  <c r="O39" i="6" l="1"/>
  <c r="O42" i="6"/>
  <c r="O35" i="6"/>
  <c r="AA42" i="4"/>
  <c r="Z10" i="8"/>
  <c r="Z13" i="8" s="1"/>
  <c r="Z81" i="25"/>
  <c r="Z87" i="25" s="1"/>
  <c r="X49" i="8"/>
  <c r="Z20" i="8"/>
  <c r="Y24" i="8"/>
  <c r="Y29" i="8" s="1"/>
  <c r="Y30" i="8" s="1"/>
  <c r="Y37" i="8"/>
  <c r="X41" i="8"/>
  <c r="Y22" i="8"/>
  <c r="Z18" i="8" s="1"/>
  <c r="O49" i="6"/>
  <c r="AA22" i="30"/>
  <c r="AB16" i="30"/>
  <c r="AB28" i="32" l="1"/>
  <c r="AB18" i="30"/>
  <c r="Y33" i="8"/>
  <c r="Z16" i="8"/>
  <c r="Z28" i="8"/>
  <c r="Y25" i="32"/>
  <c r="Y30" i="32" s="1"/>
  <c r="Y36" i="32" s="1"/>
  <c r="Y38" i="32" s="1"/>
  <c r="AA43" i="4"/>
  <c r="AB17" i="25" s="1"/>
  <c r="AB16" i="25"/>
  <c r="AB32" i="19"/>
  <c r="O56" i="6"/>
  <c r="O48" i="6"/>
  <c r="O50" i="6" s="1"/>
  <c r="O52" i="6" s="1"/>
  <c r="O45" i="6"/>
  <c r="P24" i="6" s="1"/>
  <c r="O44" i="6"/>
  <c r="O57" i="6" s="1"/>
  <c r="AB37" i="19" l="1"/>
  <c r="Z19" i="8"/>
  <c r="Z22" i="8" s="1"/>
  <c r="AA18" i="8" s="1"/>
  <c r="Z21" i="8"/>
  <c r="Z46" i="8"/>
  <c r="Y36" i="8"/>
  <c r="Y38" i="8"/>
  <c r="Y45" i="8"/>
  <c r="Y47" i="8" s="1"/>
  <c r="AB38" i="4"/>
  <c r="AB40" i="4" s="1"/>
  <c r="AB19" i="30"/>
  <c r="P27" i="6"/>
  <c r="P28" i="6" s="1"/>
  <c r="O58" i="6"/>
  <c r="AA45" i="4"/>
  <c r="P33" i="6" l="1"/>
  <c r="P26" i="6"/>
  <c r="P30" i="6" s="1"/>
  <c r="Z37" i="8"/>
  <c r="Y41" i="8"/>
  <c r="Y39" i="8"/>
  <c r="Z35" i="8" s="1"/>
  <c r="AB42" i="19"/>
  <c r="AB43" i="19" s="1"/>
  <c r="AB45" i="19" s="1"/>
  <c r="AB47" i="19" s="1"/>
  <c r="AA34" i="32"/>
  <c r="AA35" i="32" s="1"/>
  <c r="AB80" i="25"/>
  <c r="AA81" i="25"/>
  <c r="AA87" i="25" s="1"/>
  <c r="Y49" i="8"/>
  <c r="AA20" i="8"/>
  <c r="Z24" i="8"/>
  <c r="Z29" i="8" s="1"/>
  <c r="Z30" i="8" s="1"/>
  <c r="AB42" i="4"/>
  <c r="AB43" i="4"/>
  <c r="AC17" i="25" s="1"/>
  <c r="AA10" i="8"/>
  <c r="AA13" i="8" s="1"/>
  <c r="AB22" i="30"/>
  <c r="AC16" i="30"/>
  <c r="AC18" i="30" l="1"/>
  <c r="Z25" i="32"/>
  <c r="Z30" i="32" s="1"/>
  <c r="Z36" i="32" s="1"/>
  <c r="Z38" i="32" s="1"/>
  <c r="AC16" i="25"/>
  <c r="AA46" i="8"/>
  <c r="AC32" i="19"/>
  <c r="AB45" i="4"/>
  <c r="Z33" i="8"/>
  <c r="AA28" i="8"/>
  <c r="AA16" i="8"/>
  <c r="P36" i="6"/>
  <c r="P37" i="6"/>
  <c r="AC38" i="4" l="1"/>
  <c r="AC40" i="4" s="1"/>
  <c r="AC19" i="30"/>
  <c r="AC42" i="19"/>
  <c r="AC43" i="19" s="1"/>
  <c r="AC45" i="19" s="1"/>
  <c r="AC47" i="19" s="1"/>
  <c r="AB34" i="32"/>
  <c r="AB35" i="32" s="1"/>
  <c r="AC80" i="25"/>
  <c r="AC37" i="19"/>
  <c r="AA19" i="8"/>
  <c r="AA21" i="8"/>
  <c r="Z36" i="8"/>
  <c r="Z38" i="8"/>
  <c r="Z45" i="8"/>
  <c r="Z47" i="8" s="1"/>
  <c r="P42" i="6"/>
  <c r="P39" i="6"/>
  <c r="P35" i="6"/>
  <c r="P49" i="6"/>
  <c r="AB20" i="8" l="1"/>
  <c r="AA24" i="8"/>
  <c r="AA29" i="8" s="1"/>
  <c r="AA30" i="8" s="1"/>
  <c r="P48" i="6"/>
  <c r="P50" i="6" s="1"/>
  <c r="P52" i="6" s="1"/>
  <c r="P56" i="6"/>
  <c r="Z39" i="8"/>
  <c r="AA35" i="8" s="1"/>
  <c r="AC22" i="30"/>
  <c r="AD16" i="30"/>
  <c r="AA37" i="8"/>
  <c r="Z41" i="8"/>
  <c r="AC42" i="4"/>
  <c r="AC43" i="4"/>
  <c r="AD17" i="25" s="1"/>
  <c r="AB10" i="8"/>
  <c r="AB13" i="8" s="1"/>
  <c r="AA22" i="8"/>
  <c r="AB18" i="8" s="1"/>
  <c r="P45" i="6"/>
  <c r="Q24" i="6" s="1"/>
  <c r="P44" i="6"/>
  <c r="P57" i="6" s="1"/>
  <c r="AB81" i="25"/>
  <c r="AB87" i="25" s="1"/>
  <c r="Z49" i="8"/>
  <c r="AD18" i="30" l="1"/>
  <c r="AD16" i="25"/>
  <c r="AB46" i="8"/>
  <c r="AD32" i="19"/>
  <c r="P58" i="6"/>
  <c r="AB16" i="8"/>
  <c r="AB28" i="8"/>
  <c r="AA25" i="32"/>
  <c r="AA30" i="32" s="1"/>
  <c r="AA36" i="32" s="1"/>
  <c r="AA38" i="32" s="1"/>
  <c r="AC45" i="4"/>
  <c r="AA33" i="8"/>
  <c r="Q27" i="6"/>
  <c r="AD37" i="19" l="1"/>
  <c r="AA36" i="8"/>
  <c r="AA38" i="8"/>
  <c r="AA45" i="8"/>
  <c r="AA47" i="8" s="1"/>
  <c r="AD42" i="19"/>
  <c r="AD43" i="19" s="1"/>
  <c r="AD45" i="19" s="1"/>
  <c r="AD47" i="19" s="1"/>
  <c r="AD80" i="25"/>
  <c r="AD38" i="4"/>
  <c r="AD40" i="4" s="1"/>
  <c r="AD19" i="30"/>
  <c r="Q28" i="6"/>
  <c r="AB21" i="8"/>
  <c r="AB19" i="8"/>
  <c r="AB22" i="8" s="1"/>
  <c r="AC18" i="8" s="1"/>
  <c r="AC20" i="8" l="1"/>
  <c r="AB24" i="8"/>
  <c r="AB29" i="8" s="1"/>
  <c r="AB30" i="8" s="1"/>
  <c r="AC81" i="25"/>
  <c r="AC87" i="25" s="1"/>
  <c r="AA49" i="8"/>
  <c r="Q30" i="6"/>
  <c r="Q33" i="6"/>
  <c r="Q26" i="6"/>
  <c r="AA39" i="8"/>
  <c r="AB35" i="8" s="1"/>
  <c r="AD22" i="30"/>
  <c r="AE16" i="30"/>
  <c r="AB37" i="8"/>
  <c r="AA41" i="8"/>
  <c r="AD45" i="4"/>
  <c r="AD42" i="4"/>
  <c r="AD43" i="4"/>
  <c r="AE17" i="25" s="1"/>
  <c r="AC10" i="8"/>
  <c r="AC13" i="8" s="1"/>
  <c r="AB33" i="8" l="1"/>
  <c r="AB25" i="32"/>
  <c r="AB30" i="32" s="1"/>
  <c r="AB36" i="32" s="1"/>
  <c r="AB38" i="32" s="1"/>
  <c r="AC28" i="8"/>
  <c r="AC16" i="8"/>
  <c r="AE42" i="19"/>
  <c r="AE43" i="19" s="1"/>
  <c r="AE80" i="25"/>
  <c r="AE18" i="30"/>
  <c r="AE16" i="25"/>
  <c r="AC46" i="8"/>
  <c r="AE32" i="19"/>
  <c r="Q36" i="6"/>
  <c r="Q37" i="6" s="1"/>
  <c r="Q52" i="6"/>
  <c r="Q42" i="6" l="1"/>
  <c r="Q39" i="6"/>
  <c r="Q35" i="6"/>
  <c r="AC19" i="8"/>
  <c r="AC21" i="8"/>
  <c r="AE37" i="19"/>
  <c r="AE45" i="19" s="1"/>
  <c r="AE47" i="19" s="1"/>
  <c r="AE38" i="4"/>
  <c r="AE40" i="4" s="1"/>
  <c r="AE19" i="30"/>
  <c r="Q49" i="6"/>
  <c r="AB38" i="8"/>
  <c r="AB36" i="8"/>
  <c r="AB45" i="8"/>
  <c r="AB47" i="8" s="1"/>
  <c r="AE22" i="30" l="1"/>
  <c r="AF16" i="30"/>
  <c r="AF18" i="30" s="1"/>
  <c r="AB39" i="8"/>
  <c r="AC35" i="8" s="1"/>
  <c r="AC37" i="8"/>
  <c r="AB41" i="8"/>
  <c r="AC22" i="8"/>
  <c r="AD18" i="8" s="1"/>
  <c r="AD20" i="8"/>
  <c r="AC24" i="8"/>
  <c r="AC29" i="8" s="1"/>
  <c r="AC30" i="8" s="1"/>
  <c r="Q56" i="6"/>
  <c r="Q48" i="6"/>
  <c r="Q50" i="6" s="1"/>
  <c r="AD81" i="25"/>
  <c r="AD87" i="25" s="1"/>
  <c r="AB49" i="8"/>
  <c r="AE43" i="4"/>
  <c r="AF17" i="25" s="1"/>
  <c r="AD10" i="8"/>
  <c r="AD13" i="8" s="1"/>
  <c r="AE42" i="4"/>
  <c r="Q44" i="6"/>
  <c r="Q57" i="6" s="1"/>
  <c r="Q45" i="6"/>
  <c r="R24" i="6" s="1"/>
  <c r="R27" i="6" l="1"/>
  <c r="R28" i="6" s="1"/>
  <c r="AF38" i="4"/>
  <c r="AF40" i="4" s="1"/>
  <c r="AF19" i="30"/>
  <c r="AF22" i="30" s="1"/>
  <c r="AF16" i="25"/>
  <c r="AD46" i="8"/>
  <c r="AF32" i="19"/>
  <c r="AC33" i="8"/>
  <c r="AE45" i="4"/>
  <c r="AD16" i="8"/>
  <c r="AD28" i="8"/>
  <c r="Q58" i="6"/>
  <c r="R33" i="6" l="1"/>
  <c r="R30" i="6"/>
  <c r="R26" i="6"/>
  <c r="AC36" i="8"/>
  <c r="AC38" i="8"/>
  <c r="AC45" i="8"/>
  <c r="AC47" i="8" s="1"/>
  <c r="AF37" i="19"/>
  <c r="AD19" i="8"/>
  <c r="AD22" i="8" s="1"/>
  <c r="AE18" i="8" s="1"/>
  <c r="AD21" i="8"/>
  <c r="AF42" i="19"/>
  <c r="AF43" i="19" s="1"/>
  <c r="AF45" i="19" s="1"/>
  <c r="AF47" i="19" s="1"/>
  <c r="AF80" i="25"/>
  <c r="AF42" i="4"/>
  <c r="AE10" i="8"/>
  <c r="AE13" i="8" s="1"/>
  <c r="C24" i="30"/>
  <c r="D69" i="2" s="1"/>
  <c r="C23" i="30"/>
  <c r="C69" i="2" s="1"/>
  <c r="AG32" i="19" l="1"/>
  <c r="AE28" i="8"/>
  <c r="AE16" i="8"/>
  <c r="AF43" i="4"/>
  <c r="AG17" i="25" s="1"/>
  <c r="R37" i="6"/>
  <c r="R36" i="6"/>
  <c r="R52" i="6"/>
  <c r="AF45" i="4"/>
  <c r="AD37" i="8"/>
  <c r="AC41" i="8"/>
  <c r="AE20" i="8"/>
  <c r="AD24" i="8"/>
  <c r="AD29" i="8" s="1"/>
  <c r="AD30" i="8" s="1"/>
  <c r="AC39" i="8"/>
  <c r="AD35" i="8" s="1"/>
  <c r="AG16" i="25"/>
  <c r="AE46" i="8"/>
  <c r="AE81" i="25"/>
  <c r="AE87" i="25" s="1"/>
  <c r="AC49" i="8"/>
  <c r="AG42" i="19" l="1"/>
  <c r="AG43" i="19" s="1"/>
  <c r="AG45" i="19" s="1"/>
  <c r="AG47" i="19" s="1"/>
  <c r="AG80" i="25"/>
  <c r="AG37" i="19"/>
  <c r="AH32" i="19"/>
  <c r="AH37" i="19" s="1"/>
  <c r="AH45" i="19" s="1"/>
  <c r="AH47" i="19" s="1"/>
  <c r="R49" i="6"/>
  <c r="AD33" i="8"/>
  <c r="R39" i="6"/>
  <c r="R42" i="6"/>
  <c r="R35" i="6"/>
  <c r="AE19" i="8"/>
  <c r="AE22" i="8" s="1"/>
  <c r="AF18" i="8" s="1"/>
  <c r="AE21" i="8"/>
  <c r="AF20" i="8" l="1"/>
  <c r="AF22" i="8" s="1"/>
  <c r="AE24" i="8"/>
  <c r="AE29" i="8" s="1"/>
  <c r="AE30" i="8" s="1"/>
  <c r="AD45" i="8"/>
  <c r="AD47" i="8" s="1"/>
  <c r="AD38" i="8"/>
  <c r="AD36" i="8"/>
  <c r="AD39" i="8" s="1"/>
  <c r="AE35" i="8" s="1"/>
  <c r="AF21" i="8"/>
  <c r="AF24" i="8" s="1"/>
  <c r="AF29" i="8" s="1"/>
  <c r="AF30" i="8" s="1"/>
  <c r="R56" i="6"/>
  <c r="R58" i="6" s="1"/>
  <c r="R48" i="6"/>
  <c r="R50" i="6" s="1"/>
  <c r="R44" i="6"/>
  <c r="R57" i="6" s="1"/>
  <c r="R45" i="6"/>
  <c r="S24" i="6" s="1"/>
  <c r="AF33" i="8" l="1"/>
  <c r="AE37" i="8"/>
  <c r="AD41" i="8"/>
  <c r="S27" i="6"/>
  <c r="S28" i="6" s="1"/>
  <c r="AF81" i="25"/>
  <c r="AF87" i="25" s="1"/>
  <c r="AD49" i="8"/>
  <c r="AE33" i="8"/>
  <c r="S30" i="6" l="1"/>
  <c r="S33" i="6"/>
  <c r="S26" i="6"/>
  <c r="AF45" i="8"/>
  <c r="AF47" i="8" s="1"/>
  <c r="AH81" i="25" s="1"/>
  <c r="AH87" i="25" s="1"/>
  <c r="AF36" i="8"/>
  <c r="AE45" i="8"/>
  <c r="AE47" i="8" s="1"/>
  <c r="AG81" i="25" s="1"/>
  <c r="AG87" i="25" s="1"/>
  <c r="AE38" i="8"/>
  <c r="AE36" i="8"/>
  <c r="S37" i="6" l="1"/>
  <c r="S52" i="6"/>
  <c r="S36" i="6"/>
  <c r="AE49" i="8"/>
  <c r="AF49" i="8" s="1"/>
  <c r="AE39" i="8"/>
  <c r="AF35" i="8" s="1"/>
  <c r="AF37" i="8"/>
  <c r="AE41" i="8"/>
  <c r="S39" i="6" l="1"/>
  <c r="S42" i="6"/>
  <c r="S35" i="6"/>
  <c r="AF38" i="8"/>
  <c r="AF41" i="8" s="1"/>
  <c r="S49" i="6"/>
  <c r="S45" i="6" l="1"/>
  <c r="T24" i="6" s="1"/>
  <c r="S44" i="6"/>
  <c r="S57" i="6" s="1"/>
  <c r="AF39" i="8"/>
  <c r="S48" i="6"/>
  <c r="S50" i="6" s="1"/>
  <c r="S56" i="6"/>
  <c r="T27" i="6" l="1"/>
  <c r="T28" i="6" s="1"/>
  <c r="S58" i="6"/>
  <c r="T30" i="6" l="1"/>
  <c r="T33" i="6"/>
  <c r="T26" i="6"/>
  <c r="T36" i="6" l="1"/>
  <c r="T37" i="6" s="1"/>
  <c r="T52" i="6"/>
  <c r="T42" i="6" l="1"/>
  <c r="T39" i="6"/>
  <c r="T35" i="6"/>
  <c r="T49" i="6"/>
  <c r="T44" i="6" l="1"/>
  <c r="T57" i="6" s="1"/>
  <c r="T45" i="6"/>
  <c r="U24" i="6" s="1"/>
  <c r="T48" i="6"/>
  <c r="T50" i="6" s="1"/>
  <c r="T56" i="6"/>
  <c r="U27" i="6" l="1"/>
  <c r="T58" i="6"/>
  <c r="U28" i="6" l="1"/>
  <c r="U30" i="6" l="1"/>
  <c r="U33" i="6"/>
  <c r="U26" i="6"/>
  <c r="U37" i="6" l="1"/>
  <c r="U52" i="6"/>
  <c r="U36" i="6"/>
  <c r="U49" i="6" l="1"/>
  <c r="U42" i="6"/>
  <c r="U39" i="6"/>
  <c r="U35" i="6"/>
  <c r="U48" i="6" l="1"/>
  <c r="U50" i="6" s="1"/>
  <c r="U56" i="6"/>
  <c r="U58" i="6" s="1"/>
  <c r="U45" i="6"/>
  <c r="V24" i="6" s="1"/>
  <c r="U44" i="6"/>
  <c r="U57" i="6" s="1"/>
  <c r="V28" i="6" l="1"/>
  <c r="V27" i="6"/>
  <c r="V33" i="6" l="1"/>
  <c r="V30" i="6"/>
  <c r="B20" i="6"/>
  <c r="V26" i="6"/>
  <c r="V52" i="6" l="1"/>
  <c r="V36" i="6"/>
  <c r="V37" i="6" s="1"/>
  <c r="V42" i="6" l="1"/>
  <c r="V39" i="6"/>
  <c r="V35" i="6"/>
  <c r="V49" i="6"/>
  <c r="V44" i="6" l="1"/>
  <c r="V45" i="6"/>
  <c r="W24" i="6" s="1"/>
  <c r="V48" i="6"/>
  <c r="V50" i="6" s="1"/>
  <c r="V56" i="6"/>
  <c r="W27" i="6" l="1"/>
  <c r="V57" i="6"/>
  <c r="V58" i="6"/>
  <c r="W28" i="6" l="1"/>
  <c r="W33" i="6" l="1"/>
  <c r="W30" i="6"/>
  <c r="W26" i="6"/>
  <c r="W36" i="6" l="1"/>
  <c r="W52" i="6"/>
  <c r="Y12" i="25" l="1"/>
  <c r="W49" i="6"/>
  <c r="W37" i="6"/>
  <c r="W39" i="6" l="1"/>
  <c r="W42" i="6"/>
  <c r="W35" i="6"/>
  <c r="W45" i="6" l="1"/>
  <c r="X24" i="6" s="1"/>
  <c r="W44" i="6"/>
  <c r="W48" i="6"/>
  <c r="W56" i="6"/>
  <c r="Y13" i="25" l="1"/>
  <c r="Y14" i="25" s="1"/>
  <c r="W50" i="6"/>
  <c r="W57" i="6"/>
  <c r="W58" i="6" s="1"/>
  <c r="X27" i="6"/>
  <c r="X28" i="6" l="1"/>
  <c r="Y19" i="25"/>
  <c r="Y23" i="25" s="1"/>
  <c r="Y60" i="25" s="1"/>
  <c r="Y62" i="25" s="1"/>
  <c r="Y22" i="25"/>
  <c r="X33" i="6" l="1"/>
  <c r="X30" i="6"/>
  <c r="X26" i="6"/>
  <c r="Y44" i="25"/>
  <c r="Y46" i="25" s="1"/>
  <c r="Y52" i="25"/>
  <c r="Y54" i="25" s="1"/>
  <c r="Y28" i="25"/>
  <c r="Y29" i="25" s="1"/>
  <c r="Y30" i="25" s="1"/>
  <c r="Z26" i="25" s="1"/>
  <c r="Y69" i="25"/>
  <c r="Y71" i="25" s="1"/>
  <c r="Y38" i="25"/>
  <c r="Y39" i="25" s="1"/>
  <c r="X36" i="6" l="1"/>
  <c r="X37" i="6" s="1"/>
  <c r="X52" i="6"/>
  <c r="Z27" i="25"/>
  <c r="X39" i="6" l="1"/>
  <c r="X42" i="6"/>
  <c r="X35" i="6"/>
  <c r="X49" i="6"/>
  <c r="Z12" i="25"/>
  <c r="X45" i="6" l="1"/>
  <c r="Y24" i="6" s="1"/>
  <c r="X44" i="6"/>
  <c r="X48" i="6"/>
  <c r="X56" i="6"/>
  <c r="Z13" i="25" l="1"/>
  <c r="Z14" i="25" s="1"/>
  <c r="X50" i="6"/>
  <c r="X57" i="6"/>
  <c r="X58" i="6" s="1"/>
  <c r="Y27" i="6"/>
  <c r="Z22" i="25" l="1"/>
  <c r="Z19" i="25"/>
  <c r="Z23" i="25" s="1"/>
  <c r="Z60" i="25" s="1"/>
  <c r="Z62" i="25" s="1"/>
  <c r="Y28" i="6"/>
  <c r="Y30" i="6" l="1"/>
  <c r="Y33" i="6"/>
  <c r="Y26" i="6"/>
  <c r="Z28" i="25"/>
  <c r="Z29" i="25" s="1"/>
  <c r="Z30" i="25" s="1"/>
  <c r="AA26" i="25" s="1"/>
  <c r="Z38" i="25"/>
  <c r="Z39" i="25" s="1"/>
  <c r="Z44" i="25"/>
  <c r="Z46" i="25" s="1"/>
  <c r="Z69" i="25"/>
  <c r="Z71" i="25" s="1"/>
  <c r="Z52" i="25"/>
  <c r="Z54" i="25" s="1"/>
  <c r="AA27" i="25" l="1"/>
  <c r="Y36" i="6"/>
  <c r="Y52" i="6"/>
  <c r="Y49" i="6" l="1"/>
  <c r="AA12" i="25"/>
  <c r="Y37" i="6"/>
  <c r="Y42" i="6" l="1"/>
  <c r="Y39" i="6"/>
  <c r="Y35" i="6"/>
  <c r="Y45" i="6" l="1"/>
  <c r="Z24" i="6" s="1"/>
  <c r="Y44" i="6"/>
  <c r="Y56" i="6"/>
  <c r="Y48" i="6"/>
  <c r="Y57" i="6" l="1"/>
  <c r="Y58" i="6" s="1"/>
  <c r="Z27" i="6"/>
  <c r="AA13" i="25"/>
  <c r="AA14" i="25" s="1"/>
  <c r="Y50" i="6"/>
  <c r="AA22" i="25" l="1"/>
  <c r="AA19" i="25"/>
  <c r="AA23" i="25" s="1"/>
  <c r="AA60" i="25" s="1"/>
  <c r="AA62" i="25" s="1"/>
  <c r="Z28" i="6"/>
  <c r="AA28" i="25" l="1"/>
  <c r="AA29" i="25" s="1"/>
  <c r="AA30" i="25" s="1"/>
  <c r="AB26" i="25" s="1"/>
  <c r="AA38" i="25"/>
  <c r="AA39" i="25" s="1"/>
  <c r="AA44" i="25"/>
  <c r="AA46" i="25" s="1"/>
  <c r="AA69" i="25"/>
  <c r="AA71" i="25" s="1"/>
  <c r="AA52" i="25"/>
  <c r="AA54" i="25" s="1"/>
  <c r="Z33" i="6"/>
  <c r="Z30" i="6"/>
  <c r="Z26" i="6"/>
  <c r="Z36" i="6" l="1"/>
  <c r="Z52" i="6"/>
  <c r="AB27" i="25"/>
  <c r="AB12" i="25" l="1"/>
  <c r="Z49" i="6"/>
  <c r="Z37" i="6"/>
  <c r="Z39" i="6" l="1"/>
  <c r="Z42" i="6"/>
  <c r="Z35" i="6"/>
  <c r="Z48" i="6" l="1"/>
  <c r="Z56" i="6"/>
  <c r="Z44" i="6"/>
  <c r="Z45" i="6"/>
  <c r="AA24" i="6" s="1"/>
  <c r="AA27" i="6" l="1"/>
  <c r="AA28" i="6" s="1"/>
  <c r="Z57" i="6"/>
  <c r="Z58" i="6" s="1"/>
  <c r="AB13" i="25"/>
  <c r="AB14" i="25" s="1"/>
  <c r="Z50" i="6"/>
  <c r="AA33" i="6" l="1"/>
  <c r="AA30" i="6"/>
  <c r="AA26" i="6"/>
  <c r="AB19" i="25"/>
  <c r="AB23" i="25" s="1"/>
  <c r="AB60" i="25" s="1"/>
  <c r="AB62" i="25" s="1"/>
  <c r="AB22" i="25"/>
  <c r="AA37" i="6" l="1"/>
  <c r="AA35" i="6" s="1"/>
  <c r="AA36" i="6"/>
  <c r="AA52" i="6"/>
  <c r="AB28" i="25"/>
  <c r="AB29" i="25" s="1"/>
  <c r="AB30" i="25" s="1"/>
  <c r="AC26" i="25" s="1"/>
  <c r="AB38" i="25"/>
  <c r="AB39" i="25" s="1"/>
  <c r="AB44" i="25"/>
  <c r="AB46" i="25" s="1"/>
  <c r="AB52" i="25"/>
  <c r="AB54" i="25" s="1"/>
  <c r="AB69" i="25"/>
  <c r="AB71" i="25" s="1"/>
  <c r="AA48" i="6" l="1"/>
  <c r="AA56" i="6"/>
  <c r="AC27" i="25"/>
  <c r="AC12" i="25"/>
  <c r="AA49" i="6"/>
  <c r="AA39" i="6"/>
  <c r="AA42" i="6"/>
  <c r="AC14" i="25" l="1"/>
  <c r="AA45" i="6"/>
  <c r="AB24" i="6" s="1"/>
  <c r="AA44" i="6"/>
  <c r="AC13" i="25"/>
  <c r="AA50" i="6"/>
  <c r="AC22" i="25" l="1"/>
  <c r="AC19" i="25"/>
  <c r="AC23" i="25" s="1"/>
  <c r="AC60" i="25" s="1"/>
  <c r="AC62" i="25" s="1"/>
  <c r="AA57" i="6"/>
  <c r="AA58" i="6" s="1"/>
  <c r="AB27" i="6"/>
  <c r="AB28" i="6" l="1"/>
  <c r="AC28" i="25"/>
  <c r="AC29" i="25" s="1"/>
  <c r="AC30" i="25" s="1"/>
  <c r="AD26" i="25" s="1"/>
  <c r="AC38" i="25"/>
  <c r="AC39" i="25" s="1"/>
  <c r="AC52" i="25"/>
  <c r="AC54" i="25" s="1"/>
  <c r="AC44" i="25"/>
  <c r="AC46" i="25" s="1"/>
  <c r="AC69" i="25"/>
  <c r="AC71" i="25" s="1"/>
  <c r="AD27" i="25" l="1"/>
  <c r="AB30" i="6"/>
  <c r="AB33" i="6"/>
  <c r="AB26" i="6"/>
  <c r="AB36" i="6" l="1"/>
  <c r="AB52" i="6"/>
  <c r="AB49" i="6" l="1"/>
  <c r="AD12" i="25"/>
  <c r="AB37" i="6"/>
  <c r="AB39" i="6" l="1"/>
  <c r="AB42" i="6"/>
  <c r="AB35" i="6"/>
  <c r="AB44" i="6" l="1"/>
  <c r="AB45" i="6"/>
  <c r="AC24" i="6" s="1"/>
  <c r="AB48" i="6"/>
  <c r="AB56" i="6"/>
  <c r="AC28" i="6" l="1"/>
  <c r="AC26" i="6" s="1"/>
  <c r="AC27" i="6"/>
  <c r="AB57" i="6"/>
  <c r="AB58" i="6"/>
  <c r="AD13" i="25"/>
  <c r="AD14" i="25" s="1"/>
  <c r="AB50" i="6"/>
  <c r="AC30" i="6" l="1"/>
  <c r="AC33" i="6"/>
  <c r="AD22" i="25"/>
  <c r="AD19" i="25"/>
  <c r="AD23" i="25" s="1"/>
  <c r="AD60" i="25" s="1"/>
  <c r="AD62" i="25" s="1"/>
  <c r="AD52" i="25" l="1"/>
  <c r="AD54" i="25" s="1"/>
  <c r="AD28" i="25"/>
  <c r="AD29" i="25" s="1"/>
  <c r="AD30" i="25" s="1"/>
  <c r="AE26" i="25" s="1"/>
  <c r="AD38" i="25"/>
  <c r="AD39" i="25" s="1"/>
  <c r="AD69" i="25"/>
  <c r="AD71" i="25" s="1"/>
  <c r="AD44" i="25"/>
  <c r="AD46" i="25" s="1"/>
  <c r="AC37" i="6"/>
  <c r="AC52" i="6"/>
  <c r="AC36" i="6"/>
  <c r="AC35" i="6"/>
  <c r="AC48" i="6" l="1"/>
  <c r="AC56" i="6"/>
  <c r="AC49" i="6"/>
  <c r="AE12" i="25"/>
  <c r="AE27" i="25"/>
  <c r="AC42" i="6"/>
  <c r="AC39" i="6"/>
  <c r="AC45" i="6" l="1"/>
  <c r="AD24" i="6" s="1"/>
  <c r="AC44" i="6"/>
  <c r="AE13" i="25"/>
  <c r="AE14" i="25" s="1"/>
  <c r="AC50" i="6"/>
  <c r="AE22" i="25" l="1"/>
  <c r="AE19" i="25"/>
  <c r="AE23" i="25" s="1"/>
  <c r="AE60" i="25" s="1"/>
  <c r="AE62" i="25" s="1"/>
  <c r="AC57" i="6"/>
  <c r="AC58" i="6" s="1"/>
  <c r="AD27" i="6"/>
  <c r="AD28" i="6" s="1"/>
  <c r="AD33" i="6" l="1"/>
  <c r="AD30" i="6"/>
  <c r="AD26" i="6"/>
  <c r="AE28" i="25"/>
  <c r="AE29" i="25" s="1"/>
  <c r="AE30" i="25" s="1"/>
  <c r="AF26" i="25" s="1"/>
  <c r="AE38" i="25"/>
  <c r="AE39" i="25" s="1"/>
  <c r="AE52" i="25"/>
  <c r="AE54" i="25" s="1"/>
  <c r="AE44" i="25"/>
  <c r="AE46" i="25" s="1"/>
  <c r="AE69" i="25"/>
  <c r="AE71" i="25" s="1"/>
  <c r="AD52" i="6" l="1"/>
  <c r="AD36" i="6"/>
  <c r="AF27" i="25"/>
  <c r="AD49" i="6" l="1"/>
  <c r="AF12" i="25"/>
  <c r="AD37" i="6"/>
  <c r="AD42" i="6" l="1"/>
  <c r="AD39" i="6"/>
  <c r="AD35" i="6"/>
  <c r="AD44" i="6" l="1"/>
  <c r="AD45" i="6"/>
  <c r="AE24" i="6" s="1"/>
  <c r="AD56" i="6"/>
  <c r="AD48" i="6"/>
  <c r="AE27" i="6" l="1"/>
  <c r="AF13" i="25"/>
  <c r="AF14" i="25" s="1"/>
  <c r="AD50" i="6"/>
  <c r="AD57" i="6"/>
  <c r="AD58" i="6" s="1"/>
  <c r="AF19" i="25" l="1"/>
  <c r="AF23" i="25" s="1"/>
  <c r="AF60" i="25" s="1"/>
  <c r="AF62" i="25" s="1"/>
  <c r="AF22" i="25"/>
  <c r="AE28" i="6"/>
  <c r="AE33" i="6" l="1"/>
  <c r="AE30" i="6"/>
  <c r="AE26" i="6"/>
  <c r="AF28" i="25"/>
  <c r="AF29" i="25" s="1"/>
  <c r="AF30" i="25" s="1"/>
  <c r="AG26" i="25" s="1"/>
  <c r="AF38" i="25"/>
  <c r="AF39" i="25" s="1"/>
  <c r="AF69" i="25"/>
  <c r="AF71" i="25" s="1"/>
  <c r="AF52" i="25"/>
  <c r="AF54" i="25" s="1"/>
  <c r="AF44" i="25"/>
  <c r="AF46" i="25" s="1"/>
  <c r="AE36" i="6" l="1"/>
  <c r="AE37" i="6" s="1"/>
  <c r="AE52" i="6"/>
  <c r="AG27" i="25"/>
  <c r="AE39" i="6" l="1"/>
  <c r="AE42" i="6"/>
  <c r="AE35" i="6"/>
  <c r="AE49" i="6"/>
  <c r="AG12" i="25"/>
  <c r="AE45" i="6" l="1"/>
  <c r="AF24" i="6" s="1"/>
  <c r="AE44" i="6"/>
  <c r="AE56" i="6"/>
  <c r="AE48" i="6"/>
  <c r="AE57" i="6" l="1"/>
  <c r="AE58" i="6" s="1"/>
  <c r="AF27" i="6"/>
  <c r="AF28" i="6" s="1"/>
  <c r="AG13" i="25"/>
  <c r="AG14" i="25" s="1"/>
  <c r="AE50" i="6"/>
  <c r="AF30" i="6" l="1"/>
  <c r="AF33" i="6"/>
  <c r="AF26" i="6"/>
  <c r="AG19" i="25"/>
  <c r="AG23" i="25" s="1"/>
  <c r="AG60" i="25" s="1"/>
  <c r="AG62" i="25" s="1"/>
  <c r="AG22" i="25"/>
  <c r="AF36" i="6" l="1"/>
  <c r="AF37" i="6" s="1"/>
  <c r="AF52" i="6"/>
  <c r="AG28" i="25"/>
  <c r="AG29" i="25" s="1"/>
  <c r="AG30" i="25" s="1"/>
  <c r="AH26" i="25" s="1"/>
  <c r="AG38" i="25"/>
  <c r="AG39" i="25" s="1"/>
  <c r="AG44" i="25"/>
  <c r="AG46" i="25" s="1"/>
  <c r="AG52" i="25"/>
  <c r="AG54" i="25" s="1"/>
  <c r="AG69" i="25"/>
  <c r="AG71" i="25" s="1"/>
  <c r="AF42" i="6" l="1"/>
  <c r="AF39" i="6"/>
  <c r="AF35" i="6"/>
  <c r="AH27" i="25"/>
  <c r="AH12" i="25"/>
  <c r="AF49" i="6"/>
  <c r="E68" i="6"/>
  <c r="D9" i="16" s="1"/>
  <c r="D12" i="16" s="1"/>
  <c r="E69" i="6"/>
  <c r="C9" i="16" s="1"/>
  <c r="C12" i="16" s="1"/>
  <c r="AF45" i="6" l="1"/>
  <c r="AF44" i="6"/>
  <c r="AF57" i="6" s="1"/>
  <c r="AF48" i="6"/>
  <c r="AF56" i="6"/>
  <c r="B77" i="6"/>
  <c r="E66" i="6" s="1"/>
  <c r="G35" i="2" s="1"/>
  <c r="AH13" i="25" l="1"/>
  <c r="AH14" i="25" s="1"/>
  <c r="AF50" i="6"/>
  <c r="AF58" i="6"/>
  <c r="AH22" i="25" l="1"/>
  <c r="AH19" i="25"/>
  <c r="AH23" i="25" s="1"/>
  <c r="AH60" i="25" s="1"/>
  <c r="AH62" i="25" s="1"/>
  <c r="D64" i="25" l="1"/>
  <c r="D73" i="2" s="1"/>
  <c r="D63" i="25"/>
  <c r="C73" i="2" s="1"/>
  <c r="AH44" i="25"/>
  <c r="AH46" i="25" s="1"/>
  <c r="AH69" i="25"/>
  <c r="AH71" i="25" s="1"/>
  <c r="AH38" i="25"/>
  <c r="AH39" i="25" s="1"/>
  <c r="AH52" i="25"/>
  <c r="AH54" i="25" s="1"/>
  <c r="AH28" i="25"/>
  <c r="AH29" i="25" s="1"/>
  <c r="AH30" i="25" s="1"/>
  <c r="D72" i="25" l="1"/>
  <c r="D73" i="25"/>
  <c r="D55" i="25"/>
  <c r="C72" i="2" s="1"/>
  <c r="D56" i="25"/>
  <c r="D72" i="2" s="1"/>
  <c r="D47" i="25"/>
  <c r="D48" i="25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N19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Costs received from UAE Model (% LM's) then upgraded to 6 LM facility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N3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Warren Schick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D8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 received from Santee Cooper Cost Model</t>
        </r>
      </text>
    </comment>
  </commentList>
</comments>
</file>

<file path=xl/sharedStrings.xml><?xml version="1.0" encoding="utf-8"?>
<sst xmlns="http://schemas.openxmlformats.org/spreadsheetml/2006/main" count="812" uniqueCount="609">
  <si>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</si>
  <si>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</si>
  <si>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</si>
  <si>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</si>
  <si>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</si>
  <si>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</si>
  <si>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</si>
  <si>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</si>
  <si>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</si>
  <si>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</si>
  <si>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</si>
  <si>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</si>
  <si>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</si>
  <si>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</si>
  <si>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</si>
  <si>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</si>
  <si>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</si>
  <si>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</si>
  <si>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</si>
  <si>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</si>
  <si>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</si>
  <si>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</si>
  <si>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</si>
  <si>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</si>
  <si>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</si>
  <si>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</si>
  <si>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</si>
  <si>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</si>
  <si>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</si>
  <si>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</si>
  <si>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</si>
  <si>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</si>
  <si>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</si>
  <si>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</si>
  <si>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</si>
  <si>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</si>
  <si>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</si>
  <si>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</si>
  <si>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</si>
  <si>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</si>
  <si>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</si>
  <si>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</si>
  <si>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</si>
  <si>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</si>
  <si>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</si>
  <si>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</si>
  <si>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</si>
  <si>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</si>
  <si>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</si>
  <si>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</si>
  <si>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</si>
  <si>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</si>
  <si>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</si>
  <si>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</si>
  <si>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</si>
  <si>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</si>
  <si>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</si>
  <si>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</si>
  <si>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</si>
  <si>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</si>
  <si>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</si>
  <si>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</si>
  <si>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</si>
  <si>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</si>
  <si>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</si>
  <si>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</si>
  <si>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</si>
  <si>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</si>
  <si>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</si>
  <si>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</si>
  <si>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</si>
  <si>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</si>
  <si>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</si>
  <si>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</si>
  <si>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</si>
  <si>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</si>
  <si>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</si>
  <si>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</si>
  <si>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</si>
  <si>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</si>
  <si>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</si>
  <si>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</si>
  <si>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</si>
  <si>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</si>
  <si>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</si>
  <si>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</si>
  <si>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</si>
  <si>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</si>
  <si>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</si>
  <si>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</si>
  <si>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</si>
  <si>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</si>
  <si>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</si>
  <si>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</si>
  <si>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</si>
  <si>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</si>
  <si>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</si>
  <si>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</si>
  <si>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</si>
  <si>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</si>
  <si>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</si>
  <si>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</si>
  <si>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</si>
  <si>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</si>
  <si>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</si>
  <si>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</si>
  <si>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</si>
  <si>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</si>
  <si>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</si>
  <si>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</si>
  <si>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</si>
  <si>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</si>
  <si>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</si>
  <si>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</si>
  <si>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</si>
  <si>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</si>
  <si>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</si>
  <si>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</si>
  <si>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</si>
  <si>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</si>
  <si>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</si>
  <si>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</si>
  <si>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</si>
  <si>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</si>
  <si>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</si>
  <si>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</si>
  <si>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</si>
  <si>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</si>
  <si>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</si>
  <si>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</si>
  <si>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</si>
  <si>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</si>
  <si>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</si>
  <si>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</si>
  <si>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</si>
  <si>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</si>
  <si>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</si>
  <si>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</si>
  <si>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</si>
  <si>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</si>
  <si>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</si>
  <si>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</si>
  <si>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</si>
  <si>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</si>
  <si>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</si>
  <si>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</si>
  <si>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</si>
  <si>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</si>
  <si>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</si>
  <si>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</si>
  <si>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</si>
  <si>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</si>
  <si>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</si>
  <si>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</si>
  <si>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</si>
  <si>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</si>
  <si>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</si>
  <si>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</si>
  <si>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</si>
  <si>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</si>
  <si>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</si>
  <si>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</si>
  <si>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</si>
  <si>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</si>
  <si>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</si>
  <si>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</si>
  <si>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</si>
  <si>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</si>
  <si>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 xml:space="preserve">  Owner's Engineer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</si>
  <si>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</si>
  <si>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</si>
  <si>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</si>
  <si>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</si>
  <si>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</si>
  <si>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</si>
  <si>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</si>
  <si>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</si>
  <si>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</si>
  <si>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</si>
  <si>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</si>
  <si>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</si>
  <si>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</si>
  <si>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</si>
  <si>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</si>
  <si>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</si>
  <si>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</si>
  <si>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</si>
  <si>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</si>
  <si>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</si>
  <si>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</si>
  <si>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</si>
  <si>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</si>
  <si>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</si>
  <si>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</si>
  <si>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</si>
  <si>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</si>
  <si>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</si>
  <si>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</si>
  <si>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</si>
  <si>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</si>
  <si>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</si>
  <si>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</si>
  <si>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</si>
  <si>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</si>
  <si>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</si>
  <si>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</si>
  <si>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</si>
  <si>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</si>
  <si>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</si>
  <si>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</si>
  <si>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</si>
  <si>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</si>
  <si>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</si>
  <si>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</si>
  <si>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</si>
  <si>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</si>
  <si>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</si>
  <si>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</si>
  <si>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</si>
  <si>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</si>
  <si>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</si>
  <si>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</si>
  <si>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</si>
  <si>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</si>
  <si>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</si>
  <si>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</si>
  <si>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</si>
  <si>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</si>
  <si>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</si>
  <si>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</si>
  <si>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</si>
  <si>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</si>
  <si>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</si>
  <si>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</si>
  <si>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</si>
  <si>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</si>
  <si>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</si>
  <si>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</si>
  <si>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</si>
  <si>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</si>
  <si>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</si>
  <si>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</si>
  <si>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</si>
  <si>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</si>
  <si>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</si>
  <si>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</si>
  <si>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</si>
  <si>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</si>
  <si>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</si>
  <si>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</si>
  <si>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</si>
  <si>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</si>
  <si>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</si>
  <si>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</si>
  <si>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</si>
  <si>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</si>
  <si>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</si>
  <si>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</si>
  <si>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</si>
  <si>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</si>
  <si>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</si>
  <si>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</si>
  <si>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</si>
  <si>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</si>
  <si>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</si>
  <si>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</si>
  <si>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</si>
  <si>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</si>
  <si>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</si>
  <si>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</si>
  <si>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</si>
  <si>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</si>
  <si>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</si>
  <si>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</si>
  <si>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</si>
  <si>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</si>
  <si>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</si>
  <si>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</si>
  <si>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</si>
  <si>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</si>
  <si>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</si>
  <si>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</si>
  <si>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</si>
  <si>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</si>
  <si>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</si>
  <si>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</si>
  <si>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</si>
  <si>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</si>
  <si>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</si>
  <si>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</si>
  <si>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</si>
  <si>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</si>
  <si>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</si>
  <si>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</si>
  <si>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</si>
  <si>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</si>
  <si>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</si>
  <si>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</si>
  <si>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</si>
  <si>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</si>
  <si>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</si>
  <si>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</si>
  <si>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</si>
  <si>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</si>
  <si>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</si>
  <si>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</si>
  <si>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</si>
  <si>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</si>
  <si>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</si>
  <si>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</si>
  <si>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</si>
  <si>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</si>
  <si>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</si>
  <si>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</si>
  <si>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</si>
  <si>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</si>
  <si>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</si>
  <si>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</si>
  <si>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</si>
  <si>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</si>
  <si>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</si>
  <si>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</si>
  <si>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</si>
  <si>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</si>
  <si>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</si>
  <si>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</si>
  <si>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</si>
  <si>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</si>
  <si>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</si>
  <si>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</si>
  <si>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</si>
  <si>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</si>
  <si>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</si>
  <si>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</si>
  <si>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</si>
  <si>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</si>
  <si>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</si>
  <si>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</si>
  <si>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</si>
  <si>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</si>
  <si>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Capex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</si>
  <si>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</si>
  <si>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</si>
  <si>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</si>
  <si>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</si>
  <si>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</si>
  <si>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</si>
  <si>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</si>
  <si>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</si>
  <si>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</si>
  <si>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</si>
  <si>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</si>
  <si>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</si>
  <si>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</si>
  <si>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</si>
  <si>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</si>
  <si>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</si>
  <si>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</si>
  <si>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</si>
  <si>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</si>
  <si>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</si>
  <si>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</si>
  <si>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</si>
  <si>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</si>
  <si>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</si>
  <si>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</si>
  <si>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</si>
  <si>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</si>
  <si>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</si>
  <si>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</si>
  <si>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</si>
  <si>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</si>
  <si>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</si>
  <si>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</si>
  <si>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</si>
  <si>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</si>
  <si>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</si>
  <si>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</si>
  <si>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</si>
  <si>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</si>
  <si>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</si>
  <si>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</si>
  <si>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</si>
  <si>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</si>
  <si>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</si>
  <si>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</si>
  <si>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</si>
  <si>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</si>
  <si>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</si>
  <si>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</si>
  <si>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</si>
  <si>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</si>
  <si>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</si>
  <si>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</si>
  <si>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</si>
  <si>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</si>
  <si>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</si>
  <si>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</si>
  <si>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</si>
  <si>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</si>
  <si>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</si>
  <si>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</si>
  <si>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</si>
  <si>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</si>
  <si>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</si>
  <si>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</si>
  <si>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</si>
  <si>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</si>
  <si>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</si>
  <si>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</si>
  <si>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</si>
  <si>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</si>
  <si>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</si>
  <si>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</si>
  <si>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</si>
  <si>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</si>
  <si>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PROJECT NAME: Homestead, Florida</t>
  </si>
  <si>
    <t>$/Mmbtu</t>
  </si>
  <si>
    <t>Oil</t>
  </si>
  <si>
    <t>Index (Fuel Oil # 2 Curve)</t>
  </si>
  <si>
    <t>Avg. Annual</t>
  </si>
  <si>
    <t>FL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</si>
  <si>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</si>
  <si>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</si>
  <si>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</si>
  <si>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</si>
  <si>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</si>
  <si>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</si>
  <si>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</si>
  <si>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GC Other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</si>
  <si>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</si>
  <si>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</si>
  <si>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</si>
  <si>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</si>
  <si>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</si>
  <si>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</si>
  <si>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</si>
  <si>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Inlet air heating</t>
  </si>
  <si>
    <t xml:space="preserve">  Duel Fuel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</si>
  <si>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</si>
  <si>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</si>
  <si>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</si>
  <si>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</si>
  <si>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</si>
  <si>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</si>
  <si>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</si>
  <si>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</si>
  <si>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</si>
  <si>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</si>
  <si>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</si>
  <si>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</si>
  <si>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</si>
  <si>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</si>
  <si>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</si>
  <si>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</si>
  <si>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</si>
  <si>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</si>
  <si>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</si>
  <si>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</si>
  <si>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</si>
  <si>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</si>
  <si>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</si>
  <si>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</si>
  <si>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</si>
  <si>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</si>
  <si>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</si>
  <si>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</si>
  <si>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</si>
  <si>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</si>
  <si>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</si>
  <si>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</si>
  <si>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</si>
  <si>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</si>
  <si>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</si>
  <si>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</si>
  <si>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</si>
  <si>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</si>
  <si>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</si>
  <si>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</si>
  <si>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</si>
  <si>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</si>
  <si>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</si>
  <si>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</si>
  <si>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</si>
  <si>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</si>
  <si>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</si>
  <si>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</si>
  <si>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</si>
  <si>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</si>
  <si>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</si>
  <si>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</si>
  <si>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</si>
  <si>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</si>
  <si>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</si>
  <si>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</si>
  <si>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</si>
  <si>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</si>
  <si>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</si>
  <si>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</si>
  <si>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</si>
  <si>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</si>
  <si>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</si>
  <si>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</si>
  <si>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</si>
  <si>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</si>
  <si>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</si>
  <si>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</si>
  <si>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</si>
  <si>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</si>
  <si>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</si>
  <si>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</si>
  <si>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</si>
  <si>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</si>
  <si>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</si>
  <si>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</si>
  <si>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</si>
  <si>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</si>
  <si>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</si>
  <si>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B.I. Insurance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</si>
  <si>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</si>
  <si>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</si>
  <si>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</si>
  <si>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</si>
  <si>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</si>
  <si>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</si>
  <si>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</si>
  <si>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</si>
  <si>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</si>
  <si>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</si>
  <si>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</si>
  <si>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</si>
  <si>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</si>
  <si>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</si>
  <si>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</si>
  <si>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Simple Cycle Scenario</t>
  </si>
  <si>
    <t xml:space="preserve">  Indirect Labor</t>
  </si>
  <si>
    <t xml:space="preserve">  Startup/Mobilization</t>
  </si>
  <si>
    <t>Does NOT flow into model</t>
  </si>
  <si>
    <t>Does Flow into Model</t>
  </si>
  <si>
    <t xml:space="preserve">  SCR's</t>
  </si>
  <si>
    <t xml:space="preserve">  Chillers (In Engineered Equipment)</t>
  </si>
  <si>
    <t>Simple Cycle Configuration</t>
  </si>
  <si>
    <t>Basis Per Turbine with Enhanced Sprint Option</t>
  </si>
  <si>
    <t xml:space="preserve">  per diems</t>
  </si>
  <si>
    <t xml:space="preserve">  Tax/bond</t>
  </si>
  <si>
    <t xml:space="preserve">  Turbine (with Carrying Cost and Sprint)</t>
  </si>
  <si>
    <t xml:space="preserve">  Warranty</t>
  </si>
  <si>
    <t>PLANO, ILLINOIS</t>
  </si>
  <si>
    <t>6 x LM6000PC Sprint Enhanced CTGs</t>
  </si>
  <si>
    <t>PRELIMINARY INFORMATION</t>
  </si>
  <si>
    <t>Project Management</t>
  </si>
  <si>
    <t>Indirect Costs</t>
  </si>
  <si>
    <t>Engineering</t>
  </si>
  <si>
    <t>Bulk Materials</t>
  </si>
  <si>
    <t>Procurement Subtotal</t>
  </si>
  <si>
    <t>Subtotal Cost</t>
  </si>
  <si>
    <t>Fixed G&amp;A @ 2.00%</t>
  </si>
  <si>
    <t>Total Cost</t>
  </si>
  <si>
    <t>Contingency @ 1.50%</t>
  </si>
  <si>
    <t>Margin @ 3.00%</t>
  </si>
  <si>
    <t>TOTAL PROJECT EPC</t>
  </si>
  <si>
    <t>TOTAL PROJECT COST PER UNIT</t>
  </si>
  <si>
    <t>MARGIN on NON-CTG SCOPE</t>
  </si>
  <si>
    <t>Approximate Net Plant Output</t>
  </si>
  <si>
    <t>MW</t>
  </si>
  <si>
    <t>TOTAL PROJECT COST PER kW</t>
  </si>
  <si>
    <t>/kW</t>
  </si>
  <si>
    <t>Homestead, Florida</t>
  </si>
  <si>
    <t>Owner Adder</t>
  </si>
  <si>
    <t>Margin @ 6.00%</t>
  </si>
  <si>
    <t xml:space="preserve">  Pre-treatment</t>
  </si>
  <si>
    <t xml:space="preserve">  First Stage RO</t>
  </si>
  <si>
    <t>Balance Sheet</t>
  </si>
  <si>
    <t>Assets:</t>
  </si>
  <si>
    <t>Maintenance Reserve</t>
  </si>
  <si>
    <t>Accrued Maintenance Liability</t>
  </si>
  <si>
    <t>Sources &amp; Uses</t>
  </si>
  <si>
    <t>Sources</t>
  </si>
  <si>
    <t>Change in Deferred Taxes</t>
  </si>
  <si>
    <t>D,D&amp;A</t>
  </si>
  <si>
    <t>Other Non-Cash Expenses (Maintenance Accrual)</t>
  </si>
  <si>
    <t>Less: Actual Maintenance Charge</t>
  </si>
  <si>
    <t>Less: Maintenance Charge Reserved</t>
  </si>
  <si>
    <t>Plus: Usage of Maintenance Reserve</t>
  </si>
  <si>
    <t>Uses</t>
  </si>
  <si>
    <t>Capex</t>
  </si>
  <si>
    <t>Increase in WC</t>
  </si>
  <si>
    <t>Net Principle Repayments</t>
  </si>
  <si>
    <t>Surplus (Deficit)</t>
  </si>
  <si>
    <t xml:space="preserve">Available to Deficit Revolver: Beg. Excess Cash Balance + Surplus (Deficit) </t>
  </si>
  <si>
    <t>Increase Decrease in Deficit Revolver</t>
  </si>
  <si>
    <t>Available for Dividends</t>
  </si>
  <si>
    <t>Dividends Paid</t>
  </si>
  <si>
    <t>Change in Cash</t>
  </si>
  <si>
    <t>Beg.Excess Cash</t>
  </si>
  <si>
    <t>End Excess Cash</t>
  </si>
  <si>
    <t>Total Cash Taxes</t>
  </si>
  <si>
    <t>Total Book Taxes</t>
  </si>
  <si>
    <t xml:space="preserve">  Total Deferred Tax Liability</t>
  </si>
  <si>
    <t xml:space="preserve">  Cumulative DTL</t>
  </si>
  <si>
    <t>Cash Flows and Return Analysis</t>
  </si>
  <si>
    <t>After Tax Cashflow to Equity</t>
  </si>
  <si>
    <t>Pre-Tax Cash Flows</t>
  </si>
  <si>
    <t>After-Tax Cash Flows</t>
  </si>
  <si>
    <t>Distribution to Equity:</t>
  </si>
  <si>
    <t xml:space="preserve">   Pre-Tax Cashflow to Equity</t>
  </si>
  <si>
    <t xml:space="preserve">   After-Tax Cashflow to Equity</t>
  </si>
  <si>
    <t>State Tax Benefit / (Expense)</t>
  </si>
  <si>
    <t>Federal Tax Benefit /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</si>
</sst>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1" formatCode="00000\x"/>
    <numFmt numFmtId="212" formatCode="0.00\x"/>
    <numFmt numFmtId="213" formatCode="0.000\x"/>
    <numFmt numFmtId="217" formatCode="&quot;$&quot;#,##0"/>
    <numFmt numFmtId="219" formatCode="&quot;$&quot;#,##0.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5" formatCode="&quot;$&quot;#,##0.000000_);\(&quot;$&quot;#,##0.000000\)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1" formatCode="0.000000_)"/>
    <numFmt numFmtId="352" formatCode="0.0000000_)"/>
    <numFmt numFmtId="353" formatCode="0.00000000_)"/>
    <numFmt numFmtId="354" formatCode="0.000000000_)"/>
    <numFmt numFmtId="355" formatCode="#,##0.0000000000_);[Red]\(#,##0.0000000000\)"/>
    <numFmt numFmtId="356" formatCode="0.0E+00"/>
    <numFmt numFmtId="357" formatCode="0E+00"/>
    <numFmt numFmtId="358" formatCode="0_);[Red]\-0_)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Times New Roman"/>
      <family val="1"/>
    </font>
    <font>
      <b/>
      <sz val="12"/>
      <name val="Arial"/>
      <family val="2"/>
    </font>
    <font>
      <sz val="11"/>
      <name val="Arial"/>
    </font>
    <font>
      <sz val="12"/>
      <name val="Arial MT"/>
    </font>
    <font>
      <b/>
      <sz val="16"/>
      <name val="Times New Roman"/>
      <family val="1"/>
    </font>
    <font>
      <b/>
      <u/>
      <sz val="8"/>
      <name val="Times New Roman"/>
      <family val="1"/>
    </font>
    <font>
      <b/>
      <u val="singleAccounting"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322" fontId="0" fillId="0" borderId="0" xfId="0" applyNumberFormat="1"/>
    <xf numFmtId="0" fontId="102" fillId="0" borderId="0" xfId="0" applyFont="1"/>
    <xf numFmtId="44" fontId="0" fillId="0" borderId="0" xfId="4" applyFont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22" fillId="8" borderId="0" xfId="4" applyNumberFormat="1" applyFont="1" applyFill="1" applyBorder="1" applyAlignment="1"/>
    <xf numFmtId="44" fontId="3" fillId="0" borderId="0" xfId="4" applyFont="1"/>
    <xf numFmtId="0" fontId="24" fillId="0" borderId="0" xfId="0" applyFont="1"/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0" fontId="9" fillId="0" borderId="9" xfId="0" applyFont="1" applyFill="1" applyBorder="1" applyAlignment="1">
      <alignment horizontal="right"/>
    </xf>
    <xf numFmtId="38" fontId="22" fillId="0" borderId="9" xfId="0" applyNumberFormat="1" applyFont="1" applyFill="1" applyBorder="1"/>
    <xf numFmtId="0" fontId="9" fillId="0" borderId="0" xfId="0" applyFont="1" applyFill="1" applyBorder="1" applyAlignment="1">
      <alignment horizontal="right"/>
    </xf>
    <xf numFmtId="166" fontId="9" fillId="0" borderId="0" xfId="3" applyNumberFormat="1" applyFont="1" applyFill="1" applyBorder="1"/>
    <xf numFmtId="313" fontId="22" fillId="0" borderId="9" xfId="0" applyNumberFormat="1" applyFont="1" applyFill="1" applyBorder="1" applyAlignment="1" applyProtection="1">
      <alignment horizontal="right"/>
    </xf>
    <xf numFmtId="38" fontId="31" fillId="0" borderId="0" xfId="0" applyNumberFormat="1" applyFont="1" applyFill="1" applyBorder="1" applyAlignment="1">
      <alignment horizontal="center"/>
    </xf>
    <xf numFmtId="193" fontId="22" fillId="8" borderId="0" xfId="3" applyNumberFormat="1" applyFont="1" applyFill="1" applyBorder="1"/>
    <xf numFmtId="193" fontId="30" fillId="8" borderId="0" xfId="3" applyNumberFormat="1" applyFont="1" applyFill="1" applyBorder="1"/>
    <xf numFmtId="193" fontId="22" fillId="0" borderId="0" xfId="3" applyNumberFormat="1" applyFont="1" applyFill="1" applyBorder="1"/>
    <xf numFmtId="0" fontId="114" fillId="0" borderId="0" xfId="0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8" fontId="3" fillId="0" borderId="0" xfId="0" applyNumberFormat="1" applyFont="1"/>
    <xf numFmtId="166" fontId="113" fillId="0" borderId="9" xfId="3" applyNumberFormat="1" applyFont="1" applyBorder="1"/>
    <xf numFmtId="166" fontId="113" fillId="0" borderId="13" xfId="3" applyNumberFormat="1" applyFont="1" applyBorder="1"/>
    <xf numFmtId="0" fontId="7" fillId="8" borderId="23" xfId="0" applyFont="1" applyFill="1" applyBorder="1"/>
    <xf numFmtId="0" fontId="7" fillId="8" borderId="24" xfId="0" applyFont="1" applyFill="1" applyBorder="1"/>
    <xf numFmtId="6" fontId="22" fillId="11" borderId="31" xfId="20" applyNumberFormat="1" applyFont="1" applyFill="1" applyBorder="1" applyAlignment="1">
      <alignment horizontal="center"/>
    </xf>
    <xf numFmtId="2" fontId="3" fillId="0" borderId="0" xfId="0" applyNumberFormat="1" applyFont="1"/>
    <xf numFmtId="0" fontId="10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4" xfId="0" applyBorder="1"/>
    <xf numFmtId="217" fontId="0" fillId="8" borderId="7" xfId="0" applyNumberFormat="1" applyFill="1" applyBorder="1"/>
    <xf numFmtId="0" fontId="0" fillId="0" borderId="8" xfId="0" applyBorder="1"/>
    <xf numFmtId="217" fontId="0" fillId="0" borderId="0" xfId="0" applyNumberFormat="1" applyBorder="1"/>
    <xf numFmtId="217" fontId="0" fillId="8" borderId="0" xfId="0" applyNumberFormat="1" applyFill="1" applyBorder="1"/>
    <xf numFmtId="0" fontId="111" fillId="0" borderId="10" xfId="0" applyFont="1" applyBorder="1"/>
    <xf numFmtId="217" fontId="111" fillId="8" borderId="0" xfId="0" applyNumberFormat="1" applyFont="1" applyFill="1" applyBorder="1"/>
    <xf numFmtId="0" fontId="102" fillId="0" borderId="10" xfId="0" applyFont="1" applyBorder="1"/>
    <xf numFmtId="217" fontId="102" fillId="0" borderId="0" xfId="0" applyNumberFormat="1" applyFont="1" applyBorder="1"/>
    <xf numFmtId="10" fontId="0" fillId="0" borderId="0" xfId="0" applyNumberFormat="1" applyBorder="1"/>
    <xf numFmtId="0" fontId="102" fillId="0" borderId="15" xfId="0" applyFont="1" applyBorder="1"/>
    <xf numFmtId="217" fontId="102" fillId="0" borderId="6" xfId="0" applyNumberFormat="1" applyFont="1" applyBorder="1"/>
    <xf numFmtId="0" fontId="102" fillId="0" borderId="13" xfId="0" quotePrefix="1" applyFont="1" applyBorder="1"/>
    <xf numFmtId="219" fontId="0" fillId="0" borderId="0" xfId="0" applyNumberFormat="1"/>
    <xf numFmtId="9" fontId="117" fillId="0" borderId="0" xfId="20" applyFont="1" applyFill="1" applyBorder="1" applyAlignment="1">
      <alignment horizontal="left"/>
    </xf>
    <xf numFmtId="37" fontId="10" fillId="0" borderId="0" xfId="0" applyNumberFormat="1" applyFont="1"/>
    <xf numFmtId="0" fontId="118" fillId="0" borderId="12" xfId="0" applyFont="1" applyFill="1" applyBorder="1"/>
    <xf numFmtId="166" fontId="2" fillId="0" borderId="11" xfId="3" applyNumberFormat="1" applyFont="1" applyBorder="1"/>
    <xf numFmtId="166" fontId="10" fillId="0" borderId="0" xfId="3" applyNumberFormat="1" applyFont="1" applyBorder="1"/>
    <xf numFmtId="38" fontId="3" fillId="0" borderId="0" xfId="0" applyNumberFormat="1" applyFont="1" applyBorder="1"/>
    <xf numFmtId="37" fontId="3" fillId="0" borderId="0" xfId="0" applyNumberFormat="1" applyFont="1" applyBorder="1"/>
    <xf numFmtId="41" fontId="14" fillId="0" borderId="0" xfId="0" applyNumberFormat="1" applyFont="1" applyBorder="1"/>
    <xf numFmtId="166" fontId="10" fillId="0" borderId="11" xfId="3" applyNumberFormat="1" applyFont="1" applyBorder="1"/>
    <xf numFmtId="38" fontId="14" fillId="0" borderId="0" xfId="0" applyNumberFormat="1" applyFont="1" applyBorder="1"/>
    <xf numFmtId="166" fontId="20" fillId="0" borderId="17" xfId="3" applyNumberFormat="1" applyFont="1" applyBorder="1"/>
    <xf numFmtId="38" fontId="3" fillId="0" borderId="4" xfId="0" applyNumberFormat="1" applyFont="1" applyBorder="1"/>
    <xf numFmtId="166" fontId="2" fillId="0" borderId="19" xfId="3" applyNumberFormat="1" applyFont="1" applyBorder="1"/>
    <xf numFmtId="0" fontId="0" fillId="0" borderId="12" xfId="0" applyBorder="1"/>
    <xf numFmtId="41" fontId="3" fillId="0" borderId="0" xfId="0" applyNumberFormat="1" applyFont="1" applyBorder="1"/>
    <xf numFmtId="166" fontId="20" fillId="0" borderId="11" xfId="3" applyNumberFormat="1" applyFont="1" applyBorder="1"/>
    <xf numFmtId="0" fontId="10" fillId="0" borderId="0" xfId="0" applyFon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166" fontId="10" fillId="0" borderId="17" xfId="3" applyNumberFormat="1" applyFont="1" applyBorder="1"/>
    <xf numFmtId="166" fontId="20" fillId="0" borderId="16" xfId="3" applyNumberFormat="1" applyFont="1" applyBorder="1"/>
    <xf numFmtId="0" fontId="3" fillId="0" borderId="22" xfId="0" applyFont="1" applyBorder="1"/>
    <xf numFmtId="38" fontId="3" fillId="0" borderId="22" xfId="0" applyNumberFormat="1" applyFont="1" applyBorder="1"/>
    <xf numFmtId="38" fontId="11" fillId="0" borderId="0" xfId="0" applyNumberFormat="1" applyFont="1"/>
    <xf numFmtId="38" fontId="23" fillId="0" borderId="0" xfId="0" applyNumberFormat="1" applyFont="1"/>
    <xf numFmtId="0" fontId="11" fillId="0" borderId="19" xfId="0" applyFont="1" applyBorder="1"/>
    <xf numFmtId="0" fontId="10" fillId="0" borderId="11" xfId="0" applyFont="1" applyBorder="1"/>
    <xf numFmtId="0" fontId="10" fillId="0" borderId="17" xfId="0" applyFont="1" applyBorder="1"/>
    <xf numFmtId="166" fontId="10" fillId="0" borderId="12" xfId="3" applyNumberFormat="1" applyFont="1" applyBorder="1" applyProtection="1"/>
    <xf numFmtId="166" fontId="10" fillId="0" borderId="12" xfId="3" applyNumberFormat="1" applyFont="1" applyFill="1" applyBorder="1" applyProtection="1"/>
    <xf numFmtId="0" fontId="3" fillId="0" borderId="12" xfId="0" applyFont="1" applyFill="1" applyBorder="1"/>
    <xf numFmtId="0" fontId="3" fillId="0" borderId="20" xfId="0" applyFont="1" applyFill="1" applyBorder="1"/>
    <xf numFmtId="166" fontId="3" fillId="0" borderId="21" xfId="0" applyNumberFormat="1" applyFont="1" applyBorder="1"/>
    <xf numFmtId="38" fontId="3" fillId="0" borderId="21" xfId="0" applyNumberFormat="1" applyFont="1" applyBorder="1"/>
    <xf numFmtId="38" fontId="3" fillId="0" borderId="21" xfId="0" applyNumberFormat="1" applyFont="1" applyFill="1" applyBorder="1"/>
    <xf numFmtId="38" fontId="3" fillId="0" borderId="18" xfId="0" applyNumberFormat="1" applyFont="1" applyBorder="1"/>
    <xf numFmtId="166" fontId="12" fillId="0" borderId="0" xfId="3" applyNumberFormat="1" applyFont="1" applyFill="1" applyBorder="1"/>
    <xf numFmtId="166" fontId="2" fillId="0" borderId="0" xfId="3" applyNumberFormat="1" applyFont="1" applyFill="1" applyBorder="1"/>
    <xf numFmtId="6" fontId="2" fillId="0" borderId="0" xfId="0" applyNumberFormat="1" applyFont="1" applyFill="1" applyBorder="1"/>
    <xf numFmtId="44" fontId="3" fillId="0" borderId="0" xfId="4" applyFont="1" applyFill="1" applyBorder="1" applyAlignment="1"/>
    <xf numFmtId="165" fontId="3" fillId="0" borderId="0" xfId="4" applyNumberFormat="1" applyFont="1" applyFill="1" applyBorder="1" applyAlignment="1"/>
    <xf numFmtId="44" fontId="119" fillId="0" borderId="0" xfId="4" applyFont="1" applyFill="1" applyBorder="1" applyAlignment="1"/>
    <xf numFmtId="166" fontId="3" fillId="0" borderId="0" xfId="0" applyNumberFormat="1" applyFont="1" applyFill="1" applyBorder="1"/>
    <xf numFmtId="44" fontId="12" fillId="0" borderId="0" xfId="4" applyFont="1" applyFill="1" applyBorder="1" applyAlignment="1"/>
    <xf numFmtId="165" fontId="12" fillId="0" borderId="0" xfId="4" applyNumberFormat="1" applyFont="1" applyFill="1" applyBorder="1" applyAlignment="1"/>
    <xf numFmtId="44" fontId="3" fillId="0" borderId="4" xfId="4" applyFont="1" applyBorder="1"/>
    <xf numFmtId="0" fontId="7" fillId="0" borderId="0" xfId="0" applyFont="1" applyFill="1"/>
    <xf numFmtId="0" fontId="2" fillId="0" borderId="12" xfId="0" applyFont="1" applyBorder="1" applyAlignment="1">
      <alignment horizontal="left"/>
    </xf>
    <xf numFmtId="38" fontId="3" fillId="0" borderId="12" xfId="3" applyNumberFormat="1" applyFont="1" applyFill="1" applyBorder="1"/>
    <xf numFmtId="38" fontId="3" fillId="0" borderId="20" xfId="3" applyNumberFormat="1" applyFont="1" applyFill="1" applyBorder="1"/>
    <xf numFmtId="166" fontId="3" fillId="0" borderId="21" xfId="3" applyNumberFormat="1" applyFont="1" applyFill="1" applyBorder="1"/>
    <xf numFmtId="0" fontId="2" fillId="0" borderId="4" xfId="0" applyFont="1" applyBorder="1"/>
    <xf numFmtId="166" fontId="3" fillId="0" borderId="4" xfId="3" applyNumberFormat="1" applyFont="1" applyFill="1" applyBorder="1"/>
    <xf numFmtId="166" fontId="3" fillId="0" borderId="18" xfId="3" applyNumberFormat="1" applyFont="1" applyFill="1" applyBorder="1"/>
    <xf numFmtId="0" fontId="9" fillId="0" borderId="19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lano%20(LM6000)%20tolling%20extension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t Scenarios"/>
      <sheetName val="Assum"/>
      <sheetName val="Sensitivity"/>
      <sheetName val="Power Price"/>
      <sheetName val="Inflation"/>
      <sheetName val="Sum"/>
      <sheetName val="IS"/>
      <sheetName val="BS"/>
      <sheetName val="CF"/>
      <sheetName val="WC"/>
      <sheetName val="Debt"/>
      <sheetName val="Dep"/>
      <sheetName val="Taxes"/>
      <sheetName val="Carry"/>
      <sheetName val="Draw"/>
      <sheetName val="MaintPV"/>
      <sheetName val="Maint"/>
      <sheetName val="Log"/>
      <sheetName val="CapCost"/>
      <sheetName val="Scope"/>
      <sheetName val="Summary"/>
      <sheetName val="Assumptions"/>
      <sheetName val="Mob_Estimate"/>
      <sheetName val="Mob_Staffing"/>
      <sheetName val="Training"/>
      <sheetName val="ScopeSplit"/>
      <sheetName val="Mob_Backup"/>
      <sheetName val="O&amp;M_Estimate"/>
      <sheetName val="Plt_Staff"/>
      <sheetName val="Pay &amp; Benefits Calculations"/>
      <sheetName val="O&amp;M_Backup"/>
      <sheetName val="LM6000PC_MMR_Ga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>
        <row r="7">
          <cell r="C7">
            <v>2001</v>
          </cell>
          <cell r="D7">
            <v>2002</v>
          </cell>
          <cell r="E7">
            <v>2003</v>
          </cell>
          <cell r="F7">
            <v>2004</v>
          </cell>
          <cell r="G7">
            <v>2005</v>
          </cell>
          <cell r="H7">
            <v>2006</v>
          </cell>
          <cell r="I7">
            <v>2007</v>
          </cell>
          <cell r="J7">
            <v>2008</v>
          </cell>
          <cell r="K7">
            <v>2009</v>
          </cell>
          <cell r="L7">
            <v>2010</v>
          </cell>
          <cell r="M7">
            <v>2011</v>
          </cell>
          <cell r="N7">
            <v>2012</v>
          </cell>
          <cell r="O7">
            <v>2013</v>
          </cell>
          <cell r="P7">
            <v>2014</v>
          </cell>
          <cell r="Q7">
            <v>2015</v>
          </cell>
          <cell r="R7">
            <v>2016</v>
          </cell>
          <cell r="S7">
            <v>2017</v>
          </cell>
          <cell r="T7">
            <v>2018</v>
          </cell>
          <cell r="U7">
            <v>2019</v>
          </cell>
          <cell r="V7">
            <v>2020</v>
          </cell>
          <cell r="W7">
            <v>2021</v>
          </cell>
          <cell r="X7">
            <v>2022</v>
          </cell>
          <cell r="Y7">
            <v>2023</v>
          </cell>
          <cell r="Z7">
            <v>2024</v>
          </cell>
          <cell r="AA7">
            <v>2025</v>
          </cell>
          <cell r="AB7">
            <v>2026</v>
          </cell>
        </row>
      </sheetData>
      <sheetData sheetId="7" refreshError="1"/>
      <sheetData sheetId="8" refreshError="1"/>
      <sheetData sheetId="9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>
        <row r="15">
          <cell r="D15">
            <v>498.70588235294122</v>
          </cell>
          <cell r="E15">
            <v>1012.3729411764707</v>
          </cell>
          <cell r="F15">
            <v>1540.9363447058824</v>
          </cell>
          <cell r="G15">
            <v>2084.5638052358827</v>
          </cell>
          <cell r="H15">
            <v>2643.4128346607226</v>
          </cell>
          <cell r="I15">
            <v>3217.4625576859185</v>
          </cell>
          <cell r="J15">
            <v>3806.8394083158869</v>
          </cell>
          <cell r="K15">
            <v>4411.6579324323602</v>
          </cell>
          <cell r="L15">
            <v>5032.0807744710391</v>
          </cell>
          <cell r="M15">
            <v>5668.2623566974999</v>
          </cell>
          <cell r="N15">
            <v>6320.4757147960681</v>
          </cell>
          <cell r="O15">
            <v>6988.9944068470995</v>
          </cell>
          <cell r="P15">
            <v>7674.4266218070225</v>
          </cell>
          <cell r="Q15">
            <v>8377.4744446914156</v>
          </cell>
          <cell r="R15">
            <v>-3164.8834922953956</v>
          </cell>
          <cell r="S15">
            <v>-2424.224811426373</v>
          </cell>
          <cell r="T15">
            <v>-1663.4942803058</v>
          </cell>
          <cell r="U15">
            <v>-882.14795179185967</v>
          </cell>
          <cell r="V15">
            <v>-79.627137775191613</v>
          </cell>
          <cell r="W15">
            <v>744.64199030132818</v>
          </cell>
          <cell r="X15">
            <v>1591.2488117487217</v>
          </cell>
          <cell r="Y15">
            <v>2460.7986780573392</v>
          </cell>
          <cell r="Z15">
            <v>3353.9133457429207</v>
          </cell>
          <cell r="AA15">
            <v>4271.2314209227807</v>
          </cell>
          <cell r="AB15">
            <v>5213.4088159400153</v>
          </cell>
          <cell r="AC15">
            <v>6181.119218362217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7" t="s">
        <v>159</v>
      </c>
      <c r="C2" s="5"/>
    </row>
    <row r="3" spans="1:18" s="46" customFormat="1" ht="15.75"/>
    <row r="4" spans="1:18" s="46" customFormat="1" ht="18.75">
      <c r="A4" s="454">
        <v>1</v>
      </c>
      <c r="B4" s="202" t="s">
        <v>381</v>
      </c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</row>
    <row r="5" spans="1:18" s="46" customFormat="1" ht="18.75">
      <c r="B5" s="202" t="s">
        <v>382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</row>
    <row r="6" spans="1:18" s="46" customFormat="1" ht="15.75">
      <c r="A6" s="12">
        <v>2</v>
      </c>
      <c r="B6" s="53" t="s">
        <v>296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297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392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7" t="s">
        <v>192</v>
      </c>
    </row>
    <row r="13" spans="1:18" s="46" customFormat="1" ht="15.75">
      <c r="A13" s="455"/>
      <c r="B13" s="12"/>
      <c r="C13" s="12"/>
      <c r="D13" s="12"/>
      <c r="E13" s="12"/>
      <c r="F13" s="12"/>
      <c r="G13" s="12"/>
      <c r="H13" s="12"/>
      <c r="I13" s="456" t="s">
        <v>193</v>
      </c>
      <c r="J13" s="12"/>
      <c r="K13" s="12"/>
      <c r="L13" s="12"/>
      <c r="M13" s="12"/>
      <c r="N13" s="12"/>
      <c r="O13" s="456"/>
      <c r="P13" s="12"/>
    </row>
    <row r="14" spans="1:18" s="46" customFormat="1" ht="15.75">
      <c r="A14" s="12">
        <v>1</v>
      </c>
      <c r="B14" s="12" t="s">
        <v>355</v>
      </c>
      <c r="C14" s="12"/>
      <c r="D14" s="12"/>
      <c r="E14" s="12"/>
      <c r="F14" s="12"/>
      <c r="G14" s="12"/>
      <c r="H14" s="12"/>
      <c r="I14" s="12" t="s">
        <v>194</v>
      </c>
      <c r="J14" s="12"/>
      <c r="K14" s="12"/>
      <c r="L14" s="12"/>
      <c r="M14" s="12"/>
      <c r="N14" s="12"/>
      <c r="O14" s="457"/>
      <c r="P14" s="12"/>
    </row>
    <row r="15" spans="1:18" s="46" customFormat="1" ht="15.75">
      <c r="A15" s="12"/>
      <c r="B15" s="12" t="s">
        <v>258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7"/>
      <c r="P15" s="12"/>
    </row>
    <row r="16" spans="1:18" s="46" customFormat="1" ht="15.75">
      <c r="A16" s="12">
        <v>2</v>
      </c>
      <c r="B16" s="12" t="s">
        <v>219</v>
      </c>
      <c r="C16" s="12"/>
      <c r="D16" s="12"/>
      <c r="E16" s="12"/>
      <c r="F16" s="12"/>
      <c r="G16" s="12"/>
      <c r="H16" s="12"/>
      <c r="I16" s="12" t="s">
        <v>194</v>
      </c>
      <c r="J16" s="12"/>
      <c r="K16" s="12"/>
      <c r="L16" s="12"/>
      <c r="M16" s="12"/>
      <c r="N16" s="12"/>
      <c r="O16" s="45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350</v>
      </c>
      <c r="J17" s="12"/>
      <c r="K17" s="12"/>
      <c r="L17" s="12"/>
      <c r="M17" s="12"/>
      <c r="N17" s="12"/>
      <c r="O17" s="457"/>
      <c r="P17" s="12"/>
    </row>
    <row r="18" spans="1:16" s="46" customFormat="1" ht="15.75">
      <c r="A18" s="12">
        <v>4</v>
      </c>
      <c r="B18" s="12" t="s">
        <v>244</v>
      </c>
      <c r="C18" s="12"/>
      <c r="D18" s="12"/>
      <c r="E18" s="12"/>
      <c r="F18" s="12"/>
      <c r="G18" s="12"/>
      <c r="H18" s="12"/>
      <c r="I18" s="12" t="s">
        <v>399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298</v>
      </c>
      <c r="C19" s="12"/>
      <c r="D19" s="12"/>
      <c r="E19" s="12"/>
      <c r="F19" s="12"/>
      <c r="G19" s="12"/>
      <c r="H19" s="12"/>
      <c r="I19" s="12" t="s">
        <v>268</v>
      </c>
      <c r="J19" s="12"/>
      <c r="K19" s="12"/>
      <c r="L19" s="12"/>
      <c r="M19" s="12"/>
      <c r="N19" s="12"/>
      <c r="O19" s="457"/>
      <c r="P19" s="12"/>
    </row>
    <row r="20" spans="1:16" s="46" customFormat="1" ht="15.75">
      <c r="A20" s="12">
        <v>6</v>
      </c>
      <c r="B20" s="12" t="s">
        <v>318</v>
      </c>
      <c r="C20" s="12"/>
      <c r="D20" s="12"/>
      <c r="E20" s="12"/>
      <c r="F20" s="12"/>
      <c r="G20" s="12"/>
      <c r="H20" s="12"/>
      <c r="I20" s="12" t="s">
        <v>319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348</v>
      </c>
      <c r="C21" s="12"/>
      <c r="D21" s="12"/>
      <c r="E21" s="12"/>
      <c r="F21" s="12"/>
      <c r="G21" s="12"/>
      <c r="H21" s="12"/>
      <c r="I21" s="12" t="s">
        <v>268</v>
      </c>
      <c r="J21" s="12"/>
      <c r="K21" s="12"/>
      <c r="L21" s="12"/>
      <c r="M21" s="12"/>
      <c r="N21" s="12"/>
      <c r="O21" s="457"/>
      <c r="P21" s="12"/>
    </row>
    <row r="22" spans="1:16" s="46" customFormat="1" ht="15.75">
      <c r="A22" s="12">
        <v>8</v>
      </c>
      <c r="B22" s="12" t="s">
        <v>351</v>
      </c>
      <c r="C22" s="12"/>
      <c r="D22" s="12"/>
      <c r="E22" s="12"/>
      <c r="F22" s="12"/>
      <c r="G22" s="12"/>
      <c r="H22" s="12"/>
      <c r="I22" s="12" t="s">
        <v>352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389</v>
      </c>
      <c r="C23" s="12"/>
      <c r="D23" s="12"/>
      <c r="E23" s="12"/>
      <c r="F23" s="12"/>
      <c r="G23" s="12"/>
      <c r="H23" s="12"/>
      <c r="I23" s="12" t="s">
        <v>268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7" t="s">
        <v>261</v>
      </c>
    </row>
    <row r="28" spans="1:16" s="46" customFormat="1" ht="18.75">
      <c r="A28" s="272"/>
    </row>
    <row r="29" spans="1:16" s="46" customFormat="1" ht="15.75">
      <c r="A29" s="12"/>
      <c r="B29" s="458" t="s">
        <v>286</v>
      </c>
      <c r="C29" s="12"/>
      <c r="D29" s="12"/>
      <c r="E29" s="458" t="s">
        <v>285</v>
      </c>
      <c r="F29" s="458"/>
      <c r="G29" s="458"/>
      <c r="H29" s="458" t="s">
        <v>287</v>
      </c>
      <c r="I29" s="12"/>
      <c r="J29" s="12"/>
    </row>
    <row r="30" spans="1:16" s="46" customFormat="1" ht="15.75">
      <c r="A30" s="12"/>
      <c r="B30" s="12" t="s">
        <v>357</v>
      </c>
      <c r="C30" s="12"/>
      <c r="D30" s="12"/>
      <c r="E30" s="12" t="s">
        <v>270</v>
      </c>
      <c r="F30" s="12"/>
      <c r="G30" s="12"/>
      <c r="H30" s="12" t="s">
        <v>282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271</v>
      </c>
      <c r="F31" s="12"/>
      <c r="G31" s="12"/>
      <c r="H31" s="12" t="s">
        <v>283</v>
      </c>
      <c r="I31" s="12"/>
      <c r="J31" s="12"/>
    </row>
    <row r="32" spans="1:16" s="46" customFormat="1" ht="15.75">
      <c r="A32" s="12"/>
      <c r="B32" s="12" t="s">
        <v>358</v>
      </c>
      <c r="C32" s="12"/>
      <c r="D32" s="12"/>
      <c r="E32" s="12" t="s">
        <v>272</v>
      </c>
      <c r="F32" s="12"/>
      <c r="G32" s="12"/>
      <c r="H32" s="12" t="s">
        <v>284</v>
      </c>
      <c r="I32" s="12"/>
      <c r="J32" s="12"/>
    </row>
    <row r="33" spans="1:10" s="46" customFormat="1" ht="15.75">
      <c r="A33" s="12"/>
      <c r="B33" s="12" t="s">
        <v>266</v>
      </c>
      <c r="C33" s="12"/>
      <c r="D33" s="12"/>
      <c r="E33" s="12" t="s">
        <v>267</v>
      </c>
      <c r="F33" s="12"/>
      <c r="G33" s="12"/>
      <c r="H33" s="12" t="s">
        <v>279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268</v>
      </c>
      <c r="F34" s="12"/>
      <c r="G34" s="12"/>
      <c r="H34" s="12" t="s">
        <v>280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269</v>
      </c>
      <c r="F35" s="12"/>
      <c r="G35" s="12"/>
      <c r="H35" s="12" t="s">
        <v>281</v>
      </c>
      <c r="I35" s="12"/>
      <c r="J35" s="12"/>
    </row>
    <row r="36" spans="1:10" s="46" customFormat="1" ht="15.75">
      <c r="A36" s="12"/>
      <c r="B36" s="12" t="s">
        <v>264</v>
      </c>
      <c r="C36" s="12"/>
      <c r="D36" s="12"/>
      <c r="E36" s="12" t="s">
        <v>265</v>
      </c>
      <c r="F36" s="12"/>
      <c r="G36" s="12"/>
      <c r="H36" s="12" t="s">
        <v>278</v>
      </c>
      <c r="I36" s="12"/>
      <c r="J36" s="12"/>
    </row>
    <row r="37" spans="1:10" s="46" customFormat="1" ht="15.75">
      <c r="A37" s="12"/>
      <c r="B37" s="12" t="s">
        <v>318</v>
      </c>
      <c r="C37" s="12"/>
      <c r="D37" s="12"/>
      <c r="E37" s="12" t="s">
        <v>319</v>
      </c>
      <c r="F37" s="12"/>
      <c r="G37" s="12"/>
      <c r="H37" s="12" t="s">
        <v>316</v>
      </c>
      <c r="I37" s="12"/>
      <c r="J37" s="12"/>
    </row>
    <row r="38" spans="1:10" s="46" customFormat="1" ht="15.75">
      <c r="A38" s="12"/>
      <c r="B38" s="12" t="s">
        <v>262</v>
      </c>
      <c r="C38" s="12"/>
      <c r="D38" s="12"/>
      <c r="E38" s="12" t="s">
        <v>263</v>
      </c>
      <c r="F38" s="12"/>
      <c r="G38" s="12"/>
      <c r="H38" s="12" t="s">
        <v>317</v>
      </c>
      <c r="I38" s="12"/>
      <c r="J38" s="12"/>
    </row>
    <row r="39" spans="1:10" s="46" customFormat="1" ht="15.75">
      <c r="A39" s="12"/>
      <c r="B39" s="12" t="s">
        <v>394</v>
      </c>
      <c r="C39" s="12"/>
      <c r="D39" s="12"/>
      <c r="E39" s="12" t="s">
        <v>379</v>
      </c>
      <c r="F39" s="12"/>
      <c r="G39" s="12"/>
      <c r="H39" s="12" t="s">
        <v>380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402</v>
      </c>
      <c r="F40" s="12"/>
      <c r="G40" s="12"/>
      <c r="H40" s="12" t="s">
        <v>403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194</v>
      </c>
      <c r="F41" s="12"/>
      <c r="G41" s="12"/>
      <c r="H41" s="12" t="s">
        <v>277</v>
      </c>
      <c r="I41" s="12"/>
      <c r="J41" s="12"/>
    </row>
    <row r="42" spans="1:10" s="46" customFormat="1" ht="15.75">
      <c r="A42" s="12"/>
      <c r="B42" s="12" t="s">
        <v>353</v>
      </c>
      <c r="C42" s="12"/>
      <c r="D42" s="12"/>
      <c r="E42" s="12" t="s">
        <v>377</v>
      </c>
      <c r="F42" s="12"/>
      <c r="G42" s="12"/>
      <c r="H42" s="12" t="s">
        <v>378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352</v>
      </c>
      <c r="F43" s="12"/>
      <c r="G43" s="12"/>
      <c r="H43" s="12" t="s">
        <v>354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3"/>
  <sheetViews>
    <sheetView zoomScale="75" zoomScaleNormal="75" workbookViewId="0">
      <selection activeCell="D11" sqref="D11"/>
    </sheetView>
  </sheetViews>
  <sheetFormatPr defaultRowHeight="12.75" outlineLevelRow="1"/>
  <cols>
    <col min="1" max="1" width="47" style="12" customWidth="1"/>
    <col min="2" max="2" width="14.28515625" style="12" customWidth="1"/>
    <col min="3" max="3" width="13.28515625" style="12" bestFit="1" customWidth="1"/>
    <col min="4" max="4" width="11.28515625" style="12" bestFit="1" customWidth="1"/>
    <col min="5" max="5" width="11.7109375" style="12" bestFit="1" customWidth="1"/>
    <col min="6" max="6" width="11.28515625" style="12" bestFit="1" customWidth="1"/>
    <col min="7" max="9" width="11.7109375" style="12" bestFit="1" customWidth="1"/>
    <col min="10" max="10" width="11.28515625" style="12" bestFit="1" customWidth="1"/>
    <col min="11" max="12" width="11.7109375" style="12" bestFit="1" customWidth="1"/>
    <col min="13" max="13" width="11.28515625" style="12" bestFit="1" customWidth="1"/>
    <col min="14" max="14" width="10.85546875" style="12" bestFit="1" customWidth="1"/>
    <col min="15" max="17" width="11.28515625" style="12" bestFit="1" customWidth="1"/>
    <col min="18" max="18" width="11" style="12" bestFit="1" customWidth="1"/>
    <col min="19" max="21" width="11.28515625" style="12" bestFit="1" customWidth="1"/>
    <col min="22" max="22" width="11" style="12" bestFit="1" customWidth="1"/>
    <col min="23" max="23" width="11.7109375" style="12" bestFit="1" customWidth="1"/>
    <col min="24" max="24" width="11.28515625" style="12" bestFit="1" customWidth="1"/>
    <col min="25" max="25" width="11.7109375" style="12" bestFit="1" customWidth="1"/>
    <col min="26" max="26" width="11.28515625" style="12" bestFit="1" customWidth="1"/>
    <col min="27" max="29" width="11.7109375" style="12" bestFit="1" customWidth="1"/>
    <col min="30" max="30" width="11.28515625" style="12" bestFit="1" customWidth="1"/>
    <col min="31" max="33" width="11.7109375" style="12" bestFit="1" customWidth="1"/>
    <col min="34" max="34" width="13.28515625" style="12" bestFit="1" customWidth="1"/>
    <col min="35" max="16384" width="9.140625" style="12"/>
  </cols>
  <sheetData>
    <row r="2" spans="1:36" ht="18.75">
      <c r="A2" s="85" t="str">
        <f>Assumptions!A3</f>
        <v>PROJECT NAME: Homestead, Florida</v>
      </c>
      <c r="B2" s="85"/>
      <c r="Z2" s="6"/>
      <c r="AA2" s="6"/>
    </row>
    <row r="3" spans="1:36">
      <c r="Z3" s="6"/>
      <c r="AA3" s="6"/>
    </row>
    <row r="4" spans="1:36" ht="18.75">
      <c r="A4" s="60" t="s">
        <v>600</v>
      </c>
      <c r="B4" s="648"/>
      <c r="Z4" s="6"/>
      <c r="AA4" s="6"/>
    </row>
    <row r="5" spans="1:36">
      <c r="Z5" s="6"/>
      <c r="AA5" s="6"/>
    </row>
    <row r="6" spans="1:36">
      <c r="C6" s="207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36" ht="13.5" thickBot="1">
      <c r="A7" s="120" t="s">
        <v>38</v>
      </c>
      <c r="B7" s="120"/>
      <c r="C7" s="7" t="s">
        <v>239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6">
      <c r="A8" s="125"/>
      <c r="B8" s="125"/>
      <c r="C8" s="147">
        <f>Assumptions!G46</f>
        <v>36617</v>
      </c>
      <c r="D8" s="147">
        <f>BS!D8</f>
        <v>37255.5</v>
      </c>
      <c r="E8" s="147">
        <f>BS!E8</f>
        <v>37620.75</v>
      </c>
      <c r="F8" s="147">
        <f>BS!F8</f>
        <v>37986</v>
      </c>
      <c r="G8" s="147">
        <f>BS!G8</f>
        <v>38351.25</v>
      </c>
      <c r="H8" s="147">
        <f>BS!H8</f>
        <v>38716.5</v>
      </c>
      <c r="I8" s="147">
        <f>BS!I8</f>
        <v>39081.75</v>
      </c>
      <c r="J8" s="147">
        <f>BS!J8</f>
        <v>39447</v>
      </c>
      <c r="K8" s="147">
        <f>BS!K8</f>
        <v>39812.25</v>
      </c>
      <c r="L8" s="147">
        <f>BS!L8</f>
        <v>40177.5</v>
      </c>
      <c r="M8" s="147">
        <f>BS!M8</f>
        <v>40542.75</v>
      </c>
      <c r="N8" s="147">
        <f>BS!N8</f>
        <v>40908</v>
      </c>
      <c r="O8" s="147">
        <f>BS!O8</f>
        <v>41273.25</v>
      </c>
      <c r="P8" s="147">
        <f>BS!P8</f>
        <v>41638.5</v>
      </c>
      <c r="Q8" s="147">
        <f>BS!Q8</f>
        <v>42003.75</v>
      </c>
      <c r="R8" s="147">
        <f>BS!R8</f>
        <v>42369</v>
      </c>
      <c r="S8" s="147">
        <f>BS!S8</f>
        <v>42734.25</v>
      </c>
      <c r="T8" s="147">
        <f>BS!T8</f>
        <v>43099.5</v>
      </c>
      <c r="U8" s="147">
        <f>BS!U8</f>
        <v>43464.75</v>
      </c>
      <c r="V8" s="147">
        <f>BS!V8</f>
        <v>43830</v>
      </c>
      <c r="W8" s="147">
        <f>BS!W8</f>
        <v>44195.25</v>
      </c>
      <c r="X8" s="147">
        <f>BS!X8</f>
        <v>44560.5</v>
      </c>
      <c r="Y8" s="147">
        <f>BS!Y8</f>
        <v>44925.75</v>
      </c>
      <c r="Z8" s="147">
        <f>BS!Z8</f>
        <v>45291</v>
      </c>
      <c r="AA8" s="147">
        <f>BS!AA8</f>
        <v>45656.25</v>
      </c>
      <c r="AB8" s="147">
        <f>BS!AB8</f>
        <v>46021.5</v>
      </c>
      <c r="AC8" s="147">
        <f>BS!AC8</f>
        <v>46386.75</v>
      </c>
      <c r="AD8" s="147">
        <f>BS!AD8</f>
        <v>46752</v>
      </c>
      <c r="AE8" s="147">
        <f>BS!AE8</f>
        <v>47117.25</v>
      </c>
      <c r="AF8" s="147">
        <f>BS!AF8</f>
        <v>47482.5</v>
      </c>
      <c r="AG8" s="147">
        <f>BS!AG8</f>
        <v>47847.75</v>
      </c>
      <c r="AH8" s="147">
        <f>BS!AH8</f>
        <v>48213</v>
      </c>
    </row>
    <row r="9" spans="1:36">
      <c r="A9" s="125"/>
      <c r="B9" s="125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</row>
    <row r="10" spans="1:36" ht="13.5" customHeight="1" outlineLevel="1">
      <c r="A10" s="85"/>
      <c r="B10" s="85"/>
      <c r="C10" s="2"/>
      <c r="D10" s="9"/>
      <c r="E10" s="9"/>
      <c r="F10" s="9"/>
      <c r="G10" s="9"/>
      <c r="H10" s="9"/>
      <c r="I10" s="9"/>
      <c r="J10" s="160"/>
      <c r="K10" s="160"/>
      <c r="L10" s="161"/>
      <c r="M10" s="161"/>
      <c r="N10" s="160"/>
      <c r="O10" s="16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6" s="11" customFormat="1">
      <c r="A11" s="432" t="s">
        <v>47</v>
      </c>
      <c r="B11" s="432"/>
      <c r="C11" s="292">
        <v>0</v>
      </c>
      <c r="D11" s="292">
        <f>IS!C32</f>
        <v>9870.1310419668953</v>
      </c>
      <c r="E11" s="292">
        <f>IS!D32</f>
        <v>15944.200706085252</v>
      </c>
      <c r="F11" s="292">
        <f>IS!E32</f>
        <v>15919.210706085252</v>
      </c>
      <c r="G11" s="292">
        <f>IS!F32</f>
        <v>15893.720906085251</v>
      </c>
      <c r="H11" s="292">
        <f>IS!G32</f>
        <v>15867.721310085253</v>
      </c>
      <c r="I11" s="292">
        <f>IS!H32</f>
        <v>15841.201722165253</v>
      </c>
      <c r="J11" s="292">
        <f>IS!I32</f>
        <v>15814.151742486853</v>
      </c>
      <c r="K11" s="292">
        <f>IS!J32</f>
        <v>15786.560763214884</v>
      </c>
      <c r="L11" s="292">
        <f>IS!K32</f>
        <v>15758.417964357477</v>
      </c>
      <c r="M11" s="292">
        <f>IS!L32</f>
        <v>15729.712309522922</v>
      </c>
      <c r="N11" s="292">
        <f>IS!M32</f>
        <v>15700.432541591676</v>
      </c>
      <c r="O11" s="292">
        <f>IS!N32</f>
        <v>15670.567178301804</v>
      </c>
      <c r="P11" s="292">
        <f>IS!O32</f>
        <v>15640.104507746133</v>
      </c>
      <c r="Q11" s="292">
        <f>IS!P32</f>
        <v>15609.032583779352</v>
      </c>
      <c r="R11" s="292">
        <f>IS!Q32</f>
        <v>15577.339221333234</v>
      </c>
      <c r="S11" s="292">
        <f>IS!R32</f>
        <v>15545.011991638192</v>
      </c>
      <c r="T11" s="292">
        <f>IS!S32</f>
        <v>15512.038217349251</v>
      </c>
      <c r="U11" s="292">
        <f>IS!T32</f>
        <v>15478.404967574532</v>
      </c>
      <c r="V11" s="292">
        <f>IS!U32</f>
        <v>15444.099052804318</v>
      </c>
      <c r="W11" s="292">
        <f>IS!V32</f>
        <v>15409.107019738698</v>
      </c>
      <c r="X11" s="292">
        <f>IS!W32</f>
        <v>15373.415146011768</v>
      </c>
      <c r="Y11" s="292">
        <f>IS!X32</f>
        <v>15337.009434810298</v>
      </c>
      <c r="Z11" s="292">
        <f>IS!Y32</f>
        <v>15299.875609384799</v>
      </c>
      <c r="AA11" s="292">
        <f>IS!Z32</f>
        <v>15261.999107450789</v>
      </c>
      <c r="AB11" s="292">
        <f>IS!AA32</f>
        <v>15223.365075478101</v>
      </c>
      <c r="AC11" s="292">
        <f>IS!AB32</f>
        <v>15183.958362865957</v>
      </c>
      <c r="AD11" s="292">
        <f>IS!AC32</f>
        <v>15143.763516001571</v>
      </c>
      <c r="AE11" s="292">
        <f>IS!AD32</f>
        <v>15102.764772199898</v>
      </c>
      <c r="AF11" s="292">
        <f>IS!AE32</f>
        <v>15060.946053522192</v>
      </c>
      <c r="AG11" s="292">
        <f>IS!AF32</f>
        <v>15018.290960470929</v>
      </c>
      <c r="AH11" s="292">
        <f>IS!AG32</f>
        <v>2644.1727045310727</v>
      </c>
    </row>
    <row r="12" spans="1:36">
      <c r="A12" s="45" t="s">
        <v>79</v>
      </c>
      <c r="B12" s="45"/>
      <c r="C12" s="64">
        <v>0</v>
      </c>
      <c r="D12" s="64">
        <f>-IS!C38</f>
        <v>-4359.7306594643105</v>
      </c>
      <c r="E12" s="64">
        <f>-IS!D38</f>
        <v>-7394.703071148786</v>
      </c>
      <c r="F12" s="64">
        <f>-IS!E38</f>
        <v>-7310.0436904891658</v>
      </c>
      <c r="G12" s="64">
        <f>-IS!F38</f>
        <v>-7219.4581531833728</v>
      </c>
      <c r="H12" s="64">
        <f>-IS!G38</f>
        <v>-7122.5316282661743</v>
      </c>
      <c r="I12" s="64">
        <f>-IS!H38</f>
        <v>-7018.8202466047705</v>
      </c>
      <c r="J12" s="64">
        <f>-IS!I38</f>
        <v>-6907.8490682270694</v>
      </c>
      <c r="K12" s="64">
        <f>-IS!J38</f>
        <v>-6789.1099073629284</v>
      </c>
      <c r="L12" s="64">
        <f>-IS!K38</f>
        <v>-6662.0590052382986</v>
      </c>
      <c r="M12" s="64">
        <f>-IS!L38</f>
        <v>-6526.114539964944</v>
      </c>
      <c r="N12" s="64">
        <f>-IS!M38</f>
        <v>-6380.6539621224556</v>
      </c>
      <c r="O12" s="64">
        <f>-IS!N38</f>
        <v>-6225.0111438309923</v>
      </c>
      <c r="P12" s="64">
        <f>-IS!O38</f>
        <v>-6058.4733282591269</v>
      </c>
      <c r="Q12" s="64">
        <f>-IS!P38</f>
        <v>-5880.2778655972306</v>
      </c>
      <c r="R12" s="64">
        <f>-IS!Q38</f>
        <v>-5689.6087205490021</v>
      </c>
      <c r="S12" s="64">
        <f>-IS!R38</f>
        <v>-5485.5927353473971</v>
      </c>
      <c r="T12" s="64">
        <f>-IS!S38</f>
        <v>-5267.2956311816797</v>
      </c>
      <c r="U12" s="64">
        <f>-IS!T38</f>
        <v>-5033.7177297243625</v>
      </c>
      <c r="V12" s="64">
        <f>-IS!U38</f>
        <v>-4783.7893751650336</v>
      </c>
      <c r="W12" s="64">
        <f>-IS!V38</f>
        <v>-4516.3660357865501</v>
      </c>
      <c r="X12" s="64">
        <f>-IS!W38</f>
        <v>-4230.2230626515739</v>
      </c>
      <c r="Y12" s="64">
        <f>-(Debt!V44+Debt!W27+Debt!W36)</f>
        <v>0</v>
      </c>
      <c r="Z12" s="64">
        <f>-(Debt!W44+Debt!X27+Debt!X36)</f>
        <v>0</v>
      </c>
      <c r="AA12" s="64">
        <f>-(Debt!X44+Debt!Y27+Debt!Y36)</f>
        <v>0</v>
      </c>
      <c r="AB12" s="64">
        <f>-(Debt!Y44+Debt!Z27+Debt!Z36)</f>
        <v>0</v>
      </c>
      <c r="AC12" s="64">
        <f>-(Debt!Z44+Debt!AA27+Debt!AA36)</f>
        <v>0</v>
      </c>
      <c r="AD12" s="64">
        <f>-(Debt!AA44+Debt!AB27+Debt!AB36)</f>
        <v>0</v>
      </c>
      <c r="AE12" s="64">
        <f>-(Debt!AB44+Debt!AC27+Debt!AC36)</f>
        <v>0</v>
      </c>
      <c r="AF12" s="64">
        <f>-(Debt!AC44+Debt!AD27+Debt!AD36)</f>
        <v>0</v>
      </c>
      <c r="AG12" s="64">
        <f>-(Debt!AD44+Debt!AE27+Debt!AE36)</f>
        <v>0</v>
      </c>
      <c r="AH12" s="64">
        <f>-(Debt!AE44+Debt!AF27+Debt!AF36)</f>
        <v>0</v>
      </c>
      <c r="AI12" s="13"/>
      <c r="AJ12" s="13"/>
    </row>
    <row r="13" spans="1:36" ht="15">
      <c r="A13" s="45" t="s">
        <v>80</v>
      </c>
      <c r="B13" s="45"/>
      <c r="C13" s="638">
        <v>0</v>
      </c>
      <c r="D13" s="128">
        <f>-'Revised Debt'!C19</f>
        <v>-1130.29880720454</v>
      </c>
      <c r="E13" s="128">
        <f>-'Revised Debt'!D19</f>
        <v>-1209.4197237088574</v>
      </c>
      <c r="F13" s="128">
        <f>-'Revised Debt'!E19</f>
        <v>-1294.0791043684776</v>
      </c>
      <c r="G13" s="128">
        <f>-'Revised Debt'!F19</f>
        <v>-1384.6646416742706</v>
      </c>
      <c r="H13" s="128">
        <f>-'Revised Debt'!G19</f>
        <v>-1481.5911665914691</v>
      </c>
      <c r="I13" s="128">
        <f>-'Revised Debt'!H19</f>
        <v>-1585.3025482528728</v>
      </c>
      <c r="J13" s="128">
        <f>-'Revised Debt'!I19</f>
        <v>-1696.2737266305739</v>
      </c>
      <c r="K13" s="128">
        <f>-'Revised Debt'!J19</f>
        <v>-1815.012887494715</v>
      </c>
      <c r="L13" s="128">
        <f>-'Revised Debt'!K19</f>
        <v>-1942.0637896193448</v>
      </c>
      <c r="M13" s="128">
        <f>-'Revised Debt'!L19</f>
        <v>-2078.0082548926994</v>
      </c>
      <c r="N13" s="128">
        <f>-'Revised Debt'!M19</f>
        <v>-2223.4688327351878</v>
      </c>
      <c r="O13" s="128">
        <f>-'Revised Debt'!N19</f>
        <v>-2379.1116510266511</v>
      </c>
      <c r="P13" s="128">
        <f>-'Revised Debt'!O19</f>
        <v>-2545.6494665985165</v>
      </c>
      <c r="Q13" s="128">
        <f>-'Revised Debt'!P19</f>
        <v>-2723.8449292604128</v>
      </c>
      <c r="R13" s="128">
        <f>-'Revised Debt'!Q19</f>
        <v>-2914.5140743086413</v>
      </c>
      <c r="S13" s="128">
        <f>-'Revised Debt'!R19</f>
        <v>-3118.5300595102462</v>
      </c>
      <c r="T13" s="128">
        <f>-'Revised Debt'!S19</f>
        <v>-3336.8271636759637</v>
      </c>
      <c r="U13" s="128">
        <f>-'Revised Debt'!T19</f>
        <v>-3570.4050651332809</v>
      </c>
      <c r="V13" s="128">
        <f>-'Revised Debt'!U19</f>
        <v>-3820.3334196926098</v>
      </c>
      <c r="W13" s="128">
        <f>-'Revised Debt'!V19</f>
        <v>-4087.7567590710933</v>
      </c>
      <c r="X13" s="128">
        <f>-'Revised Debt'!W19</f>
        <v>-4373.8997322060695</v>
      </c>
      <c r="Y13" s="128">
        <f>-Debt!W48</f>
        <v>0</v>
      </c>
      <c r="Z13" s="128">
        <f>-Debt!X48</f>
        <v>0</v>
      </c>
      <c r="AA13" s="128">
        <f>-Debt!Y48</f>
        <v>0</v>
      </c>
      <c r="AB13" s="128">
        <f>-Debt!Z48</f>
        <v>0</v>
      </c>
      <c r="AC13" s="128">
        <f>-Debt!AA48</f>
        <v>0</v>
      </c>
      <c r="AD13" s="128">
        <f>-Debt!AB48</f>
        <v>0</v>
      </c>
      <c r="AE13" s="128">
        <f>-Debt!AC48</f>
        <v>0</v>
      </c>
      <c r="AF13" s="128">
        <f>-Debt!AD48</f>
        <v>0</v>
      </c>
      <c r="AG13" s="128">
        <f>-Debt!AE48</f>
        <v>0</v>
      </c>
      <c r="AH13" s="128">
        <f>-Debt!AF48</f>
        <v>0</v>
      </c>
      <c r="AI13" s="13"/>
      <c r="AJ13" s="13"/>
    </row>
    <row r="14" spans="1:36" s="11" customFormat="1">
      <c r="A14" s="432" t="s">
        <v>339</v>
      </c>
      <c r="B14" s="432"/>
      <c r="C14" s="639">
        <f>SUM(C11:C12)</f>
        <v>0</v>
      </c>
      <c r="D14" s="639">
        <f>SUM(D11:D13)</f>
        <v>4380.1015752980447</v>
      </c>
      <c r="E14" s="639">
        <f t="shared" ref="E14:AH14" si="0">SUM(E11:E13)</f>
        <v>7340.0779112276086</v>
      </c>
      <c r="F14" s="639">
        <f t="shared" si="0"/>
        <v>7315.0879112276079</v>
      </c>
      <c r="G14" s="639">
        <f t="shared" si="0"/>
        <v>7289.5981112276086</v>
      </c>
      <c r="H14" s="639">
        <f t="shared" si="0"/>
        <v>7263.5985152276107</v>
      </c>
      <c r="I14" s="639">
        <f t="shared" si="0"/>
        <v>7237.0789273076107</v>
      </c>
      <c r="J14" s="639">
        <f t="shared" si="0"/>
        <v>7210.0289476292091</v>
      </c>
      <c r="K14" s="639">
        <f t="shared" si="0"/>
        <v>7182.4379683572406</v>
      </c>
      <c r="L14" s="639">
        <f t="shared" si="0"/>
        <v>7154.2951694998328</v>
      </c>
      <c r="M14" s="639">
        <f t="shared" si="0"/>
        <v>7125.5895146652792</v>
      </c>
      <c r="N14" s="639">
        <f t="shared" si="0"/>
        <v>7096.3097467340331</v>
      </c>
      <c r="O14" s="639">
        <f t="shared" si="0"/>
        <v>7066.4443834441608</v>
      </c>
      <c r="P14" s="639">
        <f t="shared" si="0"/>
        <v>7035.9817128884888</v>
      </c>
      <c r="Q14" s="639">
        <f t="shared" si="0"/>
        <v>7004.9097889217082</v>
      </c>
      <c r="R14" s="639">
        <f t="shared" si="0"/>
        <v>6973.2164264755902</v>
      </c>
      <c r="S14" s="639">
        <f t="shared" si="0"/>
        <v>6940.8891967805494</v>
      </c>
      <c r="T14" s="639">
        <f t="shared" si="0"/>
        <v>6907.9154224916074</v>
      </c>
      <c r="U14" s="639">
        <f t="shared" si="0"/>
        <v>6874.2821727168875</v>
      </c>
      <c r="V14" s="639">
        <f t="shared" si="0"/>
        <v>6839.9762579466751</v>
      </c>
      <c r="W14" s="639">
        <f t="shared" si="0"/>
        <v>6804.9842248810546</v>
      </c>
      <c r="X14" s="639">
        <f t="shared" si="0"/>
        <v>6769.2923511541248</v>
      </c>
      <c r="Y14" s="639">
        <f t="shared" si="0"/>
        <v>15337.009434810298</v>
      </c>
      <c r="Z14" s="639">
        <f t="shared" si="0"/>
        <v>15299.875609384799</v>
      </c>
      <c r="AA14" s="639">
        <f t="shared" si="0"/>
        <v>15261.999107450789</v>
      </c>
      <c r="AB14" s="639">
        <f t="shared" si="0"/>
        <v>15223.365075478101</v>
      </c>
      <c r="AC14" s="639">
        <f t="shared" si="0"/>
        <v>15183.958362865957</v>
      </c>
      <c r="AD14" s="639">
        <f t="shared" si="0"/>
        <v>15143.763516001571</v>
      </c>
      <c r="AE14" s="639">
        <f t="shared" si="0"/>
        <v>15102.764772199898</v>
      </c>
      <c r="AF14" s="639">
        <f t="shared" si="0"/>
        <v>15060.946053522192</v>
      </c>
      <c r="AG14" s="639">
        <f t="shared" si="0"/>
        <v>15018.290960470929</v>
      </c>
      <c r="AH14" s="639">
        <f t="shared" si="0"/>
        <v>2644.1727045310727</v>
      </c>
    </row>
    <row r="15" spans="1:36">
      <c r="A15" s="45"/>
      <c r="B15" s="45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</row>
    <row r="16" spans="1:36">
      <c r="A16" s="3" t="s">
        <v>607</v>
      </c>
      <c r="B16" s="3"/>
      <c r="C16" s="64">
        <v>0</v>
      </c>
      <c r="D16" s="64">
        <f>IS!C42</f>
        <v>-134.92030360985424</v>
      </c>
      <c r="E16" s="64">
        <f>IS!D42</f>
        <v>-222.25324969756255</v>
      </c>
      <c r="F16" s="64">
        <f>IS!E42</f>
        <v>-226.43010634373599</v>
      </c>
      <c r="G16" s="64">
        <f>IS!F42</f>
        <v>-230.98680795514142</v>
      </c>
      <c r="H16" s="64">
        <f>IS!G42</f>
        <v>-235.95169297934547</v>
      </c>
      <c r="I16" s="64">
        <f>IS!H42</f>
        <v>-298.72435400791039</v>
      </c>
      <c r="J16" s="64">
        <f>IS!I42</f>
        <v>-333.28345565019481</v>
      </c>
      <c r="K16" s="64">
        <f>IS!J42</f>
        <v>-339.66382836164689</v>
      </c>
      <c r="L16" s="64">
        <f>IS!K42</f>
        <v>-346.58739559035251</v>
      </c>
      <c r="M16" s="64">
        <f>IS!L42</f>
        <v>-354.09411232106834</v>
      </c>
      <c r="N16" s="64">
        <f>IS!M42</f>
        <v>-362.22676901485528</v>
      </c>
      <c r="O16" s="64">
        <f>IS!N42</f>
        <v>-371.03119086496673</v>
      </c>
      <c r="P16" s="64">
        <f>IS!O42</f>
        <v>-380.55645101610043</v>
      </c>
      <c r="Q16" s="64">
        <f>IS!P42</f>
        <v>-390.85509872475848</v>
      </c>
      <c r="R16" s="64">
        <f>IS!Q42</f>
        <v>-401.98340350690609</v>
      </c>
      <c r="S16" s="64">
        <f>IS!R42</f>
        <v>-414.00161639236552</v>
      </c>
      <c r="T16" s="64">
        <f>IS!S42</f>
        <v>-426.97424948373987</v>
      </c>
      <c r="U16" s="64">
        <f>IS!T42</f>
        <v>-440.97037510152188</v>
      </c>
      <c r="V16" s="64">
        <f>IS!U42</f>
        <v>-456.06394588675983</v>
      </c>
      <c r="W16" s="64">
        <f>IS!V42</f>
        <v>-472.33413732866023</v>
      </c>
      <c r="X16" s="64">
        <f>IS!W42</f>
        <v>-489.86571428722351</v>
      </c>
      <c r="Y16" s="64">
        <f>IS!X42</f>
        <v>-508.74942319093026</v>
      </c>
      <c r="Z16" s="64">
        <f>IS!Y42</f>
        <v>-529.08241170710176</v>
      </c>
      <c r="AA16" s="64">
        <f>IS!Z42</f>
        <v>-550.96867780839443</v>
      </c>
      <c r="AB16" s="64">
        <f>IS!AA42</f>
        <v>-574.51955029354679</v>
      </c>
      <c r="AC16" s="64">
        <f>IS!AB42</f>
        <v>-599.85420296456402</v>
      </c>
      <c r="AD16" s="64">
        <f>IS!AC42</f>
        <v>-627.10020481669505</v>
      </c>
      <c r="AE16" s="64">
        <f>IS!AD42</f>
        <v>-656.39410876250076</v>
      </c>
      <c r="AF16" s="64">
        <f>IS!AE42</f>
        <v>-687.88208158781856</v>
      </c>
      <c r="AG16" s="64">
        <f>IS!AF42</f>
        <v>-721.72057802628069</v>
      </c>
      <c r="AH16" s="64">
        <f>IS!AG42</f>
        <v>-88.372845467845025</v>
      </c>
    </row>
    <row r="17" spans="1:34">
      <c r="A17" s="3" t="s">
        <v>608</v>
      </c>
      <c r="B17" s="3"/>
      <c r="C17" s="64">
        <v>0</v>
      </c>
      <c r="D17" s="64">
        <f>IS!C43</f>
        <v>-627.37941178582207</v>
      </c>
      <c r="E17" s="64">
        <f>IS!D43</f>
        <v>-1033.4776110936657</v>
      </c>
      <c r="F17" s="64">
        <f>IS!E43</f>
        <v>-1052.8999944983721</v>
      </c>
      <c r="G17" s="64">
        <f>IS!F43</f>
        <v>-1074.0886569914073</v>
      </c>
      <c r="H17" s="64">
        <f>IS!G43</f>
        <v>-1097.1753723539562</v>
      </c>
      <c r="I17" s="64">
        <f>IS!H43</f>
        <v>-1389.068246136783</v>
      </c>
      <c r="J17" s="64">
        <f>IS!I43</f>
        <v>-1549.7680687734057</v>
      </c>
      <c r="K17" s="64">
        <f>IS!J43</f>
        <v>-1579.4368018816579</v>
      </c>
      <c r="L17" s="64">
        <f>IS!K43</f>
        <v>-1611.6313894951388</v>
      </c>
      <c r="M17" s="64">
        <f>IS!L43</f>
        <v>-1646.5376222929674</v>
      </c>
      <c r="N17" s="64">
        <f>IS!M43</f>
        <v>-1684.3544759190768</v>
      </c>
      <c r="O17" s="64">
        <f>IS!N43</f>
        <v>-1725.2950375220951</v>
      </c>
      <c r="P17" s="64">
        <f>IS!O43</f>
        <v>-1769.5874972248669</v>
      </c>
      <c r="Q17" s="64">
        <f>IS!P43</f>
        <v>-1817.4762090701267</v>
      </c>
      <c r="R17" s="64">
        <f>IS!Q43</f>
        <v>-1869.2228263071129</v>
      </c>
      <c r="S17" s="64">
        <f>IS!R43</f>
        <v>-1925.1075162244992</v>
      </c>
      <c r="T17" s="64">
        <f>IS!S43</f>
        <v>-1985.4302600993899</v>
      </c>
      <c r="U17" s="64">
        <f>IS!T43</f>
        <v>-2050.5122442220763</v>
      </c>
      <c r="V17" s="64">
        <f>IS!U43</f>
        <v>-2120.6973483734328</v>
      </c>
      <c r="W17" s="64">
        <f>IS!V43</f>
        <v>-2196.3537385782697</v>
      </c>
      <c r="X17" s="64">
        <f>IS!W43</f>
        <v>-2277.8755714355889</v>
      </c>
      <c r="Y17" s="64">
        <f>IS!X43</f>
        <v>-2365.6848178378254</v>
      </c>
      <c r="Z17" s="64">
        <f>IS!Y43</f>
        <v>-2460.233214438023</v>
      </c>
      <c r="AA17" s="64">
        <f>IS!Z43</f>
        <v>-2562.0043518090338</v>
      </c>
      <c r="AB17" s="64">
        <f>IS!AA43</f>
        <v>-2671.5159088649921</v>
      </c>
      <c r="AC17" s="64">
        <f>IS!AB43</f>
        <v>-2789.3220437852224</v>
      </c>
      <c r="AD17" s="64">
        <f>IS!AC43</f>
        <v>-2916.0159523976317</v>
      </c>
      <c r="AE17" s="64">
        <f>IS!AD43</f>
        <v>-3052.232605745628</v>
      </c>
      <c r="AF17" s="64">
        <f>IS!AE43</f>
        <v>-3198.6516793833557</v>
      </c>
      <c r="AG17" s="64">
        <f>IS!AF43</f>
        <v>-3356.0006878222043</v>
      </c>
      <c r="AH17" s="64">
        <f>IS!AG43</f>
        <v>-410.93373142547932</v>
      </c>
    </row>
    <row r="18" spans="1:34">
      <c r="A18" s="45" t="s">
        <v>340</v>
      </c>
      <c r="B18" s="45"/>
      <c r="C18" s="431">
        <v>0</v>
      </c>
      <c r="D18" s="431">
        <v>0</v>
      </c>
      <c r="E18" s="431">
        <v>0</v>
      </c>
      <c r="F18" s="431">
        <v>0</v>
      </c>
      <c r="G18" s="431">
        <v>0</v>
      </c>
      <c r="H18" s="431">
        <v>0</v>
      </c>
      <c r="I18" s="431">
        <v>0</v>
      </c>
      <c r="J18" s="431">
        <v>0</v>
      </c>
      <c r="K18" s="431">
        <v>0</v>
      </c>
      <c r="L18" s="431">
        <v>0</v>
      </c>
      <c r="M18" s="431">
        <v>0</v>
      </c>
      <c r="N18" s="431">
        <v>0</v>
      </c>
      <c r="O18" s="431">
        <v>0</v>
      </c>
      <c r="P18" s="431">
        <v>0</v>
      </c>
      <c r="Q18" s="431">
        <v>0</v>
      </c>
      <c r="R18" s="431">
        <v>0</v>
      </c>
      <c r="S18" s="431">
        <v>0</v>
      </c>
      <c r="T18" s="431">
        <v>0</v>
      </c>
      <c r="U18" s="431">
        <v>0</v>
      </c>
      <c r="V18" s="431">
        <v>0</v>
      </c>
      <c r="W18" s="431">
        <v>0</v>
      </c>
      <c r="X18" s="431">
        <v>0</v>
      </c>
      <c r="Y18" s="431">
        <v>0</v>
      </c>
      <c r="Z18" s="431">
        <v>0</v>
      </c>
      <c r="AA18" s="431">
        <v>0</v>
      </c>
      <c r="AB18" s="431">
        <v>0</v>
      </c>
      <c r="AC18" s="431">
        <v>0</v>
      </c>
      <c r="AD18" s="431">
        <v>0</v>
      </c>
      <c r="AE18" s="431">
        <v>0</v>
      </c>
      <c r="AF18" s="431">
        <v>0</v>
      </c>
      <c r="AG18" s="431">
        <v>0</v>
      </c>
      <c r="AH18" s="431">
        <v>0</v>
      </c>
    </row>
    <row r="19" spans="1:34" s="11" customFormat="1">
      <c r="A19" s="432" t="s">
        <v>601</v>
      </c>
      <c r="B19" s="432"/>
      <c r="C19" s="639">
        <f>C14-SUM(C16:C18)</f>
        <v>0</v>
      </c>
      <c r="D19" s="639">
        <f>D14+SUM(D16:D18)</f>
        <v>3617.8018599023685</v>
      </c>
      <c r="E19" s="639">
        <f t="shared" ref="E19:AH19" si="1">E14+SUM(E16:E18)</f>
        <v>6084.3470504363804</v>
      </c>
      <c r="F19" s="639">
        <f t="shared" si="1"/>
        <v>6035.7578103854994</v>
      </c>
      <c r="G19" s="639">
        <f t="shared" si="1"/>
        <v>5984.5226462810597</v>
      </c>
      <c r="H19" s="639">
        <f t="shared" si="1"/>
        <v>5930.4714498943085</v>
      </c>
      <c r="I19" s="639">
        <f t="shared" si="1"/>
        <v>5549.2863271629176</v>
      </c>
      <c r="J19" s="639">
        <f t="shared" si="1"/>
        <v>5326.9774232056088</v>
      </c>
      <c r="K19" s="639">
        <f t="shared" si="1"/>
        <v>5263.3373381139354</v>
      </c>
      <c r="L19" s="639">
        <f t="shared" si="1"/>
        <v>5196.0763844143412</v>
      </c>
      <c r="M19" s="639">
        <f t="shared" si="1"/>
        <v>5124.9577800512434</v>
      </c>
      <c r="N19" s="639">
        <f t="shared" si="1"/>
        <v>5049.7285018001012</v>
      </c>
      <c r="O19" s="639">
        <f t="shared" si="1"/>
        <v>4970.1181550570991</v>
      </c>
      <c r="P19" s="639">
        <f t="shared" si="1"/>
        <v>4885.8377646475219</v>
      </c>
      <c r="Q19" s="639">
        <f t="shared" si="1"/>
        <v>4796.5784811268231</v>
      </c>
      <c r="R19" s="639">
        <f t="shared" si="1"/>
        <v>4702.0101966615712</v>
      </c>
      <c r="S19" s="639">
        <f t="shared" si="1"/>
        <v>4601.7800641636841</v>
      </c>
      <c r="T19" s="639">
        <f t="shared" si="1"/>
        <v>4495.5109129084776</v>
      </c>
      <c r="U19" s="639">
        <f t="shared" si="1"/>
        <v>4382.7995533932899</v>
      </c>
      <c r="V19" s="639">
        <f t="shared" si="1"/>
        <v>4263.2149636864824</v>
      </c>
      <c r="W19" s="639">
        <f t="shared" si="1"/>
        <v>4136.2963489741251</v>
      </c>
      <c r="X19" s="639">
        <f t="shared" si="1"/>
        <v>4001.5510654313125</v>
      </c>
      <c r="Y19" s="639">
        <f t="shared" si="1"/>
        <v>12462.575193781542</v>
      </c>
      <c r="Z19" s="639">
        <f t="shared" si="1"/>
        <v>12310.559983239673</v>
      </c>
      <c r="AA19" s="639">
        <f t="shared" si="1"/>
        <v>12149.026077833361</v>
      </c>
      <c r="AB19" s="639">
        <f t="shared" si="1"/>
        <v>11977.329616319563</v>
      </c>
      <c r="AC19" s="639">
        <f t="shared" si="1"/>
        <v>11794.78211611617</v>
      </c>
      <c r="AD19" s="639">
        <f t="shared" si="1"/>
        <v>11600.647358787244</v>
      </c>
      <c r="AE19" s="639">
        <f t="shared" si="1"/>
        <v>11394.138057691769</v>
      </c>
      <c r="AF19" s="639">
        <f t="shared" si="1"/>
        <v>11174.412292551016</v>
      </c>
      <c r="AG19" s="639">
        <f t="shared" si="1"/>
        <v>10940.569694622445</v>
      </c>
      <c r="AH19" s="639">
        <f t="shared" si="1"/>
        <v>2144.8661276377484</v>
      </c>
    </row>
    <row r="20" spans="1:34">
      <c r="A20" s="322"/>
      <c r="B20" s="322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  <c r="AH20" s="385"/>
    </row>
    <row r="21" spans="1:34" ht="15.75">
      <c r="A21" s="656" t="s">
        <v>604</v>
      </c>
      <c r="B21" s="649"/>
      <c r="C21" s="501">
        <v>1</v>
      </c>
      <c r="D21" s="650"/>
      <c r="E21" s="650"/>
      <c r="F21" s="650"/>
      <c r="G21" s="650"/>
      <c r="H21" s="650"/>
      <c r="I21" s="650"/>
      <c r="J21" s="650"/>
      <c r="K21" s="650"/>
      <c r="L21" s="650"/>
      <c r="M21" s="650"/>
      <c r="N21" s="650"/>
      <c r="O21" s="650"/>
      <c r="P21" s="650"/>
      <c r="Q21" s="650"/>
      <c r="R21" s="650"/>
      <c r="S21" s="650"/>
      <c r="T21" s="650"/>
      <c r="U21" s="650"/>
      <c r="V21" s="650"/>
      <c r="W21" s="650"/>
      <c r="X21" s="650"/>
      <c r="Y21" s="650"/>
      <c r="Z21" s="650"/>
      <c r="AA21" s="650"/>
      <c r="AB21" s="650"/>
      <c r="AC21" s="650"/>
      <c r="AD21" s="650"/>
      <c r="AE21" s="650"/>
      <c r="AF21" s="650"/>
      <c r="AG21" s="650"/>
      <c r="AH21" s="651"/>
    </row>
    <row r="22" spans="1:34">
      <c r="A22" s="376" t="s">
        <v>605</v>
      </c>
      <c r="B22" s="43"/>
      <c r="C22" s="64"/>
      <c r="D22" s="64">
        <f>$C$21*D14</f>
        <v>4380.1015752980447</v>
      </c>
      <c r="E22" s="64">
        <f t="shared" ref="E22:AH22" si="2">$C$21*E14</f>
        <v>7340.0779112276086</v>
      </c>
      <c r="F22" s="64">
        <f t="shared" si="2"/>
        <v>7315.0879112276079</v>
      </c>
      <c r="G22" s="64">
        <f t="shared" si="2"/>
        <v>7289.5981112276086</v>
      </c>
      <c r="H22" s="64">
        <f t="shared" si="2"/>
        <v>7263.5985152276107</v>
      </c>
      <c r="I22" s="64">
        <f t="shared" si="2"/>
        <v>7237.0789273076107</v>
      </c>
      <c r="J22" s="64">
        <f t="shared" si="2"/>
        <v>7210.0289476292091</v>
      </c>
      <c r="K22" s="64">
        <f t="shared" si="2"/>
        <v>7182.4379683572406</v>
      </c>
      <c r="L22" s="64">
        <f t="shared" si="2"/>
        <v>7154.2951694998328</v>
      </c>
      <c r="M22" s="64">
        <f t="shared" si="2"/>
        <v>7125.5895146652792</v>
      </c>
      <c r="N22" s="64">
        <f t="shared" si="2"/>
        <v>7096.3097467340331</v>
      </c>
      <c r="O22" s="64">
        <f t="shared" si="2"/>
        <v>7066.4443834441608</v>
      </c>
      <c r="P22" s="64">
        <f t="shared" si="2"/>
        <v>7035.9817128884888</v>
      </c>
      <c r="Q22" s="64">
        <f t="shared" si="2"/>
        <v>7004.9097889217082</v>
      </c>
      <c r="R22" s="64">
        <f t="shared" si="2"/>
        <v>6973.2164264755902</v>
      </c>
      <c r="S22" s="64">
        <f t="shared" si="2"/>
        <v>6940.8891967805494</v>
      </c>
      <c r="T22" s="64">
        <f t="shared" si="2"/>
        <v>6907.9154224916074</v>
      </c>
      <c r="U22" s="64">
        <f t="shared" si="2"/>
        <v>6874.2821727168875</v>
      </c>
      <c r="V22" s="64">
        <f t="shared" si="2"/>
        <v>6839.9762579466751</v>
      </c>
      <c r="W22" s="64">
        <f t="shared" si="2"/>
        <v>6804.9842248810546</v>
      </c>
      <c r="X22" s="64">
        <f t="shared" si="2"/>
        <v>6769.2923511541248</v>
      </c>
      <c r="Y22" s="64">
        <f t="shared" si="2"/>
        <v>15337.009434810298</v>
      </c>
      <c r="Z22" s="64">
        <f t="shared" si="2"/>
        <v>15299.875609384799</v>
      </c>
      <c r="AA22" s="64">
        <f t="shared" si="2"/>
        <v>15261.999107450789</v>
      </c>
      <c r="AB22" s="64">
        <f t="shared" si="2"/>
        <v>15223.365075478101</v>
      </c>
      <c r="AC22" s="64">
        <f t="shared" si="2"/>
        <v>15183.958362865957</v>
      </c>
      <c r="AD22" s="64">
        <f t="shared" si="2"/>
        <v>15143.763516001571</v>
      </c>
      <c r="AE22" s="64">
        <f t="shared" si="2"/>
        <v>15102.764772199898</v>
      </c>
      <c r="AF22" s="64">
        <f t="shared" si="2"/>
        <v>15060.946053522192</v>
      </c>
      <c r="AG22" s="64">
        <f t="shared" si="2"/>
        <v>15018.290960470929</v>
      </c>
      <c r="AH22" s="652">
        <f t="shared" si="2"/>
        <v>2644.1727045310727</v>
      </c>
    </row>
    <row r="23" spans="1:34">
      <c r="A23" s="377" t="s">
        <v>606</v>
      </c>
      <c r="B23" s="653"/>
      <c r="C23" s="75"/>
      <c r="D23" s="654">
        <f>$C$21*D19</f>
        <v>3617.8018599023685</v>
      </c>
      <c r="E23" s="654">
        <f t="shared" ref="E23:AH23" si="3">$C$21*E19</f>
        <v>6084.3470504363804</v>
      </c>
      <c r="F23" s="654">
        <f t="shared" si="3"/>
        <v>6035.7578103854994</v>
      </c>
      <c r="G23" s="654">
        <f t="shared" si="3"/>
        <v>5984.5226462810597</v>
      </c>
      <c r="H23" s="654">
        <f t="shared" si="3"/>
        <v>5930.4714498943085</v>
      </c>
      <c r="I23" s="654">
        <f t="shared" si="3"/>
        <v>5549.2863271629176</v>
      </c>
      <c r="J23" s="654">
        <f t="shared" si="3"/>
        <v>5326.9774232056088</v>
      </c>
      <c r="K23" s="654">
        <f t="shared" si="3"/>
        <v>5263.3373381139354</v>
      </c>
      <c r="L23" s="654">
        <f t="shared" si="3"/>
        <v>5196.0763844143412</v>
      </c>
      <c r="M23" s="654">
        <f t="shared" si="3"/>
        <v>5124.9577800512434</v>
      </c>
      <c r="N23" s="654">
        <f t="shared" si="3"/>
        <v>5049.7285018001012</v>
      </c>
      <c r="O23" s="654">
        <f t="shared" si="3"/>
        <v>4970.1181550570991</v>
      </c>
      <c r="P23" s="654">
        <f t="shared" si="3"/>
        <v>4885.8377646475219</v>
      </c>
      <c r="Q23" s="654">
        <f t="shared" si="3"/>
        <v>4796.5784811268231</v>
      </c>
      <c r="R23" s="654">
        <f t="shared" si="3"/>
        <v>4702.0101966615712</v>
      </c>
      <c r="S23" s="654">
        <f t="shared" si="3"/>
        <v>4601.7800641636841</v>
      </c>
      <c r="T23" s="654">
        <f t="shared" si="3"/>
        <v>4495.5109129084776</v>
      </c>
      <c r="U23" s="654">
        <f t="shared" si="3"/>
        <v>4382.7995533932899</v>
      </c>
      <c r="V23" s="654">
        <f t="shared" si="3"/>
        <v>4263.2149636864824</v>
      </c>
      <c r="W23" s="654">
        <f t="shared" si="3"/>
        <v>4136.2963489741251</v>
      </c>
      <c r="X23" s="654">
        <f t="shared" si="3"/>
        <v>4001.5510654313125</v>
      </c>
      <c r="Y23" s="654">
        <f t="shared" si="3"/>
        <v>12462.575193781542</v>
      </c>
      <c r="Z23" s="654">
        <f t="shared" si="3"/>
        <v>12310.559983239673</v>
      </c>
      <c r="AA23" s="654">
        <f t="shared" si="3"/>
        <v>12149.026077833361</v>
      </c>
      <c r="AB23" s="654">
        <f t="shared" si="3"/>
        <v>11977.329616319563</v>
      </c>
      <c r="AC23" s="654">
        <f t="shared" si="3"/>
        <v>11794.78211611617</v>
      </c>
      <c r="AD23" s="654">
        <f t="shared" si="3"/>
        <v>11600.647358787244</v>
      </c>
      <c r="AE23" s="654">
        <f t="shared" si="3"/>
        <v>11394.138057691769</v>
      </c>
      <c r="AF23" s="654">
        <f t="shared" si="3"/>
        <v>11174.412292551016</v>
      </c>
      <c r="AG23" s="654">
        <f t="shared" si="3"/>
        <v>10940.569694622445</v>
      </c>
      <c r="AH23" s="655">
        <f t="shared" si="3"/>
        <v>2144.8661276377484</v>
      </c>
    </row>
    <row r="24" spans="1:34" hidden="1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</row>
    <row r="25" spans="1:34" hidden="1">
      <c r="A25" s="433" t="s">
        <v>347</v>
      </c>
      <c r="B25" s="433"/>
      <c r="C25" s="437">
        <v>0.14000000000000001</v>
      </c>
      <c r="AB25" s="59"/>
      <c r="AC25" s="59"/>
      <c r="AD25" s="59"/>
      <c r="AE25" s="59"/>
    </row>
    <row r="26" spans="1:34" hidden="1">
      <c r="A26" s="45" t="s">
        <v>54</v>
      </c>
      <c r="B26" s="45"/>
      <c r="C26" s="18">
        <f>-Assumptions!C11</f>
        <v>-45758.106046855741</v>
      </c>
      <c r="D26" s="18">
        <f t="shared" ref="D26:W26" si="4">+C30</f>
        <v>-45758.106046855741</v>
      </c>
      <c r="E26" s="18">
        <f t="shared" si="4"/>
        <v>-45758.106046855741</v>
      </c>
      <c r="F26" s="18">
        <f t="shared" si="4"/>
        <v>-44824.162982187932</v>
      </c>
      <c r="G26" s="18">
        <f t="shared" si="4"/>
        <v>-43784.457888466633</v>
      </c>
      <c r="H26" s="18">
        <f t="shared" si="4"/>
        <v>-42624.683881624354</v>
      </c>
      <c r="I26" s="18">
        <f t="shared" si="4"/>
        <v>-41328.541109824153</v>
      </c>
      <c r="J26" s="18">
        <f t="shared" si="4"/>
        <v>-39877.457937891922</v>
      </c>
      <c r="K26" s="18">
        <f t="shared" si="4"/>
        <v>-38250.273101567582</v>
      </c>
      <c r="L26" s="18">
        <f t="shared" si="4"/>
        <v>-36422.873367429806</v>
      </c>
      <c r="M26" s="18">
        <f t="shared" si="4"/>
        <v>-34367.780469370147</v>
      </c>
      <c r="N26" s="18">
        <f t="shared" si="4"/>
        <v>-32053.680220416689</v>
      </c>
      <c r="O26" s="18">
        <f t="shared" si="4"/>
        <v>-29444.885704540993</v>
      </c>
      <c r="P26" s="18">
        <f t="shared" si="4"/>
        <v>-26500.72531973257</v>
      </c>
      <c r="Q26" s="18">
        <f t="shared" si="4"/>
        <v>-23174.845151606642</v>
      </c>
      <c r="R26" s="18">
        <f t="shared" si="4"/>
        <v>-19414.413683909865</v>
      </c>
      <c r="S26" s="18">
        <f t="shared" si="4"/>
        <v>-15159.215173181656</v>
      </c>
      <c r="T26" s="18">
        <f t="shared" si="4"/>
        <v>-10340.616100646537</v>
      </c>
      <c r="U26" s="18">
        <f t="shared" si="4"/>
        <v>-4880.3869322454448</v>
      </c>
      <c r="V26" s="18">
        <f t="shared" si="4"/>
        <v>1310.6410699570806</v>
      </c>
      <c r="W26" s="18">
        <f t="shared" si="4"/>
        <v>8334.1070776977467</v>
      </c>
      <c r="X26" s="18">
        <f t="shared" ref="X26:AH26" si="5">+W30</f>
        <v>16305.866293456485</v>
      </c>
      <c r="Y26" s="18">
        <f t="shared" si="5"/>
        <v>25357.979925694519</v>
      </c>
      <c r="Z26" s="18">
        <f t="shared" si="5"/>
        <v>44245.106550102049</v>
      </c>
      <c r="AA26" s="18">
        <f t="shared" si="5"/>
        <v>65739.297076501127</v>
      </c>
      <c r="AB26" s="18">
        <f t="shared" si="5"/>
        <v>90204.797774662075</v>
      </c>
      <c r="AC26" s="18">
        <f t="shared" si="5"/>
        <v>118056.83453859287</v>
      </c>
      <c r="AD26" s="18">
        <f t="shared" si="5"/>
        <v>149768.74973686182</v>
      </c>
      <c r="AE26" s="18">
        <f t="shared" si="5"/>
        <v>185880.13821602403</v>
      </c>
      <c r="AF26" s="18">
        <f t="shared" si="5"/>
        <v>227006.12233846728</v>
      </c>
      <c r="AG26" s="18">
        <f t="shared" si="5"/>
        <v>273847.9255193749</v>
      </c>
      <c r="AH26" s="18">
        <f t="shared" si="5"/>
        <v>327204.92605255829</v>
      </c>
    </row>
    <row r="27" spans="1:34" hidden="1">
      <c r="A27" s="45" t="s">
        <v>346</v>
      </c>
      <c r="B27" s="45"/>
      <c r="C27" s="18">
        <v>0</v>
      </c>
      <c r="D27" s="18">
        <f>+-C26*$C$25</f>
        <v>6406.1348465598039</v>
      </c>
      <c r="E27" s="18">
        <f t="shared" ref="E27:W27" si="6">+-E26*$C$25</f>
        <v>6406.1348465598039</v>
      </c>
      <c r="F27" s="18">
        <f t="shared" si="6"/>
        <v>6275.3828175063109</v>
      </c>
      <c r="G27" s="18">
        <f t="shared" si="6"/>
        <v>6129.8241043853295</v>
      </c>
      <c r="H27" s="18">
        <f t="shared" si="6"/>
        <v>5967.4557434274102</v>
      </c>
      <c r="I27" s="18">
        <f t="shared" si="6"/>
        <v>5785.995755375382</v>
      </c>
      <c r="J27" s="18">
        <f t="shared" si="6"/>
        <v>5582.8441113048693</v>
      </c>
      <c r="K27" s="18">
        <f t="shared" si="6"/>
        <v>5355.0382342194616</v>
      </c>
      <c r="L27" s="18">
        <f t="shared" si="6"/>
        <v>5099.2022714401728</v>
      </c>
      <c r="M27" s="18">
        <f t="shared" si="6"/>
        <v>4811.4892657118207</v>
      </c>
      <c r="N27" s="18">
        <f t="shared" si="6"/>
        <v>4487.5152308583365</v>
      </c>
      <c r="O27" s="18">
        <f t="shared" si="6"/>
        <v>4122.2839986357394</v>
      </c>
      <c r="P27" s="18">
        <f t="shared" si="6"/>
        <v>3710.10154476256</v>
      </c>
      <c r="Q27" s="18">
        <f t="shared" si="6"/>
        <v>3244.4783212249299</v>
      </c>
      <c r="R27" s="18">
        <f t="shared" si="6"/>
        <v>2718.0179157473813</v>
      </c>
      <c r="S27" s="18">
        <f t="shared" si="6"/>
        <v>2122.2901242454318</v>
      </c>
      <c r="T27" s="18">
        <f t="shared" si="6"/>
        <v>1447.6862540905154</v>
      </c>
      <c r="U27" s="18">
        <f t="shared" si="6"/>
        <v>683.25417051436239</v>
      </c>
      <c r="V27" s="18">
        <f t="shared" si="6"/>
        <v>-183.48974979399131</v>
      </c>
      <c r="W27" s="18">
        <f t="shared" si="6"/>
        <v>-1166.7749908776846</v>
      </c>
      <c r="X27" s="18">
        <f t="shared" ref="X27:AH27" si="7">+-X26*$C$25</f>
        <v>-2282.8212810839082</v>
      </c>
      <c r="Y27" s="18">
        <f t="shared" si="7"/>
        <v>-3550.1171895972329</v>
      </c>
      <c r="Z27" s="18">
        <f t="shared" si="7"/>
        <v>-6194.3149170142879</v>
      </c>
      <c r="AA27" s="18">
        <f t="shared" si="7"/>
        <v>-9203.5015907101588</v>
      </c>
      <c r="AB27" s="18">
        <f t="shared" si="7"/>
        <v>-12628.671688452692</v>
      </c>
      <c r="AC27" s="18">
        <f t="shared" si="7"/>
        <v>-16527.956835403002</v>
      </c>
      <c r="AD27" s="18">
        <f t="shared" si="7"/>
        <v>-20967.624963160655</v>
      </c>
      <c r="AE27" s="18">
        <f t="shared" si="7"/>
        <v>-26023.219350243366</v>
      </c>
      <c r="AF27" s="18">
        <f t="shared" si="7"/>
        <v>-31780.857127385421</v>
      </c>
      <c r="AG27" s="18">
        <f t="shared" si="7"/>
        <v>-38338.709572712491</v>
      </c>
      <c r="AH27" s="18">
        <f t="shared" si="7"/>
        <v>-45808.689647358166</v>
      </c>
    </row>
    <row r="28" spans="1:34" hidden="1">
      <c r="A28" s="45" t="s">
        <v>342</v>
      </c>
      <c r="B28" s="45"/>
      <c r="C28" s="18">
        <f>C22</f>
        <v>0</v>
      </c>
      <c r="D28" s="18">
        <f t="shared" ref="D28:AH28" si="8">D22</f>
        <v>4380.1015752980447</v>
      </c>
      <c r="E28" s="18">
        <f t="shared" si="8"/>
        <v>7340.0779112276086</v>
      </c>
      <c r="F28" s="18">
        <f t="shared" si="8"/>
        <v>7315.0879112276079</v>
      </c>
      <c r="G28" s="18">
        <f t="shared" si="8"/>
        <v>7289.5981112276086</v>
      </c>
      <c r="H28" s="18">
        <f t="shared" si="8"/>
        <v>7263.5985152276107</v>
      </c>
      <c r="I28" s="18">
        <f t="shared" si="8"/>
        <v>7237.0789273076107</v>
      </c>
      <c r="J28" s="18">
        <f t="shared" si="8"/>
        <v>7210.0289476292091</v>
      </c>
      <c r="K28" s="18">
        <f t="shared" si="8"/>
        <v>7182.4379683572406</v>
      </c>
      <c r="L28" s="18">
        <f t="shared" si="8"/>
        <v>7154.2951694998328</v>
      </c>
      <c r="M28" s="18">
        <f t="shared" si="8"/>
        <v>7125.5895146652792</v>
      </c>
      <c r="N28" s="18">
        <f t="shared" si="8"/>
        <v>7096.3097467340331</v>
      </c>
      <c r="O28" s="18">
        <f t="shared" si="8"/>
        <v>7066.4443834441608</v>
      </c>
      <c r="P28" s="18">
        <f t="shared" si="8"/>
        <v>7035.9817128884888</v>
      </c>
      <c r="Q28" s="18">
        <f t="shared" si="8"/>
        <v>7004.9097889217082</v>
      </c>
      <c r="R28" s="18">
        <f t="shared" si="8"/>
        <v>6973.2164264755902</v>
      </c>
      <c r="S28" s="18">
        <f t="shared" si="8"/>
        <v>6940.8891967805494</v>
      </c>
      <c r="T28" s="18">
        <f t="shared" si="8"/>
        <v>6907.9154224916074</v>
      </c>
      <c r="U28" s="18">
        <f t="shared" si="8"/>
        <v>6874.2821727168875</v>
      </c>
      <c r="V28" s="18">
        <f t="shared" si="8"/>
        <v>6839.9762579466751</v>
      </c>
      <c r="W28" s="18">
        <f t="shared" si="8"/>
        <v>6804.9842248810546</v>
      </c>
      <c r="X28" s="18">
        <f t="shared" si="8"/>
        <v>6769.2923511541248</v>
      </c>
      <c r="Y28" s="18">
        <f t="shared" si="8"/>
        <v>15337.009434810298</v>
      </c>
      <c r="Z28" s="18">
        <f t="shared" si="8"/>
        <v>15299.875609384799</v>
      </c>
      <c r="AA28" s="18">
        <f t="shared" si="8"/>
        <v>15261.999107450789</v>
      </c>
      <c r="AB28" s="18">
        <f t="shared" si="8"/>
        <v>15223.365075478101</v>
      </c>
      <c r="AC28" s="18">
        <f t="shared" si="8"/>
        <v>15183.958362865957</v>
      </c>
      <c r="AD28" s="18">
        <f t="shared" si="8"/>
        <v>15143.763516001571</v>
      </c>
      <c r="AE28" s="18">
        <f t="shared" si="8"/>
        <v>15102.764772199898</v>
      </c>
      <c r="AF28" s="18">
        <f t="shared" si="8"/>
        <v>15060.946053522192</v>
      </c>
      <c r="AG28" s="18">
        <f t="shared" si="8"/>
        <v>15018.290960470929</v>
      </c>
      <c r="AH28" s="18">
        <f t="shared" si="8"/>
        <v>2644.1727045310727</v>
      </c>
    </row>
    <row r="29" spans="1:34" hidden="1">
      <c r="A29" s="45" t="s">
        <v>345</v>
      </c>
      <c r="B29" s="45"/>
      <c r="C29" s="297">
        <v>0</v>
      </c>
      <c r="D29" s="297">
        <f t="shared" ref="D29:W29" si="9">+IF(D28&gt;D27,D28-D27,0)</f>
        <v>0</v>
      </c>
      <c r="E29" s="297">
        <f t="shared" si="9"/>
        <v>933.94306466780472</v>
      </c>
      <c r="F29" s="297">
        <f t="shared" si="9"/>
        <v>1039.7050937212971</v>
      </c>
      <c r="G29" s="297">
        <f t="shared" si="9"/>
        <v>1159.7740068422791</v>
      </c>
      <c r="H29" s="297">
        <f t="shared" si="9"/>
        <v>1296.1427718002005</v>
      </c>
      <c r="I29" s="297">
        <f t="shared" si="9"/>
        <v>1451.0831719322287</v>
      </c>
      <c r="J29" s="297">
        <f t="shared" si="9"/>
        <v>1627.1848363243398</v>
      </c>
      <c r="K29" s="297">
        <f t="shared" si="9"/>
        <v>1827.399734137779</v>
      </c>
      <c r="L29" s="297">
        <f t="shared" si="9"/>
        <v>2055.09289805966</v>
      </c>
      <c r="M29" s="297">
        <f t="shared" si="9"/>
        <v>2314.1002489534585</v>
      </c>
      <c r="N29" s="297">
        <f t="shared" si="9"/>
        <v>2608.7945158756966</v>
      </c>
      <c r="O29" s="297">
        <f t="shared" si="9"/>
        <v>2944.1603848084214</v>
      </c>
      <c r="P29" s="297">
        <f t="shared" si="9"/>
        <v>3325.8801681259288</v>
      </c>
      <c r="Q29" s="297">
        <f t="shared" si="9"/>
        <v>3760.4314676967783</v>
      </c>
      <c r="R29" s="297">
        <f t="shared" si="9"/>
        <v>4255.1985107282089</v>
      </c>
      <c r="S29" s="297">
        <f t="shared" si="9"/>
        <v>4818.5990725351176</v>
      </c>
      <c r="T29" s="297">
        <f t="shared" si="9"/>
        <v>5460.2291684010925</v>
      </c>
      <c r="U29" s="297">
        <f t="shared" si="9"/>
        <v>6191.0280022025254</v>
      </c>
      <c r="V29" s="297">
        <f t="shared" si="9"/>
        <v>7023.4660077406661</v>
      </c>
      <c r="W29" s="297">
        <f t="shared" si="9"/>
        <v>7971.7592157587387</v>
      </c>
      <c r="X29" s="297">
        <f t="shared" ref="X29:AH29" si="10">+IF(X28&gt;X27,X28-X27,0)</f>
        <v>9052.1136322380335</v>
      </c>
      <c r="Y29" s="297">
        <f t="shared" si="10"/>
        <v>18887.12662440753</v>
      </c>
      <c r="Z29" s="297">
        <f t="shared" si="10"/>
        <v>21494.190526399085</v>
      </c>
      <c r="AA29" s="297">
        <f t="shared" si="10"/>
        <v>24465.500698160948</v>
      </c>
      <c r="AB29" s="297">
        <f t="shared" si="10"/>
        <v>27852.036763930795</v>
      </c>
      <c r="AC29" s="297">
        <f t="shared" si="10"/>
        <v>31711.915198268958</v>
      </c>
      <c r="AD29" s="297">
        <f t="shared" si="10"/>
        <v>36111.388479162226</v>
      </c>
      <c r="AE29" s="297">
        <f t="shared" si="10"/>
        <v>41125.98412244326</v>
      </c>
      <c r="AF29" s="297">
        <f t="shared" si="10"/>
        <v>46841.803180907613</v>
      </c>
      <c r="AG29" s="297">
        <f t="shared" si="10"/>
        <v>53357.000533183418</v>
      </c>
      <c r="AH29" s="297">
        <f t="shared" si="10"/>
        <v>48452.862351889242</v>
      </c>
    </row>
    <row r="30" spans="1:34" hidden="1">
      <c r="A30" s="45" t="s">
        <v>57</v>
      </c>
      <c r="B30" s="45"/>
      <c r="C30" s="18">
        <f t="shared" ref="C30:W30" si="11">+C26+C29</f>
        <v>-45758.106046855741</v>
      </c>
      <c r="D30" s="18">
        <f t="shared" si="11"/>
        <v>-45758.106046855741</v>
      </c>
      <c r="E30" s="18">
        <f t="shared" si="11"/>
        <v>-44824.162982187932</v>
      </c>
      <c r="F30" s="18">
        <f t="shared" si="11"/>
        <v>-43784.457888466633</v>
      </c>
      <c r="G30" s="18">
        <f t="shared" si="11"/>
        <v>-42624.683881624354</v>
      </c>
      <c r="H30" s="18">
        <f t="shared" si="11"/>
        <v>-41328.541109824153</v>
      </c>
      <c r="I30" s="18">
        <f t="shared" si="11"/>
        <v>-39877.457937891922</v>
      </c>
      <c r="J30" s="18">
        <f t="shared" si="11"/>
        <v>-38250.273101567582</v>
      </c>
      <c r="K30" s="18">
        <f t="shared" si="11"/>
        <v>-36422.873367429806</v>
      </c>
      <c r="L30" s="18">
        <f t="shared" si="11"/>
        <v>-34367.780469370147</v>
      </c>
      <c r="M30" s="18">
        <f t="shared" si="11"/>
        <v>-32053.680220416689</v>
      </c>
      <c r="N30" s="18">
        <f t="shared" si="11"/>
        <v>-29444.885704540993</v>
      </c>
      <c r="O30" s="18">
        <f t="shared" si="11"/>
        <v>-26500.72531973257</v>
      </c>
      <c r="P30" s="18">
        <f t="shared" si="11"/>
        <v>-23174.845151606642</v>
      </c>
      <c r="Q30" s="18">
        <f t="shared" si="11"/>
        <v>-19414.413683909865</v>
      </c>
      <c r="R30" s="18">
        <f t="shared" si="11"/>
        <v>-15159.215173181656</v>
      </c>
      <c r="S30" s="18">
        <f t="shared" si="11"/>
        <v>-10340.616100646537</v>
      </c>
      <c r="T30" s="18">
        <f t="shared" si="11"/>
        <v>-4880.3869322454448</v>
      </c>
      <c r="U30" s="18">
        <f t="shared" si="11"/>
        <v>1310.6410699570806</v>
      </c>
      <c r="V30" s="18">
        <f t="shared" si="11"/>
        <v>8334.1070776977467</v>
      </c>
      <c r="W30" s="18">
        <f t="shared" si="11"/>
        <v>16305.866293456485</v>
      </c>
      <c r="X30" s="18">
        <f t="shared" ref="X30:AH30" si="12">+X26+X29</f>
        <v>25357.979925694519</v>
      </c>
      <c r="Y30" s="18">
        <f t="shared" si="12"/>
        <v>44245.106550102049</v>
      </c>
      <c r="Z30" s="18">
        <f t="shared" si="12"/>
        <v>65739.297076501127</v>
      </c>
      <c r="AA30" s="18">
        <f t="shared" si="12"/>
        <v>90204.797774662075</v>
      </c>
      <c r="AB30" s="18">
        <f t="shared" si="12"/>
        <v>118056.83453859287</v>
      </c>
      <c r="AC30" s="18">
        <f t="shared" si="12"/>
        <v>149768.74973686182</v>
      </c>
      <c r="AD30" s="18">
        <f t="shared" si="12"/>
        <v>185880.13821602403</v>
      </c>
      <c r="AE30" s="18">
        <f t="shared" si="12"/>
        <v>227006.12233846728</v>
      </c>
      <c r="AF30" s="18">
        <f t="shared" si="12"/>
        <v>273847.9255193749</v>
      </c>
      <c r="AG30" s="18">
        <f t="shared" si="12"/>
        <v>327204.92605255829</v>
      </c>
      <c r="AH30" s="18">
        <f t="shared" si="12"/>
        <v>375657.78840444755</v>
      </c>
    </row>
    <row r="31" spans="1:34" hidden="1">
      <c r="A31" s="45"/>
      <c r="B31" s="45"/>
    </row>
    <row r="32" spans="1:34" hidden="1">
      <c r="A32" s="45"/>
      <c r="B32" s="45"/>
    </row>
    <row r="33" spans="1:34">
      <c r="A33" s="45"/>
      <c r="B33" s="45"/>
    </row>
    <row r="34" spans="1:34">
      <c r="A34" s="433" t="s">
        <v>376</v>
      </c>
      <c r="B34" s="433"/>
    </row>
    <row r="35" spans="1:34">
      <c r="A35" s="433"/>
      <c r="B35" s="433"/>
    </row>
    <row r="36" spans="1:34" hidden="1">
      <c r="A36" s="432" t="s">
        <v>344</v>
      </c>
      <c r="B36" s="432"/>
    </row>
    <row r="37" spans="1:34" s="18" customFormat="1" hidden="1">
      <c r="A37" s="45" t="s">
        <v>343</v>
      </c>
      <c r="B37" s="45"/>
      <c r="C37" s="18">
        <f>-Assumptions!C11*Assumptions!$G$48</f>
        <v>-45758.106046855741</v>
      </c>
    </row>
    <row r="38" spans="1:34" s="18" customFormat="1" hidden="1">
      <c r="A38" s="45" t="s">
        <v>342</v>
      </c>
      <c r="B38" s="45"/>
      <c r="C38" s="438">
        <f>C22*Assumptions!$G$48</f>
        <v>0</v>
      </c>
      <c r="D38" s="297">
        <f>D22*Assumptions!$G$48</f>
        <v>4380.1015752980447</v>
      </c>
      <c r="E38" s="297">
        <f>E22*Assumptions!$G$48</f>
        <v>7340.0779112276086</v>
      </c>
      <c r="F38" s="297">
        <f>F22*Assumptions!$G$48</f>
        <v>7315.0879112276079</v>
      </c>
      <c r="G38" s="297">
        <f>G22*Assumptions!$G$48</f>
        <v>7289.5981112276086</v>
      </c>
      <c r="H38" s="297">
        <f>H22*Assumptions!$G$48</f>
        <v>7263.5985152276107</v>
      </c>
      <c r="I38" s="297">
        <f>I22*Assumptions!$G$48</f>
        <v>7237.0789273076107</v>
      </c>
      <c r="J38" s="297">
        <f>J22*Assumptions!$G$48</f>
        <v>7210.0289476292091</v>
      </c>
      <c r="K38" s="297">
        <f>K22*Assumptions!$G$48</f>
        <v>7182.4379683572406</v>
      </c>
      <c r="L38" s="297">
        <f>L22*Assumptions!$G$48</f>
        <v>7154.2951694998328</v>
      </c>
      <c r="M38" s="297">
        <f>M22*Assumptions!$G$48</f>
        <v>7125.5895146652792</v>
      </c>
      <c r="N38" s="297">
        <f>N22*Assumptions!$G$48</f>
        <v>7096.3097467340331</v>
      </c>
      <c r="O38" s="297">
        <f>O22*Assumptions!$G$48</f>
        <v>7066.4443834441608</v>
      </c>
      <c r="P38" s="297">
        <f>P22*Assumptions!$G$48</f>
        <v>7035.9817128884888</v>
      </c>
      <c r="Q38" s="297">
        <f>Q22*Assumptions!$G$48</f>
        <v>7004.9097889217082</v>
      </c>
      <c r="R38" s="297">
        <f>R22*Assumptions!$G$48</f>
        <v>6973.2164264755902</v>
      </c>
      <c r="S38" s="297">
        <f>S22*Assumptions!$G$48</f>
        <v>6940.8891967805494</v>
      </c>
      <c r="T38" s="297">
        <f>T22*Assumptions!$G$48</f>
        <v>6907.9154224916074</v>
      </c>
      <c r="U38" s="297">
        <f>U22*Assumptions!$G$48</f>
        <v>6874.2821727168875</v>
      </c>
      <c r="V38" s="297">
        <f>V22*Assumptions!$G$48</f>
        <v>6839.9762579466751</v>
      </c>
      <c r="W38" s="297">
        <f>W22*Assumptions!$G$48</f>
        <v>6804.9842248810546</v>
      </c>
      <c r="X38" s="297">
        <f>X22*Assumptions!$G$48</f>
        <v>6769.2923511541248</v>
      </c>
      <c r="Y38" s="297">
        <f>Y22*Assumptions!$G$48</f>
        <v>15337.009434810298</v>
      </c>
      <c r="Z38" s="297">
        <f>Z22*Assumptions!$G$48</f>
        <v>15299.875609384799</v>
      </c>
      <c r="AA38" s="297">
        <f>AA22*Assumptions!$G$48</f>
        <v>15261.999107450789</v>
      </c>
      <c r="AB38" s="297">
        <f>AB22*Assumptions!$G$48</f>
        <v>15223.365075478101</v>
      </c>
      <c r="AC38" s="297">
        <f>AC22*Assumptions!$G$48</f>
        <v>15183.958362865957</v>
      </c>
      <c r="AD38" s="297">
        <f>AD22*Assumptions!$G$48</f>
        <v>15143.763516001571</v>
      </c>
      <c r="AE38" s="297">
        <f>AE22*Assumptions!$G$48</f>
        <v>15102.764772199898</v>
      </c>
      <c r="AF38" s="297">
        <f>AF22*Assumptions!$G$48</f>
        <v>15060.946053522192</v>
      </c>
      <c r="AG38" s="297">
        <f>AG22*Assumptions!$G$48</f>
        <v>15018.290960470929</v>
      </c>
      <c r="AH38" s="297">
        <f>AH22*Assumptions!$G$48</f>
        <v>2644.1727045310727</v>
      </c>
    </row>
    <row r="39" spans="1:34" s="18" customFormat="1" hidden="1">
      <c r="A39" s="45" t="s">
        <v>341</v>
      </c>
      <c r="B39" s="45"/>
      <c r="C39" s="18">
        <f t="shared" ref="C39:AH39" si="13">SUM(C37:C38)</f>
        <v>-45758.106046855741</v>
      </c>
      <c r="D39" s="18">
        <f t="shared" si="13"/>
        <v>4380.1015752980447</v>
      </c>
      <c r="E39" s="18">
        <f t="shared" si="13"/>
        <v>7340.0779112276086</v>
      </c>
      <c r="F39" s="18">
        <f t="shared" si="13"/>
        <v>7315.0879112276079</v>
      </c>
      <c r="G39" s="18">
        <f t="shared" si="13"/>
        <v>7289.5981112276086</v>
      </c>
      <c r="H39" s="18">
        <f t="shared" si="13"/>
        <v>7263.5985152276107</v>
      </c>
      <c r="I39" s="18">
        <f t="shared" si="13"/>
        <v>7237.0789273076107</v>
      </c>
      <c r="J39" s="18">
        <f t="shared" si="13"/>
        <v>7210.0289476292091</v>
      </c>
      <c r="K39" s="18">
        <f t="shared" si="13"/>
        <v>7182.4379683572406</v>
      </c>
      <c r="L39" s="18">
        <f t="shared" si="13"/>
        <v>7154.2951694998328</v>
      </c>
      <c r="M39" s="18">
        <f t="shared" si="13"/>
        <v>7125.5895146652792</v>
      </c>
      <c r="N39" s="18">
        <f t="shared" si="13"/>
        <v>7096.3097467340331</v>
      </c>
      <c r="O39" s="18">
        <f t="shared" si="13"/>
        <v>7066.4443834441608</v>
      </c>
      <c r="P39" s="18">
        <f t="shared" si="13"/>
        <v>7035.9817128884888</v>
      </c>
      <c r="Q39" s="18">
        <f t="shared" si="13"/>
        <v>7004.9097889217082</v>
      </c>
      <c r="R39" s="18">
        <f t="shared" si="13"/>
        <v>6973.2164264755902</v>
      </c>
      <c r="S39" s="18">
        <f t="shared" si="13"/>
        <v>6940.8891967805494</v>
      </c>
      <c r="T39" s="18">
        <f t="shared" si="13"/>
        <v>6907.9154224916074</v>
      </c>
      <c r="U39" s="18">
        <f t="shared" si="13"/>
        <v>6874.2821727168875</v>
      </c>
      <c r="V39" s="18">
        <f t="shared" si="13"/>
        <v>6839.9762579466751</v>
      </c>
      <c r="W39" s="18">
        <f t="shared" si="13"/>
        <v>6804.9842248810546</v>
      </c>
      <c r="X39" s="18">
        <f t="shared" si="13"/>
        <v>6769.2923511541248</v>
      </c>
      <c r="Y39" s="18">
        <f t="shared" si="13"/>
        <v>15337.009434810298</v>
      </c>
      <c r="Z39" s="18">
        <f t="shared" si="13"/>
        <v>15299.875609384799</v>
      </c>
      <c r="AA39" s="18">
        <f t="shared" si="13"/>
        <v>15261.999107450789</v>
      </c>
      <c r="AB39" s="18">
        <f t="shared" si="13"/>
        <v>15223.365075478101</v>
      </c>
      <c r="AC39" s="18">
        <f t="shared" si="13"/>
        <v>15183.958362865957</v>
      </c>
      <c r="AD39" s="18">
        <f t="shared" si="13"/>
        <v>15143.763516001571</v>
      </c>
      <c r="AE39" s="18">
        <f t="shared" si="13"/>
        <v>15102.764772199898</v>
      </c>
      <c r="AF39" s="18">
        <f t="shared" si="13"/>
        <v>15060.946053522192</v>
      </c>
      <c r="AG39" s="18">
        <f t="shared" si="13"/>
        <v>15018.290960470929</v>
      </c>
      <c r="AH39" s="18">
        <f t="shared" si="13"/>
        <v>2644.1727045310727</v>
      </c>
    </row>
    <row r="40" spans="1:34" hidden="1">
      <c r="C40" s="432" t="s">
        <v>1</v>
      </c>
      <c r="D40" s="548">
        <f>XIRR(C39:X39,C8:X8)</f>
        <v>0.12526958584785464</v>
      </c>
    </row>
    <row r="41" spans="1:34" hidden="1">
      <c r="A41" s="45"/>
      <c r="B41" s="45"/>
      <c r="C41" s="545" t="s">
        <v>533</v>
      </c>
      <c r="D41" s="546">
        <f>NPV(0.12,C39:X39)</f>
        <v>5357.2724377949944</v>
      </c>
    </row>
    <row r="42" spans="1:34" hidden="1">
      <c r="A42" s="43" t="str">
        <f>CONCATENATE("With ",Assumptions!H23,"x EBITDA Exit Multiple")</f>
        <v>With 5x EBITDA Exit Multiple</v>
      </c>
      <c r="B42" s="43"/>
    </row>
    <row r="43" spans="1:34" hidden="1">
      <c r="A43" s="56" t="s">
        <v>343</v>
      </c>
      <c r="B43" s="56"/>
      <c r="C43" s="18">
        <f>-Assumptions!C11*Assumptions!$G$48</f>
        <v>-45758.106046855741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idden="1">
      <c r="A44" s="56" t="s">
        <v>342</v>
      </c>
      <c r="B44" s="56"/>
      <c r="C44" s="434">
        <f>C22*Assumptions!$G$48</f>
        <v>0</v>
      </c>
      <c r="D44" s="18">
        <f>D22*Assumptions!$G$48</f>
        <v>4380.1015752980447</v>
      </c>
      <c r="E44" s="18">
        <f>E22*Assumptions!$G$48</f>
        <v>7340.0779112276086</v>
      </c>
      <c r="F44" s="18">
        <f>F22*Assumptions!$G$48</f>
        <v>7315.0879112276079</v>
      </c>
      <c r="G44" s="18">
        <f>G22*Assumptions!$G$48</f>
        <v>7289.5981112276086</v>
      </c>
      <c r="H44" s="18">
        <f>H22*Assumptions!$G$48</f>
        <v>7263.5985152276107</v>
      </c>
      <c r="I44" s="18">
        <f>I22*Assumptions!$G$48</f>
        <v>7237.0789273076107</v>
      </c>
      <c r="J44" s="18">
        <f>J22*Assumptions!$G$48</f>
        <v>7210.0289476292091</v>
      </c>
      <c r="K44" s="18">
        <f>K22*Assumptions!$G$48</f>
        <v>7182.4379683572406</v>
      </c>
      <c r="L44" s="18">
        <f>L22*Assumptions!$G$48</f>
        <v>7154.2951694998328</v>
      </c>
      <c r="M44" s="18">
        <f>M22*Assumptions!$G$48</f>
        <v>7125.5895146652792</v>
      </c>
      <c r="N44" s="18">
        <f>N22*Assumptions!$G$48</f>
        <v>7096.3097467340331</v>
      </c>
      <c r="O44" s="18">
        <f>O22*Assumptions!$G$48</f>
        <v>7066.4443834441608</v>
      </c>
      <c r="P44" s="18">
        <f>P22*Assumptions!$G$48</f>
        <v>7035.9817128884888</v>
      </c>
      <c r="Q44" s="18">
        <f>Q22*Assumptions!$G$48</f>
        <v>7004.9097889217082</v>
      </c>
      <c r="R44" s="18">
        <f>R22*Assumptions!$G$48</f>
        <v>6973.2164264755902</v>
      </c>
      <c r="S44" s="18">
        <f>S22*Assumptions!$G$48</f>
        <v>6940.8891967805494</v>
      </c>
      <c r="T44" s="18">
        <f>T22*Assumptions!$G$48</f>
        <v>6907.9154224916074</v>
      </c>
      <c r="U44" s="18">
        <f>U22*Assumptions!$G$48</f>
        <v>6874.2821727168875</v>
      </c>
      <c r="V44" s="18">
        <f>V22*Assumptions!$G$48</f>
        <v>6839.9762579466751</v>
      </c>
      <c r="W44" s="18">
        <f>W22*Assumptions!$G$48</f>
        <v>6804.9842248810546</v>
      </c>
      <c r="X44" s="18">
        <f>X22*Assumptions!$G$48</f>
        <v>6769.2923511541248</v>
      </c>
      <c r="Y44" s="18">
        <f>Y22*Assumptions!$G$48</f>
        <v>15337.009434810298</v>
      </c>
      <c r="Z44" s="18">
        <f>Z22*Assumptions!$G$48</f>
        <v>15299.875609384799</v>
      </c>
      <c r="AA44" s="18">
        <f>AA22*Assumptions!$G$48</f>
        <v>15261.999107450789</v>
      </c>
      <c r="AB44" s="18">
        <f>AB22*Assumptions!$G$48</f>
        <v>15223.365075478101</v>
      </c>
      <c r="AC44" s="18">
        <f>AC22*Assumptions!$G$48</f>
        <v>15183.958362865957</v>
      </c>
      <c r="AD44" s="18">
        <f>AD22*Assumptions!$G$48</f>
        <v>15143.763516001571</v>
      </c>
      <c r="AE44" s="18">
        <f>AE22*Assumptions!$G$48</f>
        <v>15102.764772199898</v>
      </c>
      <c r="AF44" s="18">
        <f>AF22*Assumptions!$G$48</f>
        <v>15060.946053522192</v>
      </c>
      <c r="AG44" s="18">
        <f>AG22*Assumptions!$G$48</f>
        <v>15018.290960470929</v>
      </c>
      <c r="AH44" s="18">
        <f>AH22*Assumptions!$G$48</f>
        <v>2644.1727045310727</v>
      </c>
    </row>
    <row r="45" spans="1:34" hidden="1">
      <c r="A45" s="56" t="s">
        <v>119</v>
      </c>
      <c r="B45" s="56"/>
      <c r="C45" s="297">
        <v>0</v>
      </c>
      <c r="D45" s="297">
        <v>0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297">
        <v>0</v>
      </c>
      <c r="L45" s="297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f>IS!W32*Assumptions!H23</f>
        <v>76867.075730058845</v>
      </c>
      <c r="Y45" s="297">
        <v>0</v>
      </c>
      <c r="Z45" s="297">
        <v>0</v>
      </c>
      <c r="AA45" s="297">
        <v>0</v>
      </c>
      <c r="AB45" s="297">
        <v>0</v>
      </c>
      <c r="AC45" s="297">
        <v>0</v>
      </c>
      <c r="AD45" s="297">
        <v>0</v>
      </c>
      <c r="AE45" s="297">
        <v>0</v>
      </c>
      <c r="AF45" s="297">
        <v>0</v>
      </c>
      <c r="AG45" s="297">
        <v>0</v>
      </c>
      <c r="AH45" s="297">
        <f>Assumptions!H23*IS!AF32*Assumptions!G48</f>
        <v>75091.454802354652</v>
      </c>
    </row>
    <row r="46" spans="1:34" hidden="1">
      <c r="A46" s="56" t="s">
        <v>341</v>
      </c>
      <c r="B46" s="56"/>
      <c r="C46" s="18">
        <f t="shared" ref="C46:AH46" si="14">SUM(C43:C45)</f>
        <v>-45758.106046855741</v>
      </c>
      <c r="D46" s="18">
        <f t="shared" si="14"/>
        <v>4380.1015752980447</v>
      </c>
      <c r="E46" s="18">
        <f t="shared" si="14"/>
        <v>7340.0779112276086</v>
      </c>
      <c r="F46" s="18">
        <f t="shared" si="14"/>
        <v>7315.0879112276079</v>
      </c>
      <c r="G46" s="18">
        <f t="shared" si="14"/>
        <v>7289.5981112276086</v>
      </c>
      <c r="H46" s="18">
        <f t="shared" si="14"/>
        <v>7263.5985152276107</v>
      </c>
      <c r="I46" s="18">
        <f t="shared" si="14"/>
        <v>7237.0789273076107</v>
      </c>
      <c r="J46" s="18">
        <f t="shared" si="14"/>
        <v>7210.0289476292091</v>
      </c>
      <c r="K46" s="18">
        <f t="shared" si="14"/>
        <v>7182.4379683572406</v>
      </c>
      <c r="L46" s="18">
        <f t="shared" si="14"/>
        <v>7154.2951694998328</v>
      </c>
      <c r="M46" s="18">
        <f t="shared" si="14"/>
        <v>7125.5895146652792</v>
      </c>
      <c r="N46" s="18">
        <f t="shared" si="14"/>
        <v>7096.3097467340331</v>
      </c>
      <c r="O46" s="18">
        <f t="shared" si="14"/>
        <v>7066.4443834441608</v>
      </c>
      <c r="P46" s="18">
        <f t="shared" si="14"/>
        <v>7035.9817128884888</v>
      </c>
      <c r="Q46" s="18">
        <f t="shared" si="14"/>
        <v>7004.9097889217082</v>
      </c>
      <c r="R46" s="18">
        <f t="shared" si="14"/>
        <v>6973.2164264755902</v>
      </c>
      <c r="S46" s="18">
        <f t="shared" si="14"/>
        <v>6940.8891967805494</v>
      </c>
      <c r="T46" s="18">
        <f t="shared" si="14"/>
        <v>6907.9154224916074</v>
      </c>
      <c r="U46" s="18">
        <f t="shared" si="14"/>
        <v>6874.2821727168875</v>
      </c>
      <c r="V46" s="18">
        <f t="shared" si="14"/>
        <v>6839.9762579466751</v>
      </c>
      <c r="W46" s="18">
        <f t="shared" si="14"/>
        <v>6804.9842248810546</v>
      </c>
      <c r="X46" s="18">
        <f t="shared" si="14"/>
        <v>83636.368081212975</v>
      </c>
      <c r="Y46" s="18">
        <f t="shared" si="14"/>
        <v>15337.009434810298</v>
      </c>
      <c r="Z46" s="18">
        <f t="shared" si="14"/>
        <v>15299.875609384799</v>
      </c>
      <c r="AA46" s="18">
        <f t="shared" si="14"/>
        <v>15261.999107450789</v>
      </c>
      <c r="AB46" s="18">
        <f t="shared" si="14"/>
        <v>15223.365075478101</v>
      </c>
      <c r="AC46" s="18">
        <f t="shared" si="14"/>
        <v>15183.958362865957</v>
      </c>
      <c r="AD46" s="18">
        <f t="shared" si="14"/>
        <v>15143.763516001571</v>
      </c>
      <c r="AE46" s="18">
        <f t="shared" si="14"/>
        <v>15102.764772199898</v>
      </c>
      <c r="AF46" s="18">
        <f t="shared" si="14"/>
        <v>15060.946053522192</v>
      </c>
      <c r="AG46" s="18">
        <f t="shared" si="14"/>
        <v>15018.290960470929</v>
      </c>
      <c r="AH46" s="18">
        <f t="shared" si="14"/>
        <v>77735.627506885721</v>
      </c>
    </row>
    <row r="47" spans="1:34" hidden="1">
      <c r="A47" s="13"/>
      <c r="B47" s="13"/>
      <c r="C47" s="432" t="s">
        <v>1</v>
      </c>
      <c r="D47" s="548">
        <f>XIRR(C46:AH46,C8:AH8)</f>
        <v>0.15233508944511415</v>
      </c>
    </row>
    <row r="48" spans="1:34" hidden="1">
      <c r="A48" s="56"/>
      <c r="B48" s="56"/>
      <c r="C48" s="545" t="s">
        <v>533</v>
      </c>
      <c r="D48" s="547">
        <f>NPV(0.12,C46:AH46)</f>
        <v>20476.135219148418</v>
      </c>
    </row>
    <row r="49" spans="1:34">
      <c r="A49" s="62" t="s">
        <v>602</v>
      </c>
      <c r="B49" s="62"/>
      <c r="C49" s="545"/>
      <c r="D49" s="640"/>
    </row>
    <row r="50" spans="1:34">
      <c r="A50" s="43" t="str">
        <f>CONCATENATE("With ",Assumptions!H24*100,"% Initial Project Cost")</f>
        <v>With 10% Initial Project Cost</v>
      </c>
      <c r="B50" s="43"/>
    </row>
    <row r="51" spans="1:34" s="18" customFormat="1">
      <c r="A51" s="56" t="s">
        <v>343</v>
      </c>
      <c r="B51" s="56"/>
      <c r="C51" s="18">
        <f>-Assumptions!C11*Assumptions!G48</f>
        <v>-45758.106046855741</v>
      </c>
    </row>
    <row r="52" spans="1:34" s="18" customFormat="1">
      <c r="A52" s="56" t="s">
        <v>342</v>
      </c>
      <c r="B52" s="56"/>
      <c r="C52" s="18">
        <f>+C22*Assumptions!$G$48</f>
        <v>0</v>
      </c>
      <c r="D52" s="18">
        <f>+D22*Assumptions!$G$48</f>
        <v>4380.1015752980447</v>
      </c>
      <c r="E52" s="18">
        <f>+E22*Assumptions!$G$48</f>
        <v>7340.0779112276086</v>
      </c>
      <c r="F52" s="18">
        <f>+F22*Assumptions!$G$48</f>
        <v>7315.0879112276079</v>
      </c>
      <c r="G52" s="18">
        <f>+G22*Assumptions!$G$48</f>
        <v>7289.5981112276086</v>
      </c>
      <c r="H52" s="18">
        <f>+H22*Assumptions!$G$48</f>
        <v>7263.5985152276107</v>
      </c>
      <c r="I52" s="18">
        <f>+I22*Assumptions!$G$48</f>
        <v>7237.0789273076107</v>
      </c>
      <c r="J52" s="18">
        <f>+J22*Assumptions!$G$48</f>
        <v>7210.0289476292091</v>
      </c>
      <c r="K52" s="18">
        <f>+K22*Assumptions!$G$48</f>
        <v>7182.4379683572406</v>
      </c>
      <c r="L52" s="18">
        <f>+L22*Assumptions!$G$48</f>
        <v>7154.2951694998328</v>
      </c>
      <c r="M52" s="18">
        <f>+M22*Assumptions!$G$48</f>
        <v>7125.5895146652792</v>
      </c>
      <c r="N52" s="18">
        <f>+N22*Assumptions!$G$48</f>
        <v>7096.3097467340331</v>
      </c>
      <c r="O52" s="18">
        <f>+O22*Assumptions!$G$48</f>
        <v>7066.4443834441608</v>
      </c>
      <c r="P52" s="18">
        <f>+P22*Assumptions!$G$48</f>
        <v>7035.9817128884888</v>
      </c>
      <c r="Q52" s="18">
        <f>+Q22*Assumptions!$G$48</f>
        <v>7004.9097889217082</v>
      </c>
      <c r="R52" s="18">
        <f>+R22*Assumptions!$G$48</f>
        <v>6973.2164264755902</v>
      </c>
      <c r="S52" s="18">
        <f>+S22*Assumptions!$G$48</f>
        <v>6940.8891967805494</v>
      </c>
      <c r="T52" s="18">
        <f>+T22*Assumptions!$G$48</f>
        <v>6907.9154224916074</v>
      </c>
      <c r="U52" s="18">
        <f>+U22*Assumptions!$G$48</f>
        <v>6874.2821727168875</v>
      </c>
      <c r="V52" s="18">
        <f>+V22*Assumptions!$G$48</f>
        <v>6839.9762579466751</v>
      </c>
      <c r="W52" s="18">
        <f>+W22*Assumptions!$G$48</f>
        <v>6804.9842248810546</v>
      </c>
      <c r="X52" s="18">
        <f>+X22*Assumptions!$G$48</f>
        <v>6769.2923511541248</v>
      </c>
      <c r="Y52" s="18">
        <f>+Y22*Assumptions!$G$48</f>
        <v>15337.009434810298</v>
      </c>
      <c r="Z52" s="18">
        <f>+Z22*Assumptions!$G$48</f>
        <v>15299.875609384799</v>
      </c>
      <c r="AA52" s="18">
        <f>+AA22*Assumptions!$G$48</f>
        <v>15261.999107450789</v>
      </c>
      <c r="AB52" s="18">
        <f>+AB22*Assumptions!$G$48</f>
        <v>15223.365075478101</v>
      </c>
      <c r="AC52" s="18">
        <f>+AC22*Assumptions!$G$48</f>
        <v>15183.958362865957</v>
      </c>
      <c r="AD52" s="18">
        <f>+AD22*Assumptions!$G$48</f>
        <v>15143.763516001571</v>
      </c>
      <c r="AE52" s="18">
        <f>+AE22*Assumptions!$G$48</f>
        <v>15102.764772199898</v>
      </c>
      <c r="AF52" s="18">
        <f>+AF22*Assumptions!$G$48</f>
        <v>15060.946053522192</v>
      </c>
      <c r="AG52" s="18">
        <f>+AG22*Assumptions!$G$48</f>
        <v>15018.290960470929</v>
      </c>
      <c r="AH52" s="18">
        <f>+AH22*Assumptions!$G$48</f>
        <v>2644.1727045310727</v>
      </c>
    </row>
    <row r="53" spans="1:34" s="18" customFormat="1">
      <c r="A53" s="56" t="s">
        <v>119</v>
      </c>
      <c r="B53" s="56"/>
      <c r="C53" s="297">
        <v>0</v>
      </c>
      <c r="D53" s="297">
        <v>0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297">
        <v>0</v>
      </c>
      <c r="L53" s="297">
        <v>0</v>
      </c>
      <c r="M53" s="29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297">
        <v>0</v>
      </c>
      <c r="AA53" s="297">
        <v>0</v>
      </c>
      <c r="AB53" s="297">
        <v>0</v>
      </c>
      <c r="AC53" s="297">
        <v>0</v>
      </c>
      <c r="AD53" s="297">
        <v>0</v>
      </c>
      <c r="AE53" s="297">
        <v>0</v>
      </c>
      <c r="AF53" s="297">
        <v>0</v>
      </c>
      <c r="AG53" s="297">
        <v>0</v>
      </c>
      <c r="AH53" s="297">
        <f>Assumptions!H24*Assumptions!C60*Assumptions!G48</f>
        <v>15252.702015618579</v>
      </c>
    </row>
    <row r="54" spans="1:34" s="18" customFormat="1">
      <c r="A54" s="56" t="s">
        <v>341</v>
      </c>
      <c r="B54" s="56"/>
      <c r="C54" s="18">
        <f>SUM(C51:C53)</f>
        <v>-45758.106046855741</v>
      </c>
      <c r="D54" s="18">
        <f t="shared" ref="D54:AH54" si="15">SUM(D51:D53)</f>
        <v>4380.1015752980447</v>
      </c>
      <c r="E54" s="18">
        <f t="shared" si="15"/>
        <v>7340.0779112276086</v>
      </c>
      <c r="F54" s="18">
        <f t="shared" si="15"/>
        <v>7315.0879112276079</v>
      </c>
      <c r="G54" s="18">
        <f t="shared" si="15"/>
        <v>7289.5981112276086</v>
      </c>
      <c r="H54" s="18">
        <f t="shared" si="15"/>
        <v>7263.5985152276107</v>
      </c>
      <c r="I54" s="18">
        <f t="shared" si="15"/>
        <v>7237.0789273076107</v>
      </c>
      <c r="J54" s="18">
        <f t="shared" si="15"/>
        <v>7210.0289476292091</v>
      </c>
      <c r="K54" s="18">
        <f t="shared" si="15"/>
        <v>7182.4379683572406</v>
      </c>
      <c r="L54" s="18">
        <f t="shared" si="15"/>
        <v>7154.2951694998328</v>
      </c>
      <c r="M54" s="18">
        <f t="shared" si="15"/>
        <v>7125.5895146652792</v>
      </c>
      <c r="N54" s="18">
        <f t="shared" si="15"/>
        <v>7096.3097467340331</v>
      </c>
      <c r="O54" s="18">
        <f t="shared" si="15"/>
        <v>7066.4443834441608</v>
      </c>
      <c r="P54" s="18">
        <f t="shared" si="15"/>
        <v>7035.9817128884888</v>
      </c>
      <c r="Q54" s="18">
        <f t="shared" si="15"/>
        <v>7004.9097889217082</v>
      </c>
      <c r="R54" s="18">
        <f t="shared" si="15"/>
        <v>6973.2164264755902</v>
      </c>
      <c r="S54" s="18">
        <f t="shared" si="15"/>
        <v>6940.8891967805494</v>
      </c>
      <c r="T54" s="18">
        <f t="shared" si="15"/>
        <v>6907.9154224916074</v>
      </c>
      <c r="U54" s="18">
        <f t="shared" si="15"/>
        <v>6874.2821727168875</v>
      </c>
      <c r="V54" s="18">
        <f t="shared" si="15"/>
        <v>6839.9762579466751</v>
      </c>
      <c r="W54" s="18">
        <f t="shared" si="15"/>
        <v>6804.9842248810546</v>
      </c>
      <c r="X54" s="18">
        <f t="shared" si="15"/>
        <v>6769.2923511541248</v>
      </c>
      <c r="Y54" s="18">
        <f t="shared" si="15"/>
        <v>15337.009434810298</v>
      </c>
      <c r="Z54" s="18">
        <f t="shared" si="15"/>
        <v>15299.875609384799</v>
      </c>
      <c r="AA54" s="18">
        <f t="shared" si="15"/>
        <v>15261.999107450789</v>
      </c>
      <c r="AB54" s="18">
        <f t="shared" si="15"/>
        <v>15223.365075478101</v>
      </c>
      <c r="AC54" s="18">
        <f t="shared" si="15"/>
        <v>15183.958362865957</v>
      </c>
      <c r="AD54" s="18">
        <f t="shared" si="15"/>
        <v>15143.763516001571</v>
      </c>
      <c r="AE54" s="18">
        <f t="shared" si="15"/>
        <v>15102.764772199898</v>
      </c>
      <c r="AF54" s="18">
        <f t="shared" si="15"/>
        <v>15060.946053522192</v>
      </c>
      <c r="AG54" s="18">
        <f t="shared" si="15"/>
        <v>15018.290960470929</v>
      </c>
      <c r="AH54" s="18">
        <f t="shared" si="15"/>
        <v>17896.874720149652</v>
      </c>
    </row>
    <row r="55" spans="1:34">
      <c r="A55" s="13"/>
      <c r="B55" s="13"/>
      <c r="C55" s="432" t="s">
        <v>1</v>
      </c>
      <c r="D55" s="548">
        <f>XIRR(C54:AH54,C8:AH8)</f>
        <v>0.14048246741294865</v>
      </c>
    </row>
    <row r="56" spans="1:34">
      <c r="A56" s="56"/>
      <c r="B56" s="56"/>
      <c r="C56" s="545" t="s">
        <v>533</v>
      </c>
      <c r="D56" s="547">
        <f>NPV(0.12,C54:AH54)</f>
        <v>12531.417092767437</v>
      </c>
    </row>
    <row r="57" spans="1:34">
      <c r="A57" s="62" t="s">
        <v>603</v>
      </c>
      <c r="B57" s="62"/>
      <c r="C57" s="545"/>
      <c r="D57" s="640"/>
    </row>
    <row r="58" spans="1:34">
      <c r="A58" s="43" t="str">
        <f>CONCATENATE("With ",Assumptions!H24*100,"% Initial Project Cost")</f>
        <v>With 10% Initial Project Cost</v>
      </c>
      <c r="B58" s="43"/>
      <c r="C58" s="545"/>
      <c r="D58" s="640"/>
    </row>
    <row r="59" spans="1:34">
      <c r="A59" s="56" t="s">
        <v>343</v>
      </c>
      <c r="B59" s="56"/>
      <c r="C59" s="642">
        <f>C51</f>
        <v>-45758.106046855741</v>
      </c>
      <c r="D59" s="640"/>
    </row>
    <row r="60" spans="1:34">
      <c r="A60" s="56" t="s">
        <v>342</v>
      </c>
      <c r="B60" s="56"/>
      <c r="C60" s="641">
        <v>0</v>
      </c>
      <c r="D60" s="644">
        <f>D23</f>
        <v>3617.8018599023685</v>
      </c>
      <c r="E60" s="644">
        <f t="shared" ref="E60:AH60" si="16">E23</f>
        <v>6084.3470504363804</v>
      </c>
      <c r="F60" s="644">
        <f t="shared" si="16"/>
        <v>6035.7578103854994</v>
      </c>
      <c r="G60" s="644">
        <f t="shared" si="16"/>
        <v>5984.5226462810597</v>
      </c>
      <c r="H60" s="644">
        <f t="shared" si="16"/>
        <v>5930.4714498943085</v>
      </c>
      <c r="I60" s="644">
        <f t="shared" si="16"/>
        <v>5549.2863271629176</v>
      </c>
      <c r="J60" s="644">
        <f t="shared" si="16"/>
        <v>5326.9774232056088</v>
      </c>
      <c r="K60" s="644">
        <f t="shared" si="16"/>
        <v>5263.3373381139354</v>
      </c>
      <c r="L60" s="644">
        <f t="shared" si="16"/>
        <v>5196.0763844143412</v>
      </c>
      <c r="M60" s="644">
        <f t="shared" si="16"/>
        <v>5124.9577800512434</v>
      </c>
      <c r="N60" s="644">
        <f t="shared" si="16"/>
        <v>5049.7285018001012</v>
      </c>
      <c r="O60" s="644">
        <f t="shared" si="16"/>
        <v>4970.1181550570991</v>
      </c>
      <c r="P60" s="644">
        <f t="shared" si="16"/>
        <v>4885.8377646475219</v>
      </c>
      <c r="Q60" s="644">
        <f t="shared" si="16"/>
        <v>4796.5784811268231</v>
      </c>
      <c r="R60" s="644">
        <f t="shared" si="16"/>
        <v>4702.0101966615712</v>
      </c>
      <c r="S60" s="644">
        <f t="shared" si="16"/>
        <v>4601.7800641636841</v>
      </c>
      <c r="T60" s="644">
        <f t="shared" si="16"/>
        <v>4495.5109129084776</v>
      </c>
      <c r="U60" s="644">
        <f t="shared" si="16"/>
        <v>4382.7995533932899</v>
      </c>
      <c r="V60" s="644">
        <f t="shared" si="16"/>
        <v>4263.2149636864824</v>
      </c>
      <c r="W60" s="644">
        <f t="shared" si="16"/>
        <v>4136.2963489741251</v>
      </c>
      <c r="X60" s="644">
        <f t="shared" si="16"/>
        <v>4001.5510654313125</v>
      </c>
      <c r="Y60" s="644">
        <f t="shared" si="16"/>
        <v>12462.575193781542</v>
      </c>
      <c r="Z60" s="644">
        <f t="shared" si="16"/>
        <v>12310.559983239673</v>
      </c>
      <c r="AA60" s="644">
        <f t="shared" si="16"/>
        <v>12149.026077833361</v>
      </c>
      <c r="AB60" s="644">
        <f t="shared" si="16"/>
        <v>11977.329616319563</v>
      </c>
      <c r="AC60" s="644">
        <f t="shared" si="16"/>
        <v>11794.78211611617</v>
      </c>
      <c r="AD60" s="644">
        <f t="shared" si="16"/>
        <v>11600.647358787244</v>
      </c>
      <c r="AE60" s="644">
        <f t="shared" si="16"/>
        <v>11394.138057691769</v>
      </c>
      <c r="AF60" s="644">
        <f t="shared" si="16"/>
        <v>11174.412292551016</v>
      </c>
      <c r="AG60" s="644">
        <f t="shared" si="16"/>
        <v>10940.569694622445</v>
      </c>
      <c r="AH60" s="644">
        <f t="shared" si="16"/>
        <v>2144.8661276377484</v>
      </c>
    </row>
    <row r="61" spans="1:34" ht="15">
      <c r="A61" s="56" t="s">
        <v>119</v>
      </c>
      <c r="B61" s="56"/>
      <c r="C61" s="645">
        <v>0</v>
      </c>
      <c r="D61" s="643">
        <v>0</v>
      </c>
      <c r="E61" s="643">
        <v>0</v>
      </c>
      <c r="F61" s="643">
        <v>0</v>
      </c>
      <c r="G61" s="643">
        <v>0</v>
      </c>
      <c r="H61" s="643">
        <v>0</v>
      </c>
      <c r="I61" s="643">
        <v>0</v>
      </c>
      <c r="J61" s="643">
        <v>0</v>
      </c>
      <c r="K61" s="643">
        <v>0</v>
      </c>
      <c r="L61" s="643">
        <v>0</v>
      </c>
      <c r="M61" s="643">
        <v>0</v>
      </c>
      <c r="N61" s="643">
        <v>0</v>
      </c>
      <c r="O61" s="643">
        <v>0</v>
      </c>
      <c r="P61" s="643">
        <v>0</v>
      </c>
      <c r="Q61" s="643">
        <v>0</v>
      </c>
      <c r="R61" s="643">
        <v>0</v>
      </c>
      <c r="S61" s="643">
        <v>0</v>
      </c>
      <c r="T61" s="643">
        <v>0</v>
      </c>
      <c r="U61" s="643">
        <v>0</v>
      </c>
      <c r="V61" s="643">
        <v>0</v>
      </c>
      <c r="W61" s="643">
        <v>0</v>
      </c>
      <c r="X61" s="643">
        <v>0</v>
      </c>
      <c r="Y61" s="643">
        <v>0</v>
      </c>
      <c r="Z61" s="643">
        <v>0</v>
      </c>
      <c r="AA61" s="643">
        <v>0</v>
      </c>
      <c r="AB61" s="643">
        <v>0</v>
      </c>
      <c r="AC61" s="643">
        <v>0</v>
      </c>
      <c r="AD61" s="643">
        <v>0</v>
      </c>
      <c r="AE61" s="643">
        <v>0</v>
      </c>
      <c r="AF61" s="643">
        <v>0</v>
      </c>
      <c r="AG61" s="643">
        <v>0</v>
      </c>
      <c r="AH61" s="646">
        <f>AH53</f>
        <v>15252.702015618579</v>
      </c>
    </row>
    <row r="62" spans="1:34">
      <c r="A62" s="56" t="s">
        <v>341</v>
      </c>
      <c r="B62" s="56"/>
      <c r="C62" s="36">
        <f>SUM(C59:C61)</f>
        <v>-45758.106046855741</v>
      </c>
      <c r="D62" s="36">
        <f t="shared" ref="D62:AH62" si="17">SUM(D59:D61)</f>
        <v>3617.8018599023685</v>
      </c>
      <c r="E62" s="36">
        <f t="shared" si="17"/>
        <v>6084.3470504363804</v>
      </c>
      <c r="F62" s="36">
        <f t="shared" si="17"/>
        <v>6035.7578103854994</v>
      </c>
      <c r="G62" s="36">
        <f t="shared" si="17"/>
        <v>5984.5226462810597</v>
      </c>
      <c r="H62" s="36">
        <f t="shared" si="17"/>
        <v>5930.4714498943085</v>
      </c>
      <c r="I62" s="36">
        <f t="shared" si="17"/>
        <v>5549.2863271629176</v>
      </c>
      <c r="J62" s="36">
        <f t="shared" si="17"/>
        <v>5326.9774232056088</v>
      </c>
      <c r="K62" s="36">
        <f t="shared" si="17"/>
        <v>5263.3373381139354</v>
      </c>
      <c r="L62" s="36">
        <f t="shared" si="17"/>
        <v>5196.0763844143412</v>
      </c>
      <c r="M62" s="36">
        <f t="shared" si="17"/>
        <v>5124.9577800512434</v>
      </c>
      <c r="N62" s="36">
        <f t="shared" si="17"/>
        <v>5049.7285018001012</v>
      </c>
      <c r="O62" s="36">
        <f t="shared" si="17"/>
        <v>4970.1181550570991</v>
      </c>
      <c r="P62" s="36">
        <f t="shared" si="17"/>
        <v>4885.8377646475219</v>
      </c>
      <c r="Q62" s="36">
        <f t="shared" si="17"/>
        <v>4796.5784811268231</v>
      </c>
      <c r="R62" s="36">
        <f t="shared" si="17"/>
        <v>4702.0101966615712</v>
      </c>
      <c r="S62" s="36">
        <f t="shared" si="17"/>
        <v>4601.7800641636841</v>
      </c>
      <c r="T62" s="36">
        <f t="shared" si="17"/>
        <v>4495.5109129084776</v>
      </c>
      <c r="U62" s="36">
        <f t="shared" si="17"/>
        <v>4382.7995533932899</v>
      </c>
      <c r="V62" s="36">
        <f t="shared" si="17"/>
        <v>4263.2149636864824</v>
      </c>
      <c r="W62" s="36">
        <f t="shared" si="17"/>
        <v>4136.2963489741251</v>
      </c>
      <c r="X62" s="36">
        <f t="shared" si="17"/>
        <v>4001.5510654313125</v>
      </c>
      <c r="Y62" s="36">
        <f t="shared" si="17"/>
        <v>12462.575193781542</v>
      </c>
      <c r="Z62" s="36">
        <f t="shared" si="17"/>
        <v>12310.559983239673</v>
      </c>
      <c r="AA62" s="36">
        <f t="shared" si="17"/>
        <v>12149.026077833361</v>
      </c>
      <c r="AB62" s="36">
        <f t="shared" si="17"/>
        <v>11977.329616319563</v>
      </c>
      <c r="AC62" s="36">
        <f t="shared" si="17"/>
        <v>11794.78211611617</v>
      </c>
      <c r="AD62" s="36">
        <f t="shared" si="17"/>
        <v>11600.647358787244</v>
      </c>
      <c r="AE62" s="36">
        <f t="shared" si="17"/>
        <v>11394.138057691769</v>
      </c>
      <c r="AF62" s="36">
        <f t="shared" si="17"/>
        <v>11174.412292551016</v>
      </c>
      <c r="AG62" s="36">
        <f t="shared" si="17"/>
        <v>10940.569694622445</v>
      </c>
      <c r="AH62" s="36">
        <f t="shared" si="17"/>
        <v>17397.568143256329</v>
      </c>
    </row>
    <row r="63" spans="1:34">
      <c r="A63" s="56"/>
      <c r="B63" s="56"/>
      <c r="C63" s="432" t="s">
        <v>1</v>
      </c>
      <c r="D63" s="548">
        <f>XIRR(C62:AH62,C8:AH8)</f>
        <v>0.11098321080207824</v>
      </c>
    </row>
    <row r="64" spans="1:34">
      <c r="A64" s="56"/>
      <c r="B64" s="56"/>
      <c r="C64" s="545" t="s">
        <v>533</v>
      </c>
      <c r="D64" s="547">
        <f>NPV(0.12,C62:AH62)</f>
        <v>-4.2937082460931764E-11</v>
      </c>
    </row>
    <row r="65" spans="1:34">
      <c r="A65" s="56"/>
      <c r="B65" s="56"/>
      <c r="C65" s="545"/>
      <c r="D65" s="640"/>
    </row>
    <row r="66" spans="1:34">
      <c r="A66" s="56"/>
      <c r="B66" s="56"/>
      <c r="C66" s="545"/>
      <c r="D66" s="640"/>
    </row>
    <row r="67" spans="1:34" ht="13.5" hidden="1" customHeight="1">
      <c r="A67" s="43" t="str">
        <f>CONCATENATE("With $",Assumptions!H25,"/kW")</f>
        <v>With $200/kW</v>
      </c>
      <c r="B67" s="43"/>
    </row>
    <row r="68" spans="1:34" s="18" customFormat="1" hidden="1">
      <c r="A68" s="56" t="s">
        <v>343</v>
      </c>
      <c r="B68" s="56"/>
      <c r="C68" s="18">
        <f>-Assumptions!C11*Assumptions!G48</f>
        <v>-45758.106046855741</v>
      </c>
    </row>
    <row r="69" spans="1:34" s="18" customFormat="1" hidden="1">
      <c r="A69" s="56" t="s">
        <v>342</v>
      </c>
      <c r="B69" s="56"/>
      <c r="C69" s="434">
        <f>C22*Assumptions!$G$48</f>
        <v>0</v>
      </c>
      <c r="D69" s="18">
        <f>D22*Assumptions!$G$48</f>
        <v>4380.1015752980447</v>
      </c>
      <c r="E69" s="18">
        <f>E22*Assumptions!$G$48</f>
        <v>7340.0779112276086</v>
      </c>
      <c r="F69" s="18">
        <f>F22*Assumptions!$G$48</f>
        <v>7315.0879112276079</v>
      </c>
      <c r="G69" s="18">
        <f>G22*Assumptions!$G$48</f>
        <v>7289.5981112276086</v>
      </c>
      <c r="H69" s="18">
        <f>H22*Assumptions!$G$48</f>
        <v>7263.5985152276107</v>
      </c>
      <c r="I69" s="18">
        <f>I22*Assumptions!$G$48</f>
        <v>7237.0789273076107</v>
      </c>
      <c r="J69" s="18">
        <f>J22*Assumptions!$G$48</f>
        <v>7210.0289476292091</v>
      </c>
      <c r="K69" s="18">
        <f>K22*Assumptions!$G$48</f>
        <v>7182.4379683572406</v>
      </c>
      <c r="L69" s="18">
        <f>L22*Assumptions!$G$48</f>
        <v>7154.2951694998328</v>
      </c>
      <c r="M69" s="18">
        <f>M22*Assumptions!$G$48</f>
        <v>7125.5895146652792</v>
      </c>
      <c r="N69" s="18">
        <f>N22*Assumptions!$G$48</f>
        <v>7096.3097467340331</v>
      </c>
      <c r="O69" s="18">
        <f>O22*Assumptions!$G$48</f>
        <v>7066.4443834441608</v>
      </c>
      <c r="P69" s="18">
        <f>P22*Assumptions!$G$48</f>
        <v>7035.9817128884888</v>
      </c>
      <c r="Q69" s="18">
        <f>Q22*Assumptions!$G$48</f>
        <v>7004.9097889217082</v>
      </c>
      <c r="R69" s="18">
        <f>R22*Assumptions!$G$48</f>
        <v>6973.2164264755902</v>
      </c>
      <c r="S69" s="18">
        <f>S22*Assumptions!$G$48</f>
        <v>6940.8891967805494</v>
      </c>
      <c r="T69" s="18">
        <f>T22*Assumptions!$G$48</f>
        <v>6907.9154224916074</v>
      </c>
      <c r="U69" s="18">
        <f>U22*Assumptions!$G$48</f>
        <v>6874.2821727168875</v>
      </c>
      <c r="V69" s="18">
        <f>V22*Assumptions!$G$48</f>
        <v>6839.9762579466751</v>
      </c>
      <c r="W69" s="18">
        <f>W22*Assumptions!$G$48</f>
        <v>6804.9842248810546</v>
      </c>
      <c r="X69" s="18">
        <f>X22*Assumptions!$G$48</f>
        <v>6769.2923511541248</v>
      </c>
      <c r="Y69" s="18">
        <f>Y22*Assumptions!$G$48</f>
        <v>15337.009434810298</v>
      </c>
      <c r="Z69" s="18">
        <f>Z22*Assumptions!$G$48</f>
        <v>15299.875609384799</v>
      </c>
      <c r="AA69" s="18">
        <f>AA22*Assumptions!$G$48</f>
        <v>15261.999107450789</v>
      </c>
      <c r="AB69" s="18">
        <f>AB22*Assumptions!$G$48</f>
        <v>15223.365075478101</v>
      </c>
      <c r="AC69" s="18">
        <f>AC22*Assumptions!$G$48</f>
        <v>15183.958362865957</v>
      </c>
      <c r="AD69" s="18">
        <f>AD22*Assumptions!$G$48</f>
        <v>15143.763516001571</v>
      </c>
      <c r="AE69" s="18">
        <f>AE22*Assumptions!$G$48</f>
        <v>15102.764772199898</v>
      </c>
      <c r="AF69" s="18">
        <f>AF22*Assumptions!$G$48</f>
        <v>15060.946053522192</v>
      </c>
      <c r="AG69" s="18">
        <f>AG22*Assumptions!$G$48</f>
        <v>15018.290960470929</v>
      </c>
      <c r="AH69" s="18">
        <f>AH22*Assumptions!$G$48</f>
        <v>2644.1727045310727</v>
      </c>
    </row>
    <row r="70" spans="1:34" s="18" customFormat="1" hidden="1">
      <c r="A70" s="56" t="s">
        <v>119</v>
      </c>
      <c r="B70" s="56"/>
      <c r="C70" s="297">
        <v>0</v>
      </c>
      <c r="D70" s="297">
        <v>0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  <c r="T70" s="297">
        <v>0</v>
      </c>
      <c r="U70" s="297">
        <v>0</v>
      </c>
      <c r="V70" s="297">
        <v>0</v>
      </c>
      <c r="W70" s="297">
        <v>0</v>
      </c>
      <c r="X70" s="297">
        <f>AH70</f>
        <v>54600</v>
      </c>
      <c r="Y70" s="297">
        <v>0</v>
      </c>
      <c r="Z70" s="297">
        <v>0</v>
      </c>
      <c r="AA70" s="297">
        <v>0</v>
      </c>
      <c r="AB70" s="297">
        <v>0</v>
      </c>
      <c r="AC70" s="297">
        <v>0</v>
      </c>
      <c r="AD70" s="297">
        <v>0</v>
      </c>
      <c r="AE70" s="297">
        <v>0</v>
      </c>
      <c r="AF70" s="297">
        <v>0</v>
      </c>
      <c r="AG70" s="297">
        <v>0</v>
      </c>
      <c r="AH70" s="297">
        <f>Assumptions!H25*Assumptions!H68*Assumptions!G48</f>
        <v>54600</v>
      </c>
    </row>
    <row r="71" spans="1:34" s="18" customFormat="1" ht="12" hidden="1" customHeight="1">
      <c r="A71" s="56" t="s">
        <v>341</v>
      </c>
      <c r="B71" s="56"/>
      <c r="C71" s="18">
        <f>SUM(C68:C70)</f>
        <v>-45758.106046855741</v>
      </c>
      <c r="D71" s="18">
        <f t="shared" ref="D71:AH71" si="18">SUM(D68:D70)</f>
        <v>4380.1015752980447</v>
      </c>
      <c r="E71" s="18">
        <f t="shared" si="18"/>
        <v>7340.0779112276086</v>
      </c>
      <c r="F71" s="18">
        <f t="shared" si="18"/>
        <v>7315.0879112276079</v>
      </c>
      <c r="G71" s="18">
        <f t="shared" si="18"/>
        <v>7289.5981112276086</v>
      </c>
      <c r="H71" s="18">
        <f t="shared" si="18"/>
        <v>7263.5985152276107</v>
      </c>
      <c r="I71" s="18">
        <f t="shared" si="18"/>
        <v>7237.0789273076107</v>
      </c>
      <c r="J71" s="18">
        <f t="shared" si="18"/>
        <v>7210.0289476292091</v>
      </c>
      <c r="K71" s="18">
        <f t="shared" si="18"/>
        <v>7182.4379683572406</v>
      </c>
      <c r="L71" s="18">
        <f t="shared" si="18"/>
        <v>7154.2951694998328</v>
      </c>
      <c r="M71" s="18">
        <f t="shared" si="18"/>
        <v>7125.5895146652792</v>
      </c>
      <c r="N71" s="18">
        <f t="shared" si="18"/>
        <v>7096.3097467340331</v>
      </c>
      <c r="O71" s="18">
        <f t="shared" si="18"/>
        <v>7066.4443834441608</v>
      </c>
      <c r="P71" s="18">
        <f t="shared" si="18"/>
        <v>7035.9817128884888</v>
      </c>
      <c r="Q71" s="18">
        <f t="shared" si="18"/>
        <v>7004.9097889217082</v>
      </c>
      <c r="R71" s="18">
        <f t="shared" si="18"/>
        <v>6973.2164264755902</v>
      </c>
      <c r="S71" s="18">
        <f t="shared" si="18"/>
        <v>6940.8891967805494</v>
      </c>
      <c r="T71" s="18">
        <f t="shared" si="18"/>
        <v>6907.9154224916074</v>
      </c>
      <c r="U71" s="18">
        <f t="shared" si="18"/>
        <v>6874.2821727168875</v>
      </c>
      <c r="V71" s="18">
        <f t="shared" si="18"/>
        <v>6839.9762579466751</v>
      </c>
      <c r="W71" s="18">
        <f t="shared" si="18"/>
        <v>6804.9842248810546</v>
      </c>
      <c r="X71" s="18">
        <f t="shared" si="18"/>
        <v>61369.292351154123</v>
      </c>
      <c r="Y71" s="18">
        <f t="shared" si="18"/>
        <v>15337.009434810298</v>
      </c>
      <c r="Z71" s="18">
        <f t="shared" si="18"/>
        <v>15299.875609384799</v>
      </c>
      <c r="AA71" s="18">
        <f t="shared" si="18"/>
        <v>15261.999107450789</v>
      </c>
      <c r="AB71" s="18">
        <f t="shared" si="18"/>
        <v>15223.365075478101</v>
      </c>
      <c r="AC71" s="18">
        <f t="shared" si="18"/>
        <v>15183.958362865957</v>
      </c>
      <c r="AD71" s="18">
        <f t="shared" si="18"/>
        <v>15143.763516001571</v>
      </c>
      <c r="AE71" s="18">
        <f t="shared" si="18"/>
        <v>15102.764772199898</v>
      </c>
      <c r="AF71" s="18">
        <f t="shared" si="18"/>
        <v>15060.946053522192</v>
      </c>
      <c r="AG71" s="18">
        <f t="shared" si="18"/>
        <v>15018.290960470929</v>
      </c>
      <c r="AH71" s="18">
        <f t="shared" si="18"/>
        <v>57244.172704531069</v>
      </c>
    </row>
    <row r="72" spans="1:34" hidden="1">
      <c r="A72" s="13"/>
      <c r="B72" s="13"/>
      <c r="C72" s="432" t="s">
        <v>1</v>
      </c>
      <c r="D72" s="548">
        <f>XIRR(C71:AH71,C8:AH8)</f>
        <v>0.14916588664054869</v>
      </c>
    </row>
    <row r="73" spans="1:34" hidden="1">
      <c r="A73" s="56"/>
      <c r="B73" s="56"/>
      <c r="C73" s="545" t="s">
        <v>533</v>
      </c>
      <c r="D73" s="547">
        <f>NPV(0.12,C71:AH71)</f>
        <v>18090.677687799849</v>
      </c>
    </row>
    <row r="74" spans="1:34" hidden="1">
      <c r="A74" s="45"/>
      <c r="B74" s="45"/>
    </row>
    <row r="77" spans="1:34">
      <c r="A77" s="625" t="s">
        <v>576</v>
      </c>
      <c r="B77" s="625"/>
    </row>
    <row r="78" spans="1:34" ht="13.5" thickBot="1">
      <c r="A78" s="65"/>
      <c r="B78" s="65"/>
      <c r="C78" s="7" t="s">
        <v>239</v>
      </c>
      <c r="D78" s="7">
        <f>D7</f>
        <v>2001</v>
      </c>
      <c r="E78" s="7">
        <f t="shared" ref="E78:AH78" si="19">E7</f>
        <v>2002</v>
      </c>
      <c r="F78" s="7">
        <f t="shared" si="19"/>
        <v>2003</v>
      </c>
      <c r="G78" s="7">
        <f t="shared" si="19"/>
        <v>2004</v>
      </c>
      <c r="H78" s="7">
        <f t="shared" si="19"/>
        <v>2005</v>
      </c>
      <c r="I78" s="7">
        <f t="shared" si="19"/>
        <v>2006</v>
      </c>
      <c r="J78" s="7">
        <f t="shared" si="19"/>
        <v>2007</v>
      </c>
      <c r="K78" s="7">
        <f t="shared" si="19"/>
        <v>2008</v>
      </c>
      <c r="L78" s="7">
        <f t="shared" si="19"/>
        <v>2009</v>
      </c>
      <c r="M78" s="7">
        <f t="shared" si="19"/>
        <v>2010</v>
      </c>
      <c r="N78" s="7">
        <f t="shared" si="19"/>
        <v>2011</v>
      </c>
      <c r="O78" s="7">
        <f t="shared" si="19"/>
        <v>2012</v>
      </c>
      <c r="P78" s="7">
        <f t="shared" si="19"/>
        <v>2013</v>
      </c>
      <c r="Q78" s="7">
        <f t="shared" si="19"/>
        <v>2014</v>
      </c>
      <c r="R78" s="7">
        <f t="shared" si="19"/>
        <v>2015</v>
      </c>
      <c r="S78" s="7">
        <f t="shared" si="19"/>
        <v>2016</v>
      </c>
      <c r="T78" s="7">
        <f t="shared" si="19"/>
        <v>2017</v>
      </c>
      <c r="U78" s="7">
        <f t="shared" si="19"/>
        <v>2018</v>
      </c>
      <c r="V78" s="7">
        <f t="shared" si="19"/>
        <v>2019</v>
      </c>
      <c r="W78" s="7">
        <f t="shared" si="19"/>
        <v>2020</v>
      </c>
      <c r="X78" s="7">
        <f t="shared" si="19"/>
        <v>2021</v>
      </c>
      <c r="Y78" s="7">
        <f t="shared" si="19"/>
        <v>2022</v>
      </c>
      <c r="Z78" s="7">
        <f t="shared" si="19"/>
        <v>2023</v>
      </c>
      <c r="AA78" s="7">
        <f t="shared" si="19"/>
        <v>2024</v>
      </c>
      <c r="AB78" s="7">
        <f t="shared" si="19"/>
        <v>2025</v>
      </c>
      <c r="AC78" s="7">
        <f t="shared" si="19"/>
        <v>2026</v>
      </c>
      <c r="AD78" s="7">
        <f t="shared" si="19"/>
        <v>2027</v>
      </c>
      <c r="AE78" s="7">
        <f t="shared" si="19"/>
        <v>2028</v>
      </c>
      <c r="AF78" s="7">
        <f t="shared" si="19"/>
        <v>2029</v>
      </c>
      <c r="AG78" s="7">
        <f t="shared" si="19"/>
        <v>2030</v>
      </c>
      <c r="AH78" s="7">
        <f t="shared" si="19"/>
        <v>2031</v>
      </c>
    </row>
    <row r="79" spans="1:34">
      <c r="A79" s="121" t="s">
        <v>577</v>
      </c>
      <c r="B79" s="121"/>
    </row>
    <row r="80" spans="1:34">
      <c r="A80" s="65" t="s">
        <v>52</v>
      </c>
      <c r="B80" s="65"/>
      <c r="C80" s="539">
        <v>0</v>
      </c>
      <c r="D80" s="65">
        <f>IS!C45</f>
        <v>1165.133193316527</v>
      </c>
      <c r="E80" s="65">
        <f>IS!D45</f>
        <v>1919.3155634596649</v>
      </c>
      <c r="F80" s="65">
        <f>IS!E45</f>
        <v>1955.3857040684056</v>
      </c>
      <c r="G80" s="65">
        <f>IS!F45</f>
        <v>1994.7360772697566</v>
      </c>
      <c r="H80" s="65">
        <f>IS!G45</f>
        <v>2037.6114058002047</v>
      </c>
      <c r="I80" s="65">
        <f>IS!H45</f>
        <v>2579.6981713968835</v>
      </c>
      <c r="J80" s="65">
        <f>IS!I45</f>
        <v>2878.140699150611</v>
      </c>
      <c r="K80" s="65">
        <f>IS!J45</f>
        <v>2933.2397749230795</v>
      </c>
      <c r="L80" s="65">
        <f>IS!K45</f>
        <v>2993.0297233481151</v>
      </c>
      <c r="M80" s="65">
        <f>IS!L45</f>
        <v>3057.8555842583683</v>
      </c>
      <c r="N80" s="65">
        <f>IS!M45</f>
        <v>3128.086883849714</v>
      </c>
      <c r="O80" s="65">
        <f>IS!N45</f>
        <v>3204.1193553981766</v>
      </c>
      <c r="P80" s="65">
        <f>IS!O45</f>
        <v>3286.3767805604675</v>
      </c>
      <c r="Q80" s="65">
        <f>IS!P45</f>
        <v>3375.3129597016641</v>
      </c>
      <c r="R80" s="65">
        <f>IS!Q45</f>
        <v>3471.4138202846389</v>
      </c>
      <c r="S80" s="65">
        <f>IS!R45</f>
        <v>3575.1996729883563</v>
      </c>
      <c r="T80" s="65">
        <f>IS!S45</f>
        <v>3687.2276258988677</v>
      </c>
      <c r="U80" s="65">
        <f>IS!T45</f>
        <v>3808.094167840999</v>
      </c>
      <c r="V80" s="65">
        <f>IS!U45</f>
        <v>3938.4379326935186</v>
      </c>
      <c r="W80" s="65">
        <f>IS!V45</f>
        <v>4078.9426573596443</v>
      </c>
      <c r="X80" s="65">
        <f>IS!W45</f>
        <v>4230.3403469518089</v>
      </c>
      <c r="Y80" s="65">
        <f>IS!X45</f>
        <v>4393.4146616988182</v>
      </c>
      <c r="Z80" s="65">
        <f>IS!Y45</f>
        <v>4569.0045410991861</v>
      </c>
      <c r="AA80" s="65">
        <f>IS!Z45</f>
        <v>4758.0080819310642</v>
      </c>
      <c r="AB80" s="65">
        <f>IS!AA45</f>
        <v>4961.386687892129</v>
      </c>
      <c r="AC80" s="65">
        <f>IS!AB45</f>
        <v>5180.1695098868422</v>
      </c>
      <c r="AD80" s="65">
        <f>IS!AC45</f>
        <v>5415.4581973098875</v>
      </c>
      <c r="AE80" s="65">
        <f>IS!AD45</f>
        <v>5668.431982099024</v>
      </c>
      <c r="AF80" s="65">
        <f>IS!AE45</f>
        <v>5940.3531188548041</v>
      </c>
      <c r="AG80" s="65">
        <f>IS!AF45</f>
        <v>6232.5727059555229</v>
      </c>
      <c r="AH80" s="65">
        <f>IS!AG45</f>
        <v>763.16264407589017</v>
      </c>
    </row>
    <row r="81" spans="1:34">
      <c r="A81" s="65" t="s">
        <v>578</v>
      </c>
      <c r="B81" s="65"/>
      <c r="C81" s="539">
        <v>0</v>
      </c>
      <c r="D81" s="65">
        <f>Taxes!B47</f>
        <v>-1538.4868550863562</v>
      </c>
      <c r="E81" s="65">
        <f>Taxes!C47</f>
        <v>-3287.8400374066414</v>
      </c>
      <c r="F81" s="65">
        <f>Taxes!D47</f>
        <v>-2831.1385859423381</v>
      </c>
      <c r="G81" s="65">
        <f>Taxes!E47</f>
        <v>-2423.0436556300974</v>
      </c>
      <c r="H81" s="65">
        <f>Taxes!F47</f>
        <v>-2053.9017420759101</v>
      </c>
      <c r="I81" s="65">
        <f>Taxes!G47</f>
        <v>-1756.1866182718213</v>
      </c>
      <c r="J81" s="65">
        <f>Taxes!H47</f>
        <v>-1619.0632819879127</v>
      </c>
      <c r="K81" s="65">
        <f>Taxes!I47</f>
        <v>-1628.0464864428232</v>
      </c>
      <c r="L81" s="65">
        <f>Taxes!J47</f>
        <v>-1627.7108429490147</v>
      </c>
      <c r="M81" s="65">
        <f>Taxes!K47</f>
        <v>-1637.4261710164467</v>
      </c>
      <c r="N81" s="65">
        <f>Taxes!L47</f>
        <v>-1637.8764356749416</v>
      </c>
      <c r="O81" s="65">
        <f>Taxes!M47</f>
        <v>-1648.435272069981</v>
      </c>
      <c r="P81" s="65">
        <f>Taxes!N47</f>
        <v>-1649.7907289757509</v>
      </c>
      <c r="Q81" s="65">
        <f>Taxes!O47</f>
        <v>-1661.3208121788455</v>
      </c>
      <c r="R81" s="65">
        <f>Taxes!P47</f>
        <v>-1663.7182480947749</v>
      </c>
      <c r="S81" s="65">
        <f>Taxes!Q47</f>
        <v>-149.53914660666851</v>
      </c>
      <c r="T81" s="65">
        <f>Taxes!R47</f>
        <v>1639.391183246144</v>
      </c>
      <c r="U81" s="65">
        <f>Taxes!S47</f>
        <v>1639.391183246144</v>
      </c>
      <c r="V81" s="65">
        <f>Taxes!T47</f>
        <v>1639.3911832461445</v>
      </c>
      <c r="W81" s="65">
        <f>Taxes!U47</f>
        <v>1639.391183246144</v>
      </c>
      <c r="X81" s="65">
        <f>Taxes!V47</f>
        <v>1639.391183246144</v>
      </c>
      <c r="Y81" s="65">
        <f>Taxes!W47</f>
        <v>1639.3911832461431</v>
      </c>
      <c r="Z81" s="65">
        <f>Taxes!X47</f>
        <v>1639.3911832461436</v>
      </c>
      <c r="AA81" s="65">
        <f>Taxes!Y47</f>
        <v>1639.3911832461445</v>
      </c>
      <c r="AB81" s="65">
        <f>Taxes!Z47</f>
        <v>1639.391183246144</v>
      </c>
      <c r="AC81" s="65">
        <f>Taxes!AA47</f>
        <v>1639.3911832461436</v>
      </c>
      <c r="AD81" s="65">
        <f>Taxes!AB47</f>
        <v>1639.391183246144</v>
      </c>
      <c r="AE81" s="65">
        <f>Taxes!AC47</f>
        <v>1639.391183246144</v>
      </c>
      <c r="AF81" s="65">
        <f>Taxes!AD47</f>
        <v>1639.3911832461445</v>
      </c>
      <c r="AG81" s="65">
        <f>Taxes!AE47</f>
        <v>1639.3911832461445</v>
      </c>
      <c r="AH81" s="65">
        <f>Taxes!AF47</f>
        <v>546.46372774871497</v>
      </c>
    </row>
    <row r="82" spans="1:34">
      <c r="A82" s="65" t="s">
        <v>579</v>
      </c>
      <c r="B82" s="65"/>
      <c r="C82" s="539">
        <v>0</v>
      </c>
      <c r="D82" s="65">
        <f>IS!C34</f>
        <v>3582.9674737903815</v>
      </c>
      <c r="E82" s="65">
        <f>IS!D34</f>
        <v>5374.4512106855727</v>
      </c>
      <c r="F82" s="65">
        <f>IS!E34</f>
        <v>5374.4512106855727</v>
      </c>
      <c r="G82" s="65">
        <f>IS!F34</f>
        <v>5374.4512106855727</v>
      </c>
      <c r="H82" s="65">
        <f>IS!G34</f>
        <v>5374.4512106855727</v>
      </c>
      <c r="I82" s="65">
        <f>IS!H34</f>
        <v>4554.890704018906</v>
      </c>
      <c r="J82" s="65">
        <f>IS!I34</f>
        <v>4145.1104506855727</v>
      </c>
      <c r="K82" s="65">
        <f>IS!J34</f>
        <v>4145.1104506855727</v>
      </c>
      <c r="L82" s="65">
        <f>IS!K34</f>
        <v>4145.1104506855727</v>
      </c>
      <c r="M82" s="65">
        <f>IS!L34</f>
        <v>4145.1104506855727</v>
      </c>
      <c r="N82" s="65">
        <f>IS!M34</f>
        <v>4145.1104506855727</v>
      </c>
      <c r="O82" s="65">
        <f>IS!N34</f>
        <v>4145.1104506855727</v>
      </c>
      <c r="P82" s="65">
        <f>IS!O34</f>
        <v>4145.1104506855727</v>
      </c>
      <c r="Q82" s="65">
        <f>IS!P34</f>
        <v>4145.1104506855727</v>
      </c>
      <c r="R82" s="65">
        <f>IS!Q34</f>
        <v>4145.1104506855727</v>
      </c>
      <c r="S82" s="65">
        <f>IS!R34</f>
        <v>4145.1104506855727</v>
      </c>
      <c r="T82" s="65">
        <f>IS!S34</f>
        <v>4145.1104506855727</v>
      </c>
      <c r="U82" s="65">
        <f>IS!T34</f>
        <v>4145.1104506855727</v>
      </c>
      <c r="V82" s="65">
        <f>IS!U34</f>
        <v>4145.1104506855727</v>
      </c>
      <c r="W82" s="65">
        <f>IS!V34</f>
        <v>4145.1104506855727</v>
      </c>
      <c r="X82" s="65">
        <f>IS!W34</f>
        <v>4145.1104506855727</v>
      </c>
      <c r="Y82" s="65">
        <f>IS!X34</f>
        <v>4145.1104506855727</v>
      </c>
      <c r="Z82" s="65">
        <f>IS!Y34</f>
        <v>4145.1104506855727</v>
      </c>
      <c r="AA82" s="65">
        <f>IS!Z34</f>
        <v>4145.1104506855727</v>
      </c>
      <c r="AB82" s="65">
        <f>IS!AA34</f>
        <v>4145.1104506855727</v>
      </c>
      <c r="AC82" s="65">
        <f>IS!AB34</f>
        <v>4145.1104506855727</v>
      </c>
      <c r="AD82" s="65">
        <f>IS!AC34</f>
        <v>4145.1104506855727</v>
      </c>
      <c r="AE82" s="65">
        <f>IS!AD34</f>
        <v>4145.1104506855727</v>
      </c>
      <c r="AF82" s="65">
        <f>IS!AE34</f>
        <v>4145.1104506855727</v>
      </c>
      <c r="AG82" s="65">
        <f>IS!AF34</f>
        <v>4145.1104506855727</v>
      </c>
      <c r="AH82" s="65">
        <f>IS!AG34</f>
        <v>1381.7034835618581</v>
      </c>
    </row>
    <row r="83" spans="1:34">
      <c r="A83" s="65" t="s">
        <v>580</v>
      </c>
      <c r="B83" s="65"/>
      <c r="C83" s="539">
        <v>0</v>
      </c>
    </row>
    <row r="84" spans="1:34">
      <c r="A84" s="65" t="s">
        <v>581</v>
      </c>
      <c r="B84" s="65"/>
      <c r="C84" s="539">
        <v>0</v>
      </c>
    </row>
    <row r="85" spans="1:34">
      <c r="A85" s="65" t="s">
        <v>582</v>
      </c>
      <c r="B85" s="65"/>
      <c r="C85" s="539">
        <v>0</v>
      </c>
    </row>
    <row r="86" spans="1:34">
      <c r="A86" s="65" t="s">
        <v>583</v>
      </c>
      <c r="B86" s="65"/>
      <c r="C86" s="647">
        <v>0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</row>
    <row r="87" spans="1:34">
      <c r="A87" s="65" t="s">
        <v>10</v>
      </c>
      <c r="B87" s="65"/>
      <c r="C87" s="36">
        <f>SUM(C80:C86)</f>
        <v>0</v>
      </c>
      <c r="D87" s="36">
        <f t="shared" ref="D87:AH87" si="20">SUM(D80:D86)</f>
        <v>3209.6138120205524</v>
      </c>
      <c r="E87" s="36">
        <f t="shared" si="20"/>
        <v>4005.9267367385964</v>
      </c>
      <c r="F87" s="36">
        <f t="shared" si="20"/>
        <v>4498.6983288116407</v>
      </c>
      <c r="G87" s="36">
        <f t="shared" si="20"/>
        <v>4946.1436323252319</v>
      </c>
      <c r="H87" s="36">
        <f t="shared" si="20"/>
        <v>5358.1608744098676</v>
      </c>
      <c r="I87" s="36">
        <f t="shared" si="20"/>
        <v>5378.4022571439682</v>
      </c>
      <c r="J87" s="36">
        <f t="shared" si="20"/>
        <v>5404.1878678482708</v>
      </c>
      <c r="K87" s="36">
        <f t="shared" si="20"/>
        <v>5450.303739165829</v>
      </c>
      <c r="L87" s="36">
        <f t="shared" si="20"/>
        <v>5510.4293310846733</v>
      </c>
      <c r="M87" s="36">
        <f t="shared" si="20"/>
        <v>5565.5398639274945</v>
      </c>
      <c r="N87" s="36">
        <f t="shared" si="20"/>
        <v>5635.3208988603456</v>
      </c>
      <c r="O87" s="36">
        <f t="shared" si="20"/>
        <v>5700.7945340137685</v>
      </c>
      <c r="P87" s="36">
        <f t="shared" si="20"/>
        <v>5781.6965022702898</v>
      </c>
      <c r="Q87" s="36">
        <f t="shared" si="20"/>
        <v>5859.1025982083911</v>
      </c>
      <c r="R87" s="36">
        <f t="shared" si="20"/>
        <v>5952.8060228754366</v>
      </c>
      <c r="S87" s="36">
        <f t="shared" si="20"/>
        <v>7570.7709770672609</v>
      </c>
      <c r="T87" s="36">
        <f t="shared" si="20"/>
        <v>9471.729259830583</v>
      </c>
      <c r="U87" s="36">
        <f t="shared" si="20"/>
        <v>9592.5958017727171</v>
      </c>
      <c r="V87" s="36">
        <f t="shared" si="20"/>
        <v>9722.9395666252349</v>
      </c>
      <c r="W87" s="36">
        <f t="shared" si="20"/>
        <v>9863.4442912913619</v>
      </c>
      <c r="X87" s="36">
        <f t="shared" si="20"/>
        <v>10014.841980883524</v>
      </c>
      <c r="Y87" s="36">
        <f t="shared" si="20"/>
        <v>10177.916295630534</v>
      </c>
      <c r="Z87" s="36">
        <f t="shared" si="20"/>
        <v>10353.506175030903</v>
      </c>
      <c r="AA87" s="36">
        <f t="shared" si="20"/>
        <v>10542.509715862781</v>
      </c>
      <c r="AB87" s="36">
        <f t="shared" si="20"/>
        <v>10745.888321823844</v>
      </c>
      <c r="AC87" s="36">
        <f t="shared" si="20"/>
        <v>10964.671143818559</v>
      </c>
      <c r="AD87" s="36">
        <f t="shared" si="20"/>
        <v>11199.959831241606</v>
      </c>
      <c r="AE87" s="36">
        <f t="shared" si="20"/>
        <v>11452.933616030739</v>
      </c>
      <c r="AF87" s="36">
        <f t="shared" si="20"/>
        <v>11724.854752786521</v>
      </c>
      <c r="AG87" s="36">
        <f t="shared" si="20"/>
        <v>12017.07433988724</v>
      </c>
      <c r="AH87" s="36">
        <f t="shared" si="20"/>
        <v>2691.3298553864634</v>
      </c>
    </row>
    <row r="88" spans="1:34">
      <c r="A88" s="65"/>
      <c r="B88" s="65"/>
    </row>
    <row r="89" spans="1:34">
      <c r="A89" s="121" t="s">
        <v>584</v>
      </c>
      <c r="B89" s="121"/>
    </row>
    <row r="90" spans="1:34">
      <c r="A90" s="65" t="s">
        <v>585</v>
      </c>
      <c r="B90" s="65"/>
    </row>
    <row r="91" spans="1:34">
      <c r="A91" s="65" t="s">
        <v>586</v>
      </c>
      <c r="B91" s="65"/>
    </row>
    <row r="92" spans="1:34">
      <c r="A92" s="65" t="s">
        <v>587</v>
      </c>
      <c r="B92" s="65"/>
    </row>
    <row r="93" spans="1:34">
      <c r="A93" s="65" t="s">
        <v>101</v>
      </c>
      <c r="B93" s="65"/>
    </row>
    <row r="94" spans="1:34">
      <c r="A94" s="65"/>
      <c r="B94" s="65"/>
    </row>
    <row r="95" spans="1:34" ht="13.5">
      <c r="A95" s="626" t="s">
        <v>588</v>
      </c>
      <c r="B95" s="626"/>
    </row>
    <row r="97" spans="1:2">
      <c r="A97" s="12" t="s">
        <v>589</v>
      </c>
    </row>
    <row r="98" spans="1:2">
      <c r="A98" s="11" t="s">
        <v>590</v>
      </c>
      <c r="B98" s="11"/>
    </row>
    <row r="99" spans="1:2">
      <c r="A99" s="12" t="s">
        <v>591</v>
      </c>
    </row>
    <row r="100" spans="1:2">
      <c r="A100" s="305" t="s">
        <v>592</v>
      </c>
      <c r="B100" s="5"/>
    </row>
    <row r="101" spans="1:2">
      <c r="A101" s="12" t="s">
        <v>593</v>
      </c>
    </row>
    <row r="102" spans="1:2">
      <c r="A102" s="12" t="s">
        <v>594</v>
      </c>
    </row>
    <row r="103" spans="1:2">
      <c r="A103" s="12" t="s">
        <v>595</v>
      </c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workbookViewId="0">
      <selection activeCell="C22" sqref="C22"/>
    </sheetView>
  </sheetViews>
  <sheetFormatPr defaultRowHeight="12.75"/>
  <cols>
    <col min="1" max="1" width="9.140625" style="12"/>
    <col min="2" max="2" width="23.5703125" style="12" customWidth="1"/>
    <col min="3" max="3" width="12.28515625" style="12" bestFit="1" customWidth="1"/>
    <col min="4" max="4" width="10.7109375" style="12" customWidth="1"/>
    <col min="5" max="7" width="9.7109375" style="12" bestFit="1" customWidth="1"/>
    <col min="8" max="8" width="10.7109375" style="12" customWidth="1"/>
    <col min="9" max="9" width="11" style="12" customWidth="1"/>
    <col min="10" max="13" width="9.7109375" style="12" bestFit="1" customWidth="1"/>
    <col min="14" max="15" width="9.140625" style="12"/>
    <col min="16" max="22" width="10.28515625" style="12" bestFit="1" customWidth="1"/>
    <col min="23" max="16384" width="9.140625" style="12"/>
  </cols>
  <sheetData>
    <row r="1" spans="2:32" ht="13.5" thickBot="1"/>
    <row r="2" spans="2:32">
      <c r="B2" s="503"/>
      <c r="C2" s="553" t="s">
        <v>458</v>
      </c>
    </row>
    <row r="3" spans="2:32">
      <c r="B3" s="554" t="s">
        <v>528</v>
      </c>
      <c r="C3" s="555">
        <f>Assumptions!C60</f>
        <v>152527.02015618578</v>
      </c>
    </row>
    <row r="4" spans="2:32">
      <c r="B4" s="554" t="s">
        <v>526</v>
      </c>
      <c r="C4" s="556">
        <f>C3*C6</f>
        <v>106768.91410933004</v>
      </c>
    </row>
    <row r="5" spans="2:32">
      <c r="B5" s="554" t="s">
        <v>519</v>
      </c>
      <c r="C5" s="557">
        <f>C9</f>
        <v>30</v>
      </c>
    </row>
    <row r="6" spans="2:32">
      <c r="B6" s="554" t="s">
        <v>527</v>
      </c>
      <c r="C6" s="558">
        <f>Assumptions!B12</f>
        <v>0.7</v>
      </c>
    </row>
    <row r="7" spans="2:32">
      <c r="B7" s="554" t="s">
        <v>522</v>
      </c>
      <c r="C7" s="559">
        <f>1-C6</f>
        <v>0.30000000000000004</v>
      </c>
    </row>
    <row r="8" spans="2:32">
      <c r="B8" s="554" t="s">
        <v>520</v>
      </c>
      <c r="C8" s="577">
        <v>7.0000000000000007E-2</v>
      </c>
    </row>
    <row r="9" spans="2:32">
      <c r="B9" s="554" t="s">
        <v>521</v>
      </c>
      <c r="C9" s="576">
        <v>30</v>
      </c>
    </row>
    <row r="10" spans="2:32">
      <c r="B10" s="554" t="s">
        <v>523</v>
      </c>
      <c r="C10" s="556">
        <f>C3-C4</f>
        <v>45758.106046855741</v>
      </c>
    </row>
    <row r="11" spans="2:32">
      <c r="B11" s="554" t="s">
        <v>524</v>
      </c>
      <c r="C11" s="40">
        <f>Assumptions!H68</f>
        <v>273</v>
      </c>
    </row>
    <row r="12" spans="2:32" ht="13.5" thickBot="1">
      <c r="B12" s="560" t="s">
        <v>525</v>
      </c>
      <c r="C12" s="561">
        <f>Assumptions!H54</f>
        <v>6.1528415727579624</v>
      </c>
    </row>
    <row r="13" spans="2:32">
      <c r="B13" s="542"/>
      <c r="C13" s="544"/>
    </row>
    <row r="14" spans="2:32">
      <c r="C14" s="552">
        <f>IS!C6</f>
        <v>0.66666666666666663</v>
      </c>
      <c r="D14" s="552">
        <f>IS!D6</f>
        <v>1.6666666666666665</v>
      </c>
      <c r="E14" s="552">
        <f>IS!E6</f>
        <v>2.6666666666666665</v>
      </c>
      <c r="F14" s="552">
        <f>IS!F6</f>
        <v>3.6666666666666665</v>
      </c>
      <c r="G14" s="552">
        <f>IS!G6</f>
        <v>4.6666666666666661</v>
      </c>
      <c r="H14" s="552">
        <f>IS!H6</f>
        <v>5.6666666666666661</v>
      </c>
      <c r="I14" s="552">
        <f>IS!I6</f>
        <v>6.6666666666666661</v>
      </c>
      <c r="J14" s="552">
        <f>IS!J6</f>
        <v>7.6666666666666661</v>
      </c>
      <c r="K14" s="552">
        <f>IS!K6</f>
        <v>8.6666666666666661</v>
      </c>
      <c r="L14" s="552">
        <f>IS!L6</f>
        <v>9.6666666666666661</v>
      </c>
      <c r="M14" s="552">
        <f>IS!M6</f>
        <v>10.666666666666666</v>
      </c>
      <c r="N14" s="552">
        <f>IS!N6</f>
        <v>11.666666666666666</v>
      </c>
      <c r="O14" s="552">
        <f>IS!O6</f>
        <v>12.666666666666666</v>
      </c>
      <c r="P14" s="552">
        <f>IS!P6</f>
        <v>13.666666666666666</v>
      </c>
      <c r="Q14" s="552">
        <f>IS!Q6</f>
        <v>14.666666666666666</v>
      </c>
      <c r="R14" s="552">
        <f>IS!R6</f>
        <v>15.666666666666666</v>
      </c>
      <c r="S14" s="552">
        <f>IS!S6</f>
        <v>16.666666666666664</v>
      </c>
      <c r="T14" s="552">
        <f>IS!T6</f>
        <v>17.666666666666664</v>
      </c>
      <c r="U14" s="552">
        <f>IS!U6</f>
        <v>18.666666666666664</v>
      </c>
      <c r="V14" s="552">
        <f>IS!V6</f>
        <v>19.666666666666664</v>
      </c>
      <c r="W14" s="552">
        <f>IS!W6</f>
        <v>20.666666666666664</v>
      </c>
      <c r="X14" s="552">
        <f>IS!X6</f>
        <v>21.666666666666664</v>
      </c>
      <c r="Y14" s="552">
        <f>IS!Y6</f>
        <v>22.666666666666664</v>
      </c>
      <c r="Z14" s="552">
        <f>IS!Z6</f>
        <v>23.666666666666664</v>
      </c>
      <c r="AA14" s="552">
        <f>IS!AA6</f>
        <v>24.666666666666664</v>
      </c>
      <c r="AB14" s="552">
        <f>IS!AB6</f>
        <v>25.666666666666664</v>
      </c>
      <c r="AC14" s="552">
        <f>IS!AC6</f>
        <v>26.666666666666664</v>
      </c>
      <c r="AD14" s="552">
        <f>IS!AD6</f>
        <v>27.666666666666664</v>
      </c>
      <c r="AE14" s="552">
        <f>IS!AE6</f>
        <v>28.666666666666664</v>
      </c>
      <c r="AF14" s="552">
        <f>IS!AF6</f>
        <v>29.666666666666664</v>
      </c>
    </row>
    <row r="15" spans="2:32">
      <c r="C15" s="458">
        <f>IS!C7</f>
        <v>2001</v>
      </c>
      <c r="D15" s="458">
        <f>IS!D7</f>
        <v>2002</v>
      </c>
      <c r="E15" s="458">
        <f>IS!E7</f>
        <v>2003</v>
      </c>
      <c r="F15" s="458">
        <f>IS!F7</f>
        <v>2004</v>
      </c>
      <c r="G15" s="458">
        <f>IS!G7</f>
        <v>2005</v>
      </c>
      <c r="H15" s="458">
        <f>IS!H7</f>
        <v>2006</v>
      </c>
      <c r="I15" s="458">
        <f>IS!I7</f>
        <v>2007</v>
      </c>
      <c r="J15" s="458">
        <f>IS!J7</f>
        <v>2008</v>
      </c>
      <c r="K15" s="458">
        <f>IS!K7</f>
        <v>2009</v>
      </c>
      <c r="L15" s="458">
        <f>IS!L7</f>
        <v>2010</v>
      </c>
      <c r="M15" s="458">
        <f>IS!M7</f>
        <v>2011</v>
      </c>
      <c r="N15" s="458">
        <f>IS!N7</f>
        <v>2012</v>
      </c>
      <c r="O15" s="458">
        <f>IS!O7</f>
        <v>2013</v>
      </c>
      <c r="P15" s="458">
        <f>IS!P7</f>
        <v>2014</v>
      </c>
      <c r="Q15" s="458">
        <f>IS!Q7</f>
        <v>2015</v>
      </c>
      <c r="R15" s="458">
        <f>IS!R7</f>
        <v>2016</v>
      </c>
      <c r="S15" s="458">
        <f>IS!S7</f>
        <v>2017</v>
      </c>
      <c r="T15" s="458">
        <f>IS!T7</f>
        <v>2018</v>
      </c>
      <c r="U15" s="458">
        <f>IS!U7</f>
        <v>2019</v>
      </c>
      <c r="V15" s="458">
        <f>IS!V7</f>
        <v>2020</v>
      </c>
      <c r="W15" s="458">
        <f>IS!W7</f>
        <v>2021</v>
      </c>
      <c r="X15" s="458">
        <f>IS!X7</f>
        <v>2022</v>
      </c>
      <c r="Y15" s="458">
        <f>IS!Y7</f>
        <v>2023</v>
      </c>
      <c r="Z15" s="458">
        <f>IS!Z7</f>
        <v>2024</v>
      </c>
      <c r="AA15" s="458">
        <f>IS!AA7</f>
        <v>2025</v>
      </c>
      <c r="AB15" s="458">
        <f>IS!AB7</f>
        <v>2026</v>
      </c>
      <c r="AC15" s="458">
        <f>IS!AC7</f>
        <v>2027</v>
      </c>
      <c r="AD15" s="458">
        <f>IS!AD7</f>
        <v>2028</v>
      </c>
      <c r="AE15" s="458">
        <f>IS!AE7</f>
        <v>2029</v>
      </c>
      <c r="AF15" s="458">
        <f>IS!AF7</f>
        <v>2030</v>
      </c>
    </row>
    <row r="16" spans="2:32">
      <c r="B16" s="12" t="s">
        <v>529</v>
      </c>
      <c r="C16" s="36">
        <f>C4</f>
        <v>106768.91410933004</v>
      </c>
      <c r="D16" s="36">
        <f>C16-C19</f>
        <v>105638.6153021255</v>
      </c>
      <c r="E16" s="36">
        <f t="shared" ref="E16:V16" si="0">D16-D19</f>
        <v>104429.19557841665</v>
      </c>
      <c r="F16" s="36">
        <f t="shared" si="0"/>
        <v>103135.11647404818</v>
      </c>
      <c r="G16" s="36">
        <f t="shared" si="0"/>
        <v>101750.4518323739</v>
      </c>
      <c r="H16" s="36">
        <f t="shared" si="0"/>
        <v>100268.86066578243</v>
      </c>
      <c r="I16" s="36">
        <f t="shared" si="0"/>
        <v>98683.558117529552</v>
      </c>
      <c r="J16" s="36">
        <f t="shared" si="0"/>
        <v>96987.284390898974</v>
      </c>
      <c r="K16" s="36">
        <f t="shared" si="0"/>
        <v>95172.271503404263</v>
      </c>
      <c r="L16" s="36">
        <f t="shared" si="0"/>
        <v>93230.207713784912</v>
      </c>
      <c r="M16" s="36">
        <f t="shared" si="0"/>
        <v>91152.19945889221</v>
      </c>
      <c r="N16" s="36">
        <f t="shared" si="0"/>
        <v>88928.730626157019</v>
      </c>
      <c r="O16" s="36">
        <f t="shared" si="0"/>
        <v>86549.618975130375</v>
      </c>
      <c r="P16" s="36">
        <f t="shared" si="0"/>
        <v>84003.969508531853</v>
      </c>
      <c r="Q16" s="36">
        <f t="shared" si="0"/>
        <v>81280.124579271447</v>
      </c>
      <c r="R16" s="36">
        <f t="shared" si="0"/>
        <v>78365.61050496281</v>
      </c>
      <c r="S16" s="36">
        <f t="shared" si="0"/>
        <v>75247.080445452564</v>
      </c>
      <c r="T16" s="36">
        <f t="shared" si="0"/>
        <v>71910.253281776604</v>
      </c>
      <c r="U16" s="36">
        <f t="shared" si="0"/>
        <v>68339.848216643324</v>
      </c>
      <c r="V16" s="36">
        <f t="shared" si="0"/>
        <v>64519.514796950716</v>
      </c>
      <c r="W16" s="36">
        <f t="shared" ref="W16:AF16" si="1">V16-V19</f>
        <v>60431.758037879626</v>
      </c>
      <c r="X16" s="36">
        <f t="shared" si="1"/>
        <v>56057.858305673559</v>
      </c>
      <c r="Y16" s="36">
        <f t="shared" si="1"/>
        <v>51377.785592213062</v>
      </c>
      <c r="Z16" s="36">
        <f t="shared" si="1"/>
        <v>46370.107788810332</v>
      </c>
      <c r="AA16" s="36">
        <f t="shared" si="1"/>
        <v>41011.892539169414</v>
      </c>
      <c r="AB16" s="36">
        <f t="shared" si="1"/>
        <v>35278.602222053632</v>
      </c>
      <c r="AC16" s="36">
        <f t="shared" si="1"/>
        <v>29143.981582739743</v>
      </c>
      <c r="AD16" s="36">
        <f t="shared" si="1"/>
        <v>22579.937498673884</v>
      </c>
      <c r="AE16" s="36">
        <f t="shared" si="1"/>
        <v>15556.410328723414</v>
      </c>
      <c r="AF16" s="36">
        <f t="shared" si="1"/>
        <v>8041.2362568764092</v>
      </c>
    </row>
    <row r="17" spans="2:32">
      <c r="B17" s="12" t="s">
        <v>530</v>
      </c>
      <c r="C17" s="541">
        <f>-PMT($C$8,$C$9,$C$4)</f>
        <v>8604.1227948576434</v>
      </c>
      <c r="D17" s="541">
        <f t="shared" ref="D17:AF17" si="2">-PMT($C$8,$C$9,$C$4)</f>
        <v>8604.1227948576434</v>
      </c>
      <c r="E17" s="541">
        <f t="shared" si="2"/>
        <v>8604.1227948576434</v>
      </c>
      <c r="F17" s="541">
        <f t="shared" si="2"/>
        <v>8604.1227948576434</v>
      </c>
      <c r="G17" s="541">
        <f t="shared" si="2"/>
        <v>8604.1227948576434</v>
      </c>
      <c r="H17" s="541">
        <f t="shared" si="2"/>
        <v>8604.1227948576434</v>
      </c>
      <c r="I17" s="541">
        <f t="shared" si="2"/>
        <v>8604.1227948576434</v>
      </c>
      <c r="J17" s="541">
        <f t="shared" si="2"/>
        <v>8604.1227948576434</v>
      </c>
      <c r="K17" s="541">
        <f t="shared" si="2"/>
        <v>8604.1227948576434</v>
      </c>
      <c r="L17" s="541">
        <f t="shared" si="2"/>
        <v>8604.1227948576434</v>
      </c>
      <c r="M17" s="541">
        <f t="shared" si="2"/>
        <v>8604.1227948576434</v>
      </c>
      <c r="N17" s="541">
        <f t="shared" si="2"/>
        <v>8604.1227948576434</v>
      </c>
      <c r="O17" s="541">
        <f t="shared" si="2"/>
        <v>8604.1227948576434</v>
      </c>
      <c r="P17" s="541">
        <f t="shared" si="2"/>
        <v>8604.1227948576434</v>
      </c>
      <c r="Q17" s="541">
        <f t="shared" si="2"/>
        <v>8604.1227948576434</v>
      </c>
      <c r="R17" s="541">
        <f t="shared" si="2"/>
        <v>8604.1227948576434</v>
      </c>
      <c r="S17" s="541">
        <f t="shared" si="2"/>
        <v>8604.1227948576434</v>
      </c>
      <c r="T17" s="541">
        <f t="shared" si="2"/>
        <v>8604.1227948576434</v>
      </c>
      <c r="U17" s="541">
        <f t="shared" si="2"/>
        <v>8604.1227948576434</v>
      </c>
      <c r="V17" s="541">
        <f t="shared" si="2"/>
        <v>8604.1227948576434</v>
      </c>
      <c r="W17" s="541">
        <f t="shared" si="2"/>
        <v>8604.1227948576434</v>
      </c>
      <c r="X17" s="541">
        <f t="shared" si="2"/>
        <v>8604.1227948576434</v>
      </c>
      <c r="Y17" s="541">
        <f t="shared" si="2"/>
        <v>8604.1227948576434</v>
      </c>
      <c r="Z17" s="541">
        <f t="shared" si="2"/>
        <v>8604.1227948576434</v>
      </c>
      <c r="AA17" s="541">
        <f t="shared" si="2"/>
        <v>8604.1227948576434</v>
      </c>
      <c r="AB17" s="541">
        <f t="shared" si="2"/>
        <v>8604.1227948576434</v>
      </c>
      <c r="AC17" s="541">
        <f t="shared" si="2"/>
        <v>8604.1227948576434</v>
      </c>
      <c r="AD17" s="541">
        <f t="shared" si="2"/>
        <v>8604.1227948576434</v>
      </c>
      <c r="AE17" s="541">
        <f t="shared" si="2"/>
        <v>8604.1227948576434</v>
      </c>
      <c r="AF17" s="541">
        <f t="shared" si="2"/>
        <v>8604.1227948576434</v>
      </c>
    </row>
    <row r="18" spans="2:32">
      <c r="B18" s="12" t="s">
        <v>531</v>
      </c>
      <c r="C18" s="543">
        <f>C16*$C$8</f>
        <v>7473.8239876531034</v>
      </c>
      <c r="D18" s="543">
        <f>D16*$C$8</f>
        <v>7394.703071148786</v>
      </c>
      <c r="E18" s="543">
        <f t="shared" ref="E18:V18" si="3">E16*$C$8</f>
        <v>7310.0436904891658</v>
      </c>
      <c r="F18" s="543">
        <f t="shared" si="3"/>
        <v>7219.4581531833728</v>
      </c>
      <c r="G18" s="543">
        <f t="shared" si="3"/>
        <v>7122.5316282661743</v>
      </c>
      <c r="H18" s="543">
        <f t="shared" si="3"/>
        <v>7018.8202466047705</v>
      </c>
      <c r="I18" s="543">
        <f t="shared" si="3"/>
        <v>6907.8490682270694</v>
      </c>
      <c r="J18" s="543">
        <f t="shared" si="3"/>
        <v>6789.1099073629284</v>
      </c>
      <c r="K18" s="543">
        <f t="shared" si="3"/>
        <v>6662.0590052382986</v>
      </c>
      <c r="L18" s="543">
        <f t="shared" si="3"/>
        <v>6526.114539964944</v>
      </c>
      <c r="M18" s="543">
        <f t="shared" si="3"/>
        <v>6380.6539621224556</v>
      </c>
      <c r="N18" s="543">
        <f t="shared" si="3"/>
        <v>6225.0111438309923</v>
      </c>
      <c r="O18" s="543">
        <f t="shared" si="3"/>
        <v>6058.4733282591269</v>
      </c>
      <c r="P18" s="543">
        <f t="shared" si="3"/>
        <v>5880.2778655972306</v>
      </c>
      <c r="Q18" s="543">
        <f t="shared" si="3"/>
        <v>5689.6087205490021</v>
      </c>
      <c r="R18" s="543">
        <f t="shared" si="3"/>
        <v>5485.5927353473971</v>
      </c>
      <c r="S18" s="543">
        <f t="shared" si="3"/>
        <v>5267.2956311816797</v>
      </c>
      <c r="T18" s="543">
        <f t="shared" si="3"/>
        <v>5033.7177297243625</v>
      </c>
      <c r="U18" s="543">
        <f t="shared" si="3"/>
        <v>4783.7893751650336</v>
      </c>
      <c r="V18" s="543">
        <f t="shared" si="3"/>
        <v>4516.3660357865501</v>
      </c>
      <c r="W18" s="543">
        <f t="shared" ref="W18:AF18" si="4">W16*$C$8</f>
        <v>4230.2230626515739</v>
      </c>
      <c r="X18" s="543">
        <f t="shared" si="4"/>
        <v>3924.0500813971494</v>
      </c>
      <c r="Y18" s="543">
        <f t="shared" si="4"/>
        <v>3596.4449914549145</v>
      </c>
      <c r="Z18" s="543">
        <f t="shared" si="4"/>
        <v>3245.9075452167235</v>
      </c>
      <c r="AA18" s="543">
        <f t="shared" si="4"/>
        <v>2870.8324777418593</v>
      </c>
      <c r="AB18" s="543">
        <f t="shared" si="4"/>
        <v>2469.5021555437547</v>
      </c>
      <c r="AC18" s="543">
        <f t="shared" si="4"/>
        <v>2040.0787107917822</v>
      </c>
      <c r="AD18" s="543">
        <f t="shared" si="4"/>
        <v>1580.5956249071721</v>
      </c>
      <c r="AE18" s="543">
        <f t="shared" si="4"/>
        <v>1088.948723010639</v>
      </c>
      <c r="AF18" s="543">
        <f t="shared" si="4"/>
        <v>562.88653798134874</v>
      </c>
    </row>
    <row r="19" spans="2:32">
      <c r="B19" s="12" t="s">
        <v>532</v>
      </c>
      <c r="C19" s="36">
        <f>C17-C18</f>
        <v>1130.29880720454</v>
      </c>
      <c r="D19" s="36">
        <f>D17-D18</f>
        <v>1209.4197237088574</v>
      </c>
      <c r="E19" s="36">
        <f t="shared" ref="E19:V19" si="5">E17-E18</f>
        <v>1294.0791043684776</v>
      </c>
      <c r="F19" s="36">
        <f t="shared" si="5"/>
        <v>1384.6646416742706</v>
      </c>
      <c r="G19" s="36">
        <f t="shared" si="5"/>
        <v>1481.5911665914691</v>
      </c>
      <c r="H19" s="36">
        <f t="shared" si="5"/>
        <v>1585.3025482528728</v>
      </c>
      <c r="I19" s="36">
        <f t="shared" si="5"/>
        <v>1696.2737266305739</v>
      </c>
      <c r="J19" s="36">
        <f t="shared" si="5"/>
        <v>1815.012887494715</v>
      </c>
      <c r="K19" s="36">
        <f t="shared" si="5"/>
        <v>1942.0637896193448</v>
      </c>
      <c r="L19" s="36">
        <f t="shared" si="5"/>
        <v>2078.0082548926994</v>
      </c>
      <c r="M19" s="36">
        <f t="shared" si="5"/>
        <v>2223.4688327351878</v>
      </c>
      <c r="N19" s="36">
        <f t="shared" si="5"/>
        <v>2379.1116510266511</v>
      </c>
      <c r="O19" s="36">
        <f t="shared" si="5"/>
        <v>2545.6494665985165</v>
      </c>
      <c r="P19" s="36">
        <f t="shared" si="5"/>
        <v>2723.8449292604128</v>
      </c>
      <c r="Q19" s="36">
        <f t="shared" si="5"/>
        <v>2914.5140743086413</v>
      </c>
      <c r="R19" s="36">
        <f t="shared" si="5"/>
        <v>3118.5300595102462</v>
      </c>
      <c r="S19" s="36">
        <f t="shared" si="5"/>
        <v>3336.8271636759637</v>
      </c>
      <c r="T19" s="36">
        <f t="shared" si="5"/>
        <v>3570.4050651332809</v>
      </c>
      <c r="U19" s="36">
        <f t="shared" si="5"/>
        <v>3820.3334196926098</v>
      </c>
      <c r="V19" s="36">
        <f t="shared" si="5"/>
        <v>4087.7567590710933</v>
      </c>
      <c r="W19" s="36">
        <f t="shared" ref="W19:AF19" si="6">W17-W18</f>
        <v>4373.8997322060695</v>
      </c>
      <c r="X19" s="36">
        <f t="shared" si="6"/>
        <v>4680.072713460494</v>
      </c>
      <c r="Y19" s="36">
        <f t="shared" si="6"/>
        <v>5007.6778034027284</v>
      </c>
      <c r="Z19" s="36">
        <f t="shared" si="6"/>
        <v>5358.2152496409199</v>
      </c>
      <c r="AA19" s="36">
        <f t="shared" si="6"/>
        <v>5733.2903171157841</v>
      </c>
      <c r="AB19" s="36">
        <f t="shared" si="6"/>
        <v>6134.6206393138891</v>
      </c>
      <c r="AC19" s="36">
        <f t="shared" si="6"/>
        <v>6564.0440840658612</v>
      </c>
      <c r="AD19" s="36">
        <f t="shared" si="6"/>
        <v>7023.527169950471</v>
      </c>
      <c r="AE19" s="36">
        <f t="shared" si="6"/>
        <v>7515.1740718470046</v>
      </c>
      <c r="AF19" s="36">
        <f t="shared" si="6"/>
        <v>8041.2362568762946</v>
      </c>
    </row>
    <row r="21" spans="2:32">
      <c r="B21" s="12" t="s">
        <v>47</v>
      </c>
      <c r="C21" s="65">
        <f>IS!C32</f>
        <v>9870.1310419668953</v>
      </c>
      <c r="D21" s="65">
        <f>IS!D32</f>
        <v>15944.200706085252</v>
      </c>
      <c r="E21" s="65">
        <f>IS!E32</f>
        <v>15919.210706085252</v>
      </c>
      <c r="F21" s="65">
        <f>IS!F32</f>
        <v>15893.720906085251</v>
      </c>
      <c r="G21" s="65">
        <f>IS!G32</f>
        <v>15867.721310085253</v>
      </c>
      <c r="H21" s="65">
        <f>IS!H32</f>
        <v>15841.201722165253</v>
      </c>
      <c r="I21" s="65">
        <f>IS!I32</f>
        <v>15814.151742486853</v>
      </c>
      <c r="J21" s="65">
        <f>IS!J32</f>
        <v>15786.560763214884</v>
      </c>
      <c r="K21" s="65">
        <f>IS!K32</f>
        <v>15758.417964357477</v>
      </c>
      <c r="L21" s="65">
        <f>IS!L32</f>
        <v>15729.712309522922</v>
      </c>
      <c r="M21" s="65">
        <f>IS!M32</f>
        <v>15700.432541591676</v>
      </c>
      <c r="N21" s="65">
        <f>IS!N32</f>
        <v>15670.567178301804</v>
      </c>
      <c r="O21" s="65">
        <f>IS!O32</f>
        <v>15640.104507746133</v>
      </c>
      <c r="P21" s="65">
        <f>IS!P32</f>
        <v>15609.032583779352</v>
      </c>
      <c r="Q21" s="65">
        <f>IS!Q32</f>
        <v>15577.339221333234</v>
      </c>
      <c r="R21" s="65">
        <f>IS!R32</f>
        <v>15545.011991638192</v>
      </c>
      <c r="S21" s="65">
        <f>IS!S32</f>
        <v>15512.038217349251</v>
      </c>
      <c r="T21" s="65">
        <f>IS!T32</f>
        <v>15478.404967574532</v>
      </c>
      <c r="U21" s="65">
        <f>IS!U32</f>
        <v>15444.099052804318</v>
      </c>
      <c r="V21" s="65">
        <f>IS!V32</f>
        <v>15409.107019738698</v>
      </c>
      <c r="W21" s="65">
        <f>IS!W32</f>
        <v>15373.415146011768</v>
      </c>
      <c r="X21" s="65">
        <f>IS!X32</f>
        <v>15337.009434810298</v>
      </c>
      <c r="Y21" s="65">
        <f>IS!Y32</f>
        <v>15299.875609384799</v>
      </c>
      <c r="Z21" s="65">
        <f>IS!Z32</f>
        <v>15261.999107450789</v>
      </c>
      <c r="AA21" s="65">
        <f>IS!AA32</f>
        <v>15223.365075478101</v>
      </c>
      <c r="AB21" s="65">
        <f>IS!AB32</f>
        <v>15183.958362865957</v>
      </c>
      <c r="AC21" s="65">
        <f>IS!AC32</f>
        <v>15143.763516001571</v>
      </c>
      <c r="AD21" s="65">
        <f>IS!AD32</f>
        <v>15102.764772199898</v>
      </c>
      <c r="AE21" s="65">
        <f>IS!AE32</f>
        <v>15060.946053522192</v>
      </c>
      <c r="AF21" s="65">
        <f>IS!AF32</f>
        <v>15018.290960470929</v>
      </c>
    </row>
    <row r="22" spans="2:32" s="540" customFormat="1">
      <c r="B22" s="540" t="s">
        <v>0</v>
      </c>
      <c r="C22" s="562">
        <f>C21/(C19+C18)</f>
        <v>1.1471397232807854</v>
      </c>
      <c r="D22" s="562">
        <f t="shared" ref="D22:AF22" si="7">D21/(D19+D18)</f>
        <v>1.8530884654057347</v>
      </c>
      <c r="E22" s="562">
        <f t="shared" si="7"/>
        <v>1.8501840438167105</v>
      </c>
      <c r="F22" s="562">
        <f t="shared" si="7"/>
        <v>1.8472215337959057</v>
      </c>
      <c r="G22" s="562">
        <f t="shared" si="7"/>
        <v>1.8441997735746851</v>
      </c>
      <c r="H22" s="562">
        <f t="shared" si="7"/>
        <v>1.8411175781490399</v>
      </c>
      <c r="I22" s="562">
        <f t="shared" si="7"/>
        <v>1.8379737388148818</v>
      </c>
      <c r="J22" s="562">
        <f t="shared" si="7"/>
        <v>1.8347670226940405</v>
      </c>
      <c r="K22" s="562">
        <f t="shared" si="7"/>
        <v>1.8314961722507823</v>
      </c>
      <c r="L22" s="562">
        <f t="shared" si="7"/>
        <v>1.828159904798659</v>
      </c>
      <c r="M22" s="562">
        <f t="shared" si="7"/>
        <v>1.8247569119974933</v>
      </c>
      <c r="N22" s="562">
        <f t="shared" si="7"/>
        <v>1.8212858593403043</v>
      </c>
      <c r="O22" s="562">
        <f t="shared" si="7"/>
        <v>1.8177453856299712</v>
      </c>
      <c r="P22" s="562">
        <f t="shared" si="7"/>
        <v>1.8141341024454318</v>
      </c>
      <c r="Q22" s="562">
        <f t="shared" si="7"/>
        <v>1.8104505935972015</v>
      </c>
      <c r="R22" s="562">
        <f t="shared" si="7"/>
        <v>1.8066934145720066</v>
      </c>
      <c r="S22" s="562">
        <f t="shared" si="7"/>
        <v>1.8028610919663077</v>
      </c>
      <c r="T22" s="562">
        <f t="shared" si="7"/>
        <v>1.798952122908495</v>
      </c>
      <c r="U22" s="562">
        <f t="shared" si="7"/>
        <v>1.7949649744695262</v>
      </c>
      <c r="V22" s="562">
        <f t="shared" si="7"/>
        <v>1.7908980830617776</v>
      </c>
      <c r="W22" s="562">
        <f t="shared" si="7"/>
        <v>1.7867498538258744</v>
      </c>
      <c r="X22" s="562">
        <f t="shared" si="7"/>
        <v>1.7825186600052529</v>
      </c>
      <c r="Y22" s="562">
        <f t="shared" si="7"/>
        <v>1.778202842308219</v>
      </c>
      <c r="Z22" s="562">
        <f t="shared" si="7"/>
        <v>1.7738007082572445</v>
      </c>
      <c r="AA22" s="562">
        <f t="shared" si="7"/>
        <v>1.7693105315252504</v>
      </c>
      <c r="AB22" s="562">
        <f t="shared" si="7"/>
        <v>1.7647305512586164</v>
      </c>
      <c r="AC22" s="562">
        <f t="shared" si="7"/>
        <v>1.7600589713866499</v>
      </c>
      <c r="AD22" s="562">
        <f t="shared" si="7"/>
        <v>1.7552939599172441</v>
      </c>
      <c r="AE22" s="562">
        <f t="shared" si="7"/>
        <v>1.7504336482184502</v>
      </c>
      <c r="AF22" s="562">
        <f t="shared" si="7"/>
        <v>1.74547613028568</v>
      </c>
    </row>
    <row r="23" spans="2:32">
      <c r="B23" s="12" t="s">
        <v>365</v>
      </c>
      <c r="C23" s="585">
        <f>AVERAGE(C22:AF22)</f>
        <v>1.7821555451186073</v>
      </c>
    </row>
    <row r="24" spans="2:32">
      <c r="B24" s="12" t="s">
        <v>33</v>
      </c>
      <c r="C24" s="585">
        <f>MIN(C22:AF22)</f>
        <v>1.1471397232807854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6" customWidth="1"/>
    <col min="28" max="34" width="13.28515625" customWidth="1"/>
  </cols>
  <sheetData>
    <row r="2" spans="1:60" ht="18.75">
      <c r="A2" s="85" t="str">
        <f>Assumptions!A3</f>
        <v>PROJECT NAME: Homestead, Florida</v>
      </c>
    </row>
    <row r="4" spans="1:60" ht="18.75">
      <c r="A4" s="60" t="s">
        <v>131</v>
      </c>
      <c r="B4" s="8"/>
      <c r="C4" s="8"/>
    </row>
    <row r="6" spans="1:60">
      <c r="C6" s="302">
        <v>0</v>
      </c>
      <c r="D6" s="205">
        <f>'Price_Technical Assumption'!D7</f>
        <v>0.66666666666666663</v>
      </c>
      <c r="E6" s="205">
        <f>'Price_Technical Assumption'!E7</f>
        <v>1.6666666666666665</v>
      </c>
      <c r="F6" s="205">
        <f>'Price_Technical Assumption'!F7</f>
        <v>2.6666666666666665</v>
      </c>
      <c r="G6" s="205">
        <f>'Price_Technical Assumption'!G7</f>
        <v>3.6666666666666665</v>
      </c>
      <c r="H6" s="205">
        <f>'Price_Technical Assumption'!H7</f>
        <v>4.6666666666666661</v>
      </c>
      <c r="I6" s="205">
        <f>'Price_Technical Assumption'!I7</f>
        <v>5.6666666666666661</v>
      </c>
      <c r="J6" s="205">
        <f>'Price_Technical Assumption'!J7</f>
        <v>6.6666666666666661</v>
      </c>
      <c r="K6" s="205">
        <f>'Price_Technical Assumption'!K7</f>
        <v>7.6666666666666661</v>
      </c>
      <c r="L6" s="205">
        <f>'Price_Technical Assumption'!L7</f>
        <v>8.6666666666666661</v>
      </c>
      <c r="M6" s="205">
        <f>'Price_Technical Assumption'!M7</f>
        <v>9.6666666666666661</v>
      </c>
      <c r="N6" s="205">
        <f>'Price_Technical Assumption'!N7</f>
        <v>10.666666666666666</v>
      </c>
      <c r="O6" s="205">
        <f>'Price_Technical Assumption'!O7</f>
        <v>11.666666666666666</v>
      </c>
      <c r="P6" s="205">
        <f>'Price_Technical Assumption'!P7</f>
        <v>12.666666666666666</v>
      </c>
      <c r="Q6" s="205">
        <f>'Price_Technical Assumption'!Q7</f>
        <v>13.666666666666666</v>
      </c>
      <c r="R6" s="205">
        <f>'Price_Technical Assumption'!R7</f>
        <v>14.666666666666666</v>
      </c>
      <c r="S6" s="205">
        <f>'Price_Technical Assumption'!S7</f>
        <v>15.666666666666666</v>
      </c>
      <c r="T6" s="205">
        <f>'Price_Technical Assumption'!T7</f>
        <v>16.666666666666664</v>
      </c>
      <c r="U6" s="205">
        <f>'Price_Technical Assumption'!U7</f>
        <v>17.666666666666664</v>
      </c>
      <c r="V6" s="205">
        <f>'Price_Technical Assumption'!V7</f>
        <v>18.666666666666664</v>
      </c>
      <c r="W6" s="205">
        <f>'Price_Technical Assumption'!W7</f>
        <v>19.666666666666664</v>
      </c>
      <c r="X6" s="205">
        <f>'Price_Technical Assumption'!X7</f>
        <v>20.666666666666664</v>
      </c>
      <c r="Y6" s="205">
        <f>'Price_Technical Assumption'!Y7</f>
        <v>21.666666666666664</v>
      </c>
      <c r="Z6" s="205">
        <f>'Price_Technical Assumption'!Z7</f>
        <v>22.666666666666664</v>
      </c>
      <c r="AA6" s="205">
        <f>'Price_Technical Assumption'!AA7</f>
        <v>23.666666666666664</v>
      </c>
      <c r="AB6" s="205">
        <f>'Price_Technical Assumption'!AB7</f>
        <v>24.666666666666664</v>
      </c>
      <c r="AC6" s="205">
        <f>'Price_Technical Assumption'!AC7</f>
        <v>25.666666666666664</v>
      </c>
      <c r="AD6" s="205">
        <f>'Price_Technical Assumption'!AD7</f>
        <v>26.666666666666664</v>
      </c>
      <c r="AE6" s="205">
        <f>'Price_Technical Assumption'!AE7</f>
        <v>27.666666666666664</v>
      </c>
      <c r="AF6" s="205">
        <f>'Price_Technical Assumption'!AF7</f>
        <v>28.666666666666664</v>
      </c>
      <c r="AG6" s="205">
        <f>'Price_Technical Assumption'!AG7</f>
        <v>29.666666666666664</v>
      </c>
      <c r="AH6" s="205">
        <f>'Price_Technical Assumption'!AH7</f>
        <v>30.666666666666664</v>
      </c>
    </row>
    <row r="7" spans="1:60" s="6" customFormat="1" ht="13.5" thickBot="1">
      <c r="A7" s="120" t="s">
        <v>38</v>
      </c>
      <c r="B7" s="7"/>
      <c r="C7" s="303" t="s">
        <v>239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4"/>
      <c r="D8" s="206">
        <f>Assumptions!H17+365.25*Assumptions!H18/12</f>
        <v>37255.5</v>
      </c>
      <c r="E8" s="206">
        <f t="shared" ref="E8:AH8" si="0">D8+365.25</f>
        <v>37620.75</v>
      </c>
      <c r="F8" s="206">
        <f t="shared" si="0"/>
        <v>37986</v>
      </c>
      <c r="G8" s="206">
        <f t="shared" si="0"/>
        <v>38351.25</v>
      </c>
      <c r="H8" s="206">
        <f t="shared" si="0"/>
        <v>38716.5</v>
      </c>
      <c r="I8" s="206">
        <f t="shared" si="0"/>
        <v>39081.75</v>
      </c>
      <c r="J8" s="206">
        <f t="shared" si="0"/>
        <v>39447</v>
      </c>
      <c r="K8" s="206">
        <f t="shared" si="0"/>
        <v>39812.25</v>
      </c>
      <c r="L8" s="206">
        <f t="shared" si="0"/>
        <v>40177.5</v>
      </c>
      <c r="M8" s="206">
        <f t="shared" si="0"/>
        <v>40542.75</v>
      </c>
      <c r="N8" s="206">
        <f t="shared" si="0"/>
        <v>40908</v>
      </c>
      <c r="O8" s="206">
        <f t="shared" si="0"/>
        <v>41273.25</v>
      </c>
      <c r="P8" s="206">
        <f t="shared" si="0"/>
        <v>41638.5</v>
      </c>
      <c r="Q8" s="206">
        <f t="shared" si="0"/>
        <v>42003.75</v>
      </c>
      <c r="R8" s="206">
        <f t="shared" si="0"/>
        <v>42369</v>
      </c>
      <c r="S8" s="206">
        <f t="shared" si="0"/>
        <v>42734.25</v>
      </c>
      <c r="T8" s="206">
        <f t="shared" si="0"/>
        <v>43099.5</v>
      </c>
      <c r="U8" s="206">
        <f t="shared" si="0"/>
        <v>43464.75</v>
      </c>
      <c r="V8" s="206">
        <f t="shared" si="0"/>
        <v>43830</v>
      </c>
      <c r="W8" s="206">
        <f t="shared" si="0"/>
        <v>44195.25</v>
      </c>
      <c r="X8" s="206">
        <f t="shared" si="0"/>
        <v>44560.5</v>
      </c>
      <c r="Y8" s="206">
        <f t="shared" si="0"/>
        <v>44925.75</v>
      </c>
      <c r="Z8" s="206">
        <f t="shared" si="0"/>
        <v>45291</v>
      </c>
      <c r="AA8" s="206">
        <f t="shared" si="0"/>
        <v>45656.25</v>
      </c>
      <c r="AB8" s="206">
        <f t="shared" si="0"/>
        <v>46021.5</v>
      </c>
      <c r="AC8" s="206">
        <f t="shared" si="0"/>
        <v>46386.75</v>
      </c>
      <c r="AD8" s="206">
        <f t="shared" si="0"/>
        <v>46752</v>
      </c>
      <c r="AE8" s="206">
        <f t="shared" si="0"/>
        <v>47117.25</v>
      </c>
      <c r="AF8" s="206">
        <f t="shared" si="0"/>
        <v>47482.5</v>
      </c>
      <c r="AG8" s="206">
        <f t="shared" si="0"/>
        <v>47847.75</v>
      </c>
      <c r="AH8" s="206">
        <f t="shared" si="0"/>
        <v>48213</v>
      </c>
    </row>
    <row r="9" spans="1:60">
      <c r="A9" s="1" t="s">
        <v>132</v>
      </c>
      <c r="B9" s="12"/>
      <c r="C9" s="305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5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06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  <c r="BB11" s="295"/>
      <c r="BC11" s="295"/>
      <c r="BD11" s="295"/>
      <c r="BE11" s="295"/>
      <c r="BF11" s="295"/>
      <c r="BG11" s="295"/>
      <c r="BH11" s="295"/>
    </row>
    <row r="12" spans="1:60">
      <c r="A12" s="23" t="s">
        <v>134</v>
      </c>
      <c r="B12" s="12"/>
      <c r="C12" s="306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  <c r="AX12" s="295"/>
      <c r="AY12" s="295"/>
      <c r="AZ12" s="295"/>
      <c r="BA12" s="295"/>
      <c r="BB12" s="295"/>
      <c r="BC12" s="295"/>
      <c r="BD12" s="295"/>
      <c r="BE12" s="295"/>
      <c r="BF12" s="295"/>
      <c r="BG12" s="295"/>
      <c r="BH12" s="295"/>
    </row>
    <row r="13" spans="1:60">
      <c r="A13" s="23" t="s">
        <v>135</v>
      </c>
      <c r="B13" s="12"/>
      <c r="C13" s="306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</row>
    <row r="14" spans="1:60">
      <c r="A14" s="23" t="s">
        <v>136</v>
      </c>
      <c r="B14" s="12"/>
      <c r="C14" s="306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</row>
    <row r="15" spans="1:60">
      <c r="A15" s="294" t="s">
        <v>137</v>
      </c>
      <c r="B15" s="58"/>
      <c r="C15" s="307">
        <v>0</v>
      </c>
      <c r="D15" s="294">
        <v>0</v>
      </c>
      <c r="E15" s="294">
        <v>0</v>
      </c>
      <c r="F15" s="294">
        <v>0</v>
      </c>
      <c r="G15" s="294">
        <v>0</v>
      </c>
      <c r="H15" s="294">
        <v>0</v>
      </c>
      <c r="I15" s="294">
        <v>0</v>
      </c>
      <c r="J15" s="294">
        <v>0</v>
      </c>
      <c r="K15" s="294">
        <v>0</v>
      </c>
      <c r="L15" s="294">
        <v>0</v>
      </c>
      <c r="M15" s="294">
        <v>0</v>
      </c>
      <c r="N15" s="294">
        <v>0</v>
      </c>
      <c r="O15" s="294">
        <v>0</v>
      </c>
      <c r="P15" s="294">
        <v>0</v>
      </c>
      <c r="Q15" s="294">
        <v>0</v>
      </c>
      <c r="R15" s="294">
        <v>0</v>
      </c>
      <c r="S15" s="294">
        <v>0</v>
      </c>
      <c r="T15" s="294">
        <v>0</v>
      </c>
      <c r="U15" s="294">
        <v>0</v>
      </c>
      <c r="V15" s="294">
        <v>0</v>
      </c>
      <c r="W15" s="294">
        <v>0</v>
      </c>
      <c r="X15" s="294">
        <v>0</v>
      </c>
      <c r="Y15" s="294">
        <v>0</v>
      </c>
      <c r="Z15" s="294">
        <v>0</v>
      </c>
      <c r="AA15" s="294">
        <v>0</v>
      </c>
      <c r="AB15" s="294">
        <v>0</v>
      </c>
      <c r="AC15" s="294">
        <v>0</v>
      </c>
      <c r="AD15" s="294">
        <v>0</v>
      </c>
      <c r="AE15" s="294">
        <v>0</v>
      </c>
      <c r="AF15" s="294">
        <v>0</v>
      </c>
      <c r="AG15" s="294">
        <v>0</v>
      </c>
      <c r="AH15" s="294">
        <v>0</v>
      </c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</row>
    <row r="16" spans="1:60">
      <c r="A16" s="23" t="s">
        <v>138</v>
      </c>
      <c r="B16" s="12"/>
      <c r="C16" s="306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5"/>
      <c r="AZ16" s="295"/>
      <c r="BA16" s="295"/>
      <c r="BB16" s="295"/>
      <c r="BC16" s="295"/>
      <c r="BD16" s="295"/>
      <c r="BE16" s="295"/>
      <c r="BF16" s="295"/>
      <c r="BG16" s="295"/>
      <c r="BH16" s="295"/>
    </row>
    <row r="17" spans="1:60">
      <c r="A17" s="13"/>
      <c r="B17" s="12"/>
      <c r="C17" s="306"/>
      <c r="D17" s="18"/>
      <c r="E17" s="18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148"/>
      <c r="AA17" s="148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95"/>
      <c r="BB17" s="295"/>
      <c r="BC17" s="295"/>
      <c r="BD17" s="295"/>
      <c r="BE17" s="295"/>
      <c r="BF17" s="295"/>
      <c r="BG17" s="295"/>
      <c r="BH17" s="295"/>
    </row>
    <row r="18" spans="1:60">
      <c r="A18" s="23" t="s">
        <v>139</v>
      </c>
      <c r="B18" s="12"/>
      <c r="C18" s="306">
        <f>Assumptions!C60</f>
        <v>152527.02015618578</v>
      </c>
      <c r="D18" s="18">
        <f>Depreciation!$B$48</f>
        <v>144317.05215618576</v>
      </c>
      <c r="E18" s="18">
        <f>Depreciation!$B$48</f>
        <v>144317.05215618576</v>
      </c>
      <c r="F18" s="18">
        <f>Depreciation!$B$48</f>
        <v>144317.05215618576</v>
      </c>
      <c r="G18" s="18">
        <f>Depreciation!$B$48</f>
        <v>144317.05215618576</v>
      </c>
      <c r="H18" s="18">
        <f>Depreciation!$B$48</f>
        <v>144317.05215618576</v>
      </c>
      <c r="I18" s="18">
        <f>Depreciation!$B$48</f>
        <v>144317.05215618576</v>
      </c>
      <c r="J18" s="18">
        <f>Depreciation!$B$48</f>
        <v>144317.05215618576</v>
      </c>
      <c r="K18" s="18">
        <f>Depreciation!$B$48</f>
        <v>144317.05215618576</v>
      </c>
      <c r="L18" s="18">
        <f>Depreciation!$B$48</f>
        <v>144317.05215618576</v>
      </c>
      <c r="M18" s="18">
        <f>Depreciation!$B$48</f>
        <v>144317.05215618576</v>
      </c>
      <c r="N18" s="18">
        <f>Depreciation!$B$48</f>
        <v>144317.05215618576</v>
      </c>
      <c r="O18" s="18">
        <f>Depreciation!$B$48</f>
        <v>144317.05215618576</v>
      </c>
      <c r="P18" s="18">
        <f>Depreciation!$B$48</f>
        <v>144317.05215618576</v>
      </c>
      <c r="Q18" s="18">
        <f>Depreciation!$B$48</f>
        <v>144317.05215618576</v>
      </c>
      <c r="R18" s="18">
        <f>Depreciation!$B$48</f>
        <v>144317.05215618576</v>
      </c>
      <c r="S18" s="18">
        <f>Depreciation!$B$48</f>
        <v>144317.05215618576</v>
      </c>
      <c r="T18" s="18">
        <f>Depreciation!$B$48</f>
        <v>144317.05215618576</v>
      </c>
      <c r="U18" s="18">
        <f>Depreciation!$B$48</f>
        <v>144317.05215618576</v>
      </c>
      <c r="V18" s="18">
        <f>Depreciation!$B$48</f>
        <v>144317.05215618576</v>
      </c>
      <c r="W18" s="18">
        <f>Depreciation!$B$48</f>
        <v>144317.05215618576</v>
      </c>
      <c r="X18" s="18">
        <f>Depreciation!$B$48</f>
        <v>144317.05215618576</v>
      </c>
      <c r="Y18" s="18">
        <f>Depreciation!$B$48</f>
        <v>144317.05215618576</v>
      </c>
      <c r="Z18" s="18">
        <f>Depreciation!$B$48</f>
        <v>144317.05215618576</v>
      </c>
      <c r="AA18" s="18">
        <f>Depreciation!$B$48</f>
        <v>144317.05215618576</v>
      </c>
      <c r="AB18" s="18">
        <f>Depreciation!$B$48</f>
        <v>144317.05215618576</v>
      </c>
      <c r="AC18" s="18">
        <f>Depreciation!$B$48</f>
        <v>144317.05215618576</v>
      </c>
      <c r="AD18" s="18">
        <f>Depreciation!$B$48</f>
        <v>144317.05215618576</v>
      </c>
      <c r="AE18" s="18">
        <f>Depreciation!$B$48</f>
        <v>144317.05215618576</v>
      </c>
      <c r="AF18" s="18">
        <f>Depreciation!$B$48</f>
        <v>144317.05215618576</v>
      </c>
      <c r="AG18" s="18">
        <f>Depreciation!$B$48</f>
        <v>144317.05215618576</v>
      </c>
      <c r="AH18" s="18">
        <f>Depreciation!$B$48</f>
        <v>144317.05215618576</v>
      </c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295"/>
      <c r="BB18" s="295"/>
      <c r="BC18" s="295"/>
      <c r="BD18" s="295"/>
      <c r="BE18" s="295"/>
      <c r="BF18" s="295"/>
      <c r="BG18" s="295"/>
      <c r="BH18" s="295"/>
    </row>
    <row r="19" spans="1:60">
      <c r="A19" s="23" t="s">
        <v>140</v>
      </c>
      <c r="B19" s="13"/>
      <c r="C19" s="308">
        <v>0</v>
      </c>
      <c r="D19" s="296">
        <f>SUM(Depreciation!$D$48:D48)</f>
        <v>3582.9674737903815</v>
      </c>
      <c r="E19" s="296">
        <f>SUM(Depreciation!$D$48:E48)</f>
        <v>8957.4186844759533</v>
      </c>
      <c r="F19" s="296">
        <f>SUM(Depreciation!$D$48:F48)</f>
        <v>14331.869895161526</v>
      </c>
      <c r="G19" s="296">
        <f>SUM(Depreciation!$D$48:G48)</f>
        <v>19706.321105847099</v>
      </c>
      <c r="H19" s="296">
        <f>SUM(Depreciation!$D$48:H48)</f>
        <v>25080.772316532672</v>
      </c>
      <c r="I19" s="296">
        <f>SUM(Depreciation!$D$48:I48)</f>
        <v>29635.663020551576</v>
      </c>
      <c r="J19" s="296">
        <f>SUM(Depreciation!$D$48:J48)</f>
        <v>33780.773471237146</v>
      </c>
      <c r="K19" s="296">
        <f>SUM(Depreciation!$D$48:K48)</f>
        <v>37925.883921922716</v>
      </c>
      <c r="L19" s="296">
        <f>SUM(Depreciation!$D$48:L48)</f>
        <v>42070.994372608286</v>
      </c>
      <c r="M19" s="296">
        <f>SUM(Depreciation!$D$48:M48)</f>
        <v>46216.104823293856</v>
      </c>
      <c r="N19" s="296">
        <f>SUM(Depreciation!$D$48:N48)</f>
        <v>50361.215273979426</v>
      </c>
      <c r="O19" s="296">
        <f>SUM(Depreciation!$D$48:O48)</f>
        <v>54506.325724664996</v>
      </c>
      <c r="P19" s="296">
        <f>SUM(Depreciation!$D$48:P48)</f>
        <v>58651.436175350565</v>
      </c>
      <c r="Q19" s="296">
        <f>SUM(Depreciation!$D$48:Q48)</f>
        <v>62796.546626036135</v>
      </c>
      <c r="R19" s="296">
        <f>SUM(Depreciation!$D$48:R48)</f>
        <v>66941.657076721705</v>
      </c>
      <c r="S19" s="296">
        <f>SUM(Depreciation!$D$48:S48)</f>
        <v>71086.767527407283</v>
      </c>
      <c r="T19" s="296">
        <f>SUM(Depreciation!$D$48:T48)</f>
        <v>75231.87797809286</v>
      </c>
      <c r="U19" s="296">
        <f>SUM(Depreciation!$D$48:U48)</f>
        <v>79376.988428778437</v>
      </c>
      <c r="V19" s="296">
        <f>SUM(Depreciation!$D$48:V48)</f>
        <v>83522.098879464014</v>
      </c>
      <c r="W19" s="296">
        <f>SUM(Depreciation!$D$48:W48)</f>
        <v>87667.209330149592</v>
      </c>
      <c r="X19" s="296">
        <f>SUM(Depreciation!$D$48:X48)</f>
        <v>91812.319780835169</v>
      </c>
      <c r="Y19" s="296">
        <f>SUM(Depreciation!$D$48:Y48)</f>
        <v>95957.430231520746</v>
      </c>
      <c r="Z19" s="296">
        <f>SUM(Depreciation!$D$48:Z48)</f>
        <v>100102.54068220632</v>
      </c>
      <c r="AA19" s="296">
        <f>SUM(Depreciation!$D$48:AA48)</f>
        <v>104247.6511328919</v>
      </c>
      <c r="AB19" s="296">
        <f>SUM(Depreciation!$D$48:AB48)</f>
        <v>108392.76158357748</v>
      </c>
      <c r="AC19" s="296">
        <f>SUM(Depreciation!$D$48:AC48)</f>
        <v>112537.87203426305</v>
      </c>
      <c r="AD19" s="296">
        <f>SUM(Depreciation!$D$48:AD48)</f>
        <v>116682.98248494863</v>
      </c>
      <c r="AE19" s="296">
        <f>SUM(Depreciation!$D$48:AE48)</f>
        <v>120828.09293563421</v>
      </c>
      <c r="AF19" s="296">
        <f>SUM(Depreciation!$D$48:AF48)</f>
        <v>124973.20338631979</v>
      </c>
      <c r="AG19" s="296">
        <f>SUM(Depreciation!$D$48:AG48)</f>
        <v>129118.31383700536</v>
      </c>
      <c r="AH19" s="296">
        <f>SUM(Depreciation!$D$48:AH48)</f>
        <v>130500.01732056722</v>
      </c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</row>
    <row r="20" spans="1:60">
      <c r="A20" s="23" t="s">
        <v>141</v>
      </c>
      <c r="B20" s="13"/>
      <c r="C20" s="309">
        <f>C18-C19</f>
        <v>152527.02015618578</v>
      </c>
      <c r="D20" s="23">
        <f>D18-D19</f>
        <v>140734.08468239539</v>
      </c>
      <c r="E20" s="23">
        <f t="shared" ref="E20:AH20" si="2">E18-E19</f>
        <v>135359.63347170979</v>
      </c>
      <c r="F20" s="23">
        <f t="shared" si="2"/>
        <v>129985.18226102424</v>
      </c>
      <c r="G20" s="23">
        <f t="shared" si="2"/>
        <v>124610.73105033865</v>
      </c>
      <c r="H20" s="23">
        <f t="shared" si="2"/>
        <v>119236.27983965309</v>
      </c>
      <c r="I20" s="23">
        <f t="shared" si="2"/>
        <v>114681.38913563418</v>
      </c>
      <c r="J20" s="23">
        <f t="shared" si="2"/>
        <v>110536.27868494861</v>
      </c>
      <c r="K20" s="23">
        <f t="shared" si="2"/>
        <v>106391.16823426305</v>
      </c>
      <c r="L20" s="23">
        <f t="shared" si="2"/>
        <v>102246.05778357747</v>
      </c>
      <c r="M20" s="23">
        <f t="shared" si="2"/>
        <v>98100.947332891898</v>
      </c>
      <c r="N20" s="23">
        <f t="shared" si="2"/>
        <v>93955.836882206335</v>
      </c>
      <c r="O20" s="23">
        <f t="shared" si="2"/>
        <v>89810.726431520772</v>
      </c>
      <c r="P20" s="23">
        <f t="shared" si="2"/>
        <v>85665.615980835195</v>
      </c>
      <c r="Q20" s="23">
        <f t="shared" si="2"/>
        <v>81520.505530149618</v>
      </c>
      <c r="R20" s="23">
        <f t="shared" si="2"/>
        <v>77375.395079464055</v>
      </c>
      <c r="S20" s="23">
        <f t="shared" si="2"/>
        <v>73230.284628778478</v>
      </c>
      <c r="T20" s="23">
        <f t="shared" si="2"/>
        <v>69085.174178092901</v>
      </c>
      <c r="U20" s="23">
        <f t="shared" si="2"/>
        <v>64940.063727407323</v>
      </c>
      <c r="V20" s="23">
        <f t="shared" si="2"/>
        <v>60794.953276721746</v>
      </c>
      <c r="W20" s="23">
        <f t="shared" si="2"/>
        <v>56649.842826036169</v>
      </c>
      <c r="X20" s="23">
        <f t="shared" si="2"/>
        <v>52504.732375350592</v>
      </c>
      <c r="Y20" s="23">
        <f t="shared" si="2"/>
        <v>48359.621924665014</v>
      </c>
      <c r="Z20" s="23">
        <f t="shared" si="2"/>
        <v>44214.511473979437</v>
      </c>
      <c r="AA20" s="23">
        <f t="shared" si="2"/>
        <v>40069.40102329386</v>
      </c>
      <c r="AB20" s="23">
        <f t="shared" si="2"/>
        <v>35924.290572608283</v>
      </c>
      <c r="AC20" s="23">
        <f t="shared" si="2"/>
        <v>31779.180121922705</v>
      </c>
      <c r="AD20" s="23">
        <f t="shared" si="2"/>
        <v>27634.069671237128</v>
      </c>
      <c r="AE20" s="23">
        <f t="shared" si="2"/>
        <v>23488.959220551551</v>
      </c>
      <c r="AF20" s="23">
        <f t="shared" si="2"/>
        <v>19343.848769865974</v>
      </c>
      <c r="AG20" s="23">
        <f t="shared" si="2"/>
        <v>15198.738319180397</v>
      </c>
      <c r="AH20" s="23">
        <f t="shared" si="2"/>
        <v>13817.034835618542</v>
      </c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D20" s="295"/>
      <c r="BE20" s="295"/>
      <c r="BF20" s="295"/>
      <c r="BG20" s="295"/>
      <c r="BH20" s="295"/>
    </row>
    <row r="21" spans="1:60">
      <c r="A21" s="23"/>
      <c r="B21" s="13"/>
      <c r="C21" s="309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</row>
    <row r="22" spans="1:60">
      <c r="A22" s="23" t="s">
        <v>142</v>
      </c>
      <c r="B22" s="13"/>
      <c r="C22" s="306">
        <f>Assumptions!$C$49</f>
        <v>8253.7180000000008</v>
      </c>
      <c r="D22" s="18">
        <f>Assumptions!$C$49</f>
        <v>8253.7180000000008</v>
      </c>
      <c r="E22" s="18">
        <f>Assumptions!$C$49</f>
        <v>8253.7180000000008</v>
      </c>
      <c r="F22" s="18">
        <f>Assumptions!$C$49</f>
        <v>8253.7180000000008</v>
      </c>
      <c r="G22" s="18">
        <f>Assumptions!$C$49</f>
        <v>8253.7180000000008</v>
      </c>
      <c r="H22" s="18">
        <f>Assumptions!$C$49</f>
        <v>8253.7180000000008</v>
      </c>
      <c r="I22" s="18">
        <f>Assumptions!$C$49</f>
        <v>8253.7180000000008</v>
      </c>
      <c r="J22" s="18">
        <f>Assumptions!$C$49</f>
        <v>8253.7180000000008</v>
      </c>
      <c r="K22" s="18">
        <f>Assumptions!$C$49</f>
        <v>8253.7180000000008</v>
      </c>
      <c r="L22" s="18">
        <f>Assumptions!$C$49</f>
        <v>8253.7180000000008</v>
      </c>
      <c r="M22" s="18">
        <f>Assumptions!$C$49</f>
        <v>8253.7180000000008</v>
      </c>
      <c r="N22" s="18">
        <f>Assumptions!$C$49</f>
        <v>8253.7180000000008</v>
      </c>
      <c r="O22" s="18">
        <f>Assumptions!$C$49</f>
        <v>8253.7180000000008</v>
      </c>
      <c r="P22" s="18">
        <f>Assumptions!$C$49</f>
        <v>8253.7180000000008</v>
      </c>
      <c r="Q22" s="18">
        <f>Assumptions!$C$49</f>
        <v>8253.7180000000008</v>
      </c>
      <c r="R22" s="18">
        <f>Assumptions!$C$49</f>
        <v>8253.7180000000008</v>
      </c>
      <c r="S22" s="18">
        <f>Assumptions!$C$49</f>
        <v>8253.7180000000008</v>
      </c>
      <c r="T22" s="18">
        <f>Assumptions!$C$49</f>
        <v>8253.7180000000008</v>
      </c>
      <c r="U22" s="18">
        <f>Assumptions!$C$49</f>
        <v>8253.7180000000008</v>
      </c>
      <c r="V22" s="18">
        <f>Assumptions!$C$49</f>
        <v>8253.7180000000008</v>
      </c>
      <c r="W22" s="18">
        <f>Assumptions!$C$49</f>
        <v>8253.7180000000008</v>
      </c>
      <c r="X22" s="18">
        <f>Assumptions!$C$49</f>
        <v>8253.7180000000008</v>
      </c>
      <c r="Y22" s="18">
        <f>Assumptions!$C$49</f>
        <v>8253.7180000000008</v>
      </c>
      <c r="Z22" s="18">
        <f>Assumptions!$C$49</f>
        <v>8253.7180000000008</v>
      </c>
      <c r="AA22" s="18">
        <f>Assumptions!$C$49</f>
        <v>8253.7180000000008</v>
      </c>
      <c r="AB22" s="18">
        <f>Assumptions!$C$49</f>
        <v>8253.7180000000008</v>
      </c>
      <c r="AC22" s="18">
        <f>Assumptions!$C$49</f>
        <v>8253.7180000000008</v>
      </c>
      <c r="AD22" s="18">
        <f>Assumptions!$C$49</f>
        <v>8253.7180000000008</v>
      </c>
      <c r="AE22" s="18">
        <f>Assumptions!$C$49</f>
        <v>8253.7180000000008</v>
      </c>
      <c r="AF22" s="18">
        <f>Assumptions!$C$49</f>
        <v>8253.7180000000008</v>
      </c>
      <c r="AG22" s="18">
        <f>Assumptions!$C$49</f>
        <v>8253.7180000000008</v>
      </c>
      <c r="AH22" s="18">
        <f>Assumptions!$C$49</f>
        <v>8253.7180000000008</v>
      </c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5"/>
      <c r="AZ22" s="295"/>
      <c r="BA22" s="295"/>
      <c r="BB22" s="295"/>
      <c r="BC22" s="295"/>
      <c r="BD22" s="295"/>
      <c r="BE22" s="295"/>
      <c r="BF22" s="295"/>
      <c r="BG22" s="295"/>
      <c r="BH22" s="295"/>
    </row>
    <row r="23" spans="1:60">
      <c r="A23" s="23" t="s">
        <v>143</v>
      </c>
      <c r="B23" s="13"/>
      <c r="C23" s="310">
        <v>0</v>
      </c>
      <c r="D23" s="297">
        <v>0</v>
      </c>
      <c r="E23" s="297">
        <v>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297">
        <v>0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7">
        <v>0</v>
      </c>
      <c r="U23" s="297">
        <v>0</v>
      </c>
      <c r="V23" s="297">
        <v>0</v>
      </c>
      <c r="W23" s="297">
        <v>0</v>
      </c>
      <c r="X23" s="297">
        <v>0</v>
      </c>
      <c r="Y23" s="297">
        <v>0</v>
      </c>
      <c r="Z23" s="297">
        <v>0</v>
      </c>
      <c r="AA23" s="297">
        <v>0</v>
      </c>
      <c r="AB23" s="297">
        <v>0</v>
      </c>
      <c r="AC23" s="297">
        <v>0</v>
      </c>
      <c r="AD23" s="297">
        <v>0</v>
      </c>
      <c r="AE23" s="297">
        <v>0</v>
      </c>
      <c r="AF23" s="297">
        <v>0</v>
      </c>
      <c r="AG23" s="297">
        <v>0</v>
      </c>
      <c r="AH23" s="297">
        <v>0</v>
      </c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5"/>
      <c r="AX23" s="295"/>
      <c r="AY23" s="295"/>
      <c r="AZ23" s="295"/>
      <c r="BA23" s="295"/>
      <c r="BB23" s="295"/>
      <c r="BC23" s="295"/>
      <c r="BD23" s="295"/>
      <c r="BE23" s="295"/>
      <c r="BF23" s="295"/>
      <c r="BG23" s="295"/>
      <c r="BH23" s="295"/>
    </row>
    <row r="24" spans="1:60">
      <c r="A24" s="13"/>
      <c r="B24" s="13"/>
      <c r="C24" s="309"/>
      <c r="D24" s="23"/>
      <c r="E24" s="23"/>
      <c r="F24" s="298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148"/>
      <c r="AA24" s="148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295"/>
      <c r="AZ24" s="295"/>
      <c r="BA24" s="295"/>
      <c r="BB24" s="295"/>
      <c r="BC24" s="295"/>
      <c r="BD24" s="295"/>
      <c r="BE24" s="295"/>
      <c r="BF24" s="295"/>
      <c r="BG24" s="295"/>
      <c r="BH24" s="295"/>
    </row>
    <row r="25" spans="1:60">
      <c r="A25" s="131" t="s">
        <v>144</v>
      </c>
      <c r="B25" s="13"/>
      <c r="C25" s="309">
        <f>SUM(C16,C20,C22,C23)</f>
        <v>160780.73815618578</v>
      </c>
      <c r="D25" s="23">
        <f>SUM(D16,D20,D22,D23)</f>
        <v>148987.80268239538</v>
      </c>
      <c r="E25" s="23">
        <f t="shared" ref="E25:AH25" si="3">SUM(E16,E20,E22,E23)</f>
        <v>143613.35147170979</v>
      </c>
      <c r="F25" s="23">
        <f t="shared" si="3"/>
        <v>138238.90026102425</v>
      </c>
      <c r="G25" s="23">
        <f t="shared" si="3"/>
        <v>132864.44905033865</v>
      </c>
      <c r="H25" s="23">
        <f t="shared" si="3"/>
        <v>127489.99783965308</v>
      </c>
      <c r="I25" s="23">
        <f t="shared" si="3"/>
        <v>122935.10713563417</v>
      </c>
      <c r="J25" s="23">
        <f t="shared" si="3"/>
        <v>118789.99668494862</v>
      </c>
      <c r="K25" s="23">
        <f t="shared" si="3"/>
        <v>114644.88623426305</v>
      </c>
      <c r="L25" s="23">
        <f t="shared" si="3"/>
        <v>110499.77578357747</v>
      </c>
      <c r="M25" s="23">
        <f t="shared" si="3"/>
        <v>106354.66533289189</v>
      </c>
      <c r="N25" s="23">
        <f t="shared" si="3"/>
        <v>102209.55488220634</v>
      </c>
      <c r="O25" s="23">
        <f t="shared" si="3"/>
        <v>98064.444431520766</v>
      </c>
      <c r="P25" s="23">
        <f t="shared" si="3"/>
        <v>93919.333980835188</v>
      </c>
      <c r="Q25" s="23">
        <f t="shared" si="3"/>
        <v>89774.223530149611</v>
      </c>
      <c r="R25" s="23">
        <f t="shared" si="3"/>
        <v>85629.113079464063</v>
      </c>
      <c r="S25" s="23">
        <f t="shared" si="3"/>
        <v>81484.002628778486</v>
      </c>
      <c r="T25" s="23">
        <f t="shared" si="3"/>
        <v>77338.892178092909</v>
      </c>
      <c r="U25" s="23">
        <f t="shared" si="3"/>
        <v>73193.781727407331</v>
      </c>
      <c r="V25" s="23">
        <f t="shared" si="3"/>
        <v>69048.671276721754</v>
      </c>
      <c r="W25" s="23">
        <f t="shared" si="3"/>
        <v>64903.56082603617</v>
      </c>
      <c r="X25" s="23">
        <f t="shared" si="3"/>
        <v>60758.450375350592</v>
      </c>
      <c r="Y25" s="23">
        <f t="shared" si="3"/>
        <v>56613.339924665015</v>
      </c>
      <c r="Z25" s="23">
        <f t="shared" si="3"/>
        <v>52468.229473979438</v>
      </c>
      <c r="AA25" s="23">
        <f t="shared" si="3"/>
        <v>48323.119023293861</v>
      </c>
      <c r="AB25" s="23">
        <f t="shared" si="3"/>
        <v>44178.008572608283</v>
      </c>
      <c r="AC25" s="23">
        <f t="shared" si="3"/>
        <v>40032.898121922706</v>
      </c>
      <c r="AD25" s="23">
        <f t="shared" si="3"/>
        <v>35887.787671237129</v>
      </c>
      <c r="AE25" s="23">
        <f t="shared" si="3"/>
        <v>31742.677220551552</v>
      </c>
      <c r="AF25" s="23">
        <f t="shared" si="3"/>
        <v>27597.566769865974</v>
      </c>
      <c r="AG25" s="23">
        <f t="shared" si="3"/>
        <v>23452.456319180397</v>
      </c>
      <c r="AH25" s="23">
        <f t="shared" si="3"/>
        <v>22070.752835618543</v>
      </c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295"/>
      <c r="AW25" s="295"/>
      <c r="AX25" s="295"/>
      <c r="AY25" s="295"/>
      <c r="AZ25" s="295"/>
      <c r="BA25" s="295"/>
      <c r="BB25" s="295"/>
      <c r="BC25" s="295"/>
      <c r="BD25" s="295"/>
      <c r="BE25" s="295"/>
      <c r="BF25" s="295"/>
      <c r="BG25" s="295"/>
      <c r="BH25" s="295"/>
    </row>
    <row r="26" spans="1:60">
      <c r="A26" s="13"/>
      <c r="B26" s="13"/>
      <c r="C26" s="309"/>
      <c r="D26" s="23"/>
      <c r="E26" s="23"/>
      <c r="F26" s="298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148"/>
      <c r="AA26" s="148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295"/>
      <c r="AW26" s="295"/>
      <c r="AX26" s="295"/>
      <c r="AY26" s="295"/>
      <c r="AZ26" s="295"/>
      <c r="BA26" s="295"/>
      <c r="BB26" s="295"/>
      <c r="BC26" s="295"/>
      <c r="BD26" s="295"/>
      <c r="BE26" s="295"/>
      <c r="BF26" s="295"/>
      <c r="BG26" s="295"/>
      <c r="BH26" s="295"/>
    </row>
    <row r="27" spans="1:60">
      <c r="A27" s="13"/>
      <c r="B27" s="13"/>
      <c r="C27" s="309"/>
      <c r="D27" s="23"/>
      <c r="E27" s="23"/>
      <c r="F27" s="298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148"/>
      <c r="AA27" s="148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295"/>
      <c r="AW27" s="295"/>
      <c r="AX27" s="295"/>
      <c r="AY27" s="295"/>
      <c r="AZ27" s="295"/>
      <c r="BA27" s="295"/>
      <c r="BB27" s="295"/>
      <c r="BC27" s="295"/>
      <c r="BD27" s="295"/>
      <c r="BE27" s="295"/>
      <c r="BF27" s="295"/>
      <c r="BG27" s="295"/>
      <c r="BH27" s="295"/>
    </row>
    <row r="28" spans="1:60">
      <c r="A28" s="131" t="s">
        <v>145</v>
      </c>
      <c r="B28" s="13"/>
      <c r="C28" s="309"/>
      <c r="D28" s="23"/>
      <c r="E28" s="23"/>
      <c r="F28" s="298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148"/>
      <c r="AA28" s="148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295"/>
      <c r="AW28" s="295"/>
      <c r="AX28" s="295"/>
      <c r="AY28" s="295"/>
      <c r="AZ28" s="295"/>
      <c r="BA28" s="295"/>
      <c r="BB28" s="295"/>
      <c r="BC28" s="295"/>
      <c r="BD28" s="295"/>
      <c r="BE28" s="295"/>
      <c r="BF28" s="295"/>
      <c r="BG28" s="295"/>
      <c r="BH28" s="295"/>
    </row>
    <row r="29" spans="1:60">
      <c r="A29" s="131"/>
      <c r="B29" s="13"/>
      <c r="C29" s="309"/>
      <c r="D29" s="23"/>
      <c r="E29" s="23"/>
      <c r="F29" s="298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148"/>
      <c r="AA29" s="148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95"/>
      <c r="BB29" s="295"/>
      <c r="BC29" s="295"/>
      <c r="BD29" s="295"/>
      <c r="BE29" s="295"/>
      <c r="BF29" s="295"/>
      <c r="BG29" s="295"/>
      <c r="BH29" s="295"/>
    </row>
    <row r="30" spans="1:60">
      <c r="A30" s="23" t="s">
        <v>146</v>
      </c>
      <c r="C30" s="306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5"/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95"/>
      <c r="BB30" s="295"/>
      <c r="BC30" s="295"/>
      <c r="BD30" s="295"/>
      <c r="BE30" s="295"/>
      <c r="BF30" s="295"/>
      <c r="BG30" s="295"/>
      <c r="BH30" s="295"/>
    </row>
    <row r="31" spans="1:60">
      <c r="A31" s="23" t="s">
        <v>147</v>
      </c>
      <c r="C31" s="306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95"/>
      <c r="BB31" s="295"/>
      <c r="BC31" s="295"/>
      <c r="BD31" s="295"/>
      <c r="BE31" s="295"/>
      <c r="BF31" s="295"/>
      <c r="BG31" s="295"/>
      <c r="BH31" s="295"/>
    </row>
    <row r="32" spans="1:60">
      <c r="A32" s="23" t="s">
        <v>148</v>
      </c>
      <c r="C32" s="309">
        <v>0</v>
      </c>
      <c r="D32" s="23" t="e">
        <f>C32+('CF &amp; Returns'!#REF!+'CF &amp; Returns'!#REF!)+(IS!C42+IS!C43)</f>
        <v>#REF!</v>
      </c>
      <c r="E32" s="23" t="e">
        <f>D32+('CF &amp; Returns'!#REF!+'CF &amp; Returns'!#REF!)+(IS!D42+IS!D43)</f>
        <v>#REF!</v>
      </c>
      <c r="F32" s="23" t="e">
        <f>E32+('CF &amp; Returns'!#REF!+'CF &amp; Returns'!#REF!)+(IS!E42+IS!E43)</f>
        <v>#REF!</v>
      </c>
      <c r="G32" s="23" t="e">
        <f>F32+('CF &amp; Returns'!#REF!+'CF &amp; Returns'!#REF!)+(IS!F42+IS!F43)</f>
        <v>#REF!</v>
      </c>
      <c r="H32" s="23" t="e">
        <f>G32+('CF &amp; Returns'!#REF!+'CF &amp; Returns'!#REF!)+(IS!G42+IS!G43)</f>
        <v>#REF!</v>
      </c>
      <c r="I32" s="23" t="e">
        <f>H32+('CF &amp; Returns'!#REF!+'CF &amp; Returns'!#REF!)+(IS!H42+IS!H43)</f>
        <v>#REF!</v>
      </c>
      <c r="J32" s="23" t="e">
        <f>I32+('CF &amp; Returns'!#REF!+'CF &amp; Returns'!#REF!)+(IS!I42+IS!I43)</f>
        <v>#REF!</v>
      </c>
      <c r="K32" s="23" t="e">
        <f>J32+('CF &amp; Returns'!#REF!+'CF &amp; Returns'!#REF!)+(IS!J42+IS!J43)</f>
        <v>#REF!</v>
      </c>
      <c r="L32" s="23" t="e">
        <f>K32+('CF &amp; Returns'!#REF!+'CF &amp; Returns'!#REF!)+(IS!K42+IS!K43)</f>
        <v>#REF!</v>
      </c>
      <c r="M32" s="23" t="e">
        <f>L32+('CF &amp; Returns'!#REF!+'CF &amp; Returns'!#REF!)+(IS!L42+IS!L43)</f>
        <v>#REF!</v>
      </c>
      <c r="N32" s="23" t="e">
        <f>M32+('CF &amp; Returns'!#REF!+'CF &amp; Returns'!#REF!)+(IS!M42+IS!M43)</f>
        <v>#REF!</v>
      </c>
      <c r="O32" s="23" t="e">
        <f>N32+('CF &amp; Returns'!#REF!+'CF &amp; Returns'!#REF!)+(IS!N42+IS!N43)</f>
        <v>#REF!</v>
      </c>
      <c r="P32" s="23" t="e">
        <f>O32+('CF &amp; Returns'!#REF!+'CF &amp; Returns'!#REF!)+(IS!O42+IS!O43)</f>
        <v>#REF!</v>
      </c>
      <c r="Q32" s="23" t="e">
        <f>P32+('CF &amp; Returns'!#REF!+'CF &amp; Returns'!#REF!)+(IS!P42+IS!P43)</f>
        <v>#REF!</v>
      </c>
      <c r="R32" s="23" t="e">
        <f>Q32+('CF &amp; Returns'!#REF!+'CF &amp; Returns'!#REF!)+(IS!Q42+IS!Q43)</f>
        <v>#REF!</v>
      </c>
      <c r="S32" s="23" t="e">
        <f>R32+('CF &amp; Returns'!#REF!+'CF &amp; Returns'!#REF!)+(IS!R42+IS!R43)</f>
        <v>#REF!</v>
      </c>
      <c r="T32" s="23" t="e">
        <f>S32+('CF &amp; Returns'!#REF!+'CF &amp; Returns'!#REF!)+(IS!S42+IS!S43)</f>
        <v>#REF!</v>
      </c>
      <c r="U32" s="23" t="e">
        <f>T32+('CF &amp; Returns'!#REF!+'CF &amp; Returns'!#REF!)+(IS!T42+IS!T43)</f>
        <v>#REF!</v>
      </c>
      <c r="V32" s="23" t="e">
        <f>U32+('CF &amp; Returns'!#REF!+'CF &amp; Returns'!#REF!)+(IS!U42+IS!U43)</f>
        <v>#REF!</v>
      </c>
      <c r="W32" s="23" t="e">
        <f>V32+('CF &amp; Returns'!#REF!+'CF &amp; Returns'!#REF!)+(IS!V42+IS!V43)</f>
        <v>#REF!</v>
      </c>
      <c r="X32" s="23" t="e">
        <f>W32+('CF &amp; Returns'!#REF!+'CF &amp; Returns'!#REF!)+(IS!W42+IS!W43)</f>
        <v>#REF!</v>
      </c>
      <c r="Y32" s="23" t="e">
        <f>X32+('CF &amp; Returns'!#REF!+'CF &amp; Returns'!#REF!)+(IS!X42+IS!X43)</f>
        <v>#REF!</v>
      </c>
      <c r="Z32" s="23" t="e">
        <f>Y32+('CF &amp; Returns'!#REF!+'CF &amp; Returns'!#REF!)+(IS!Y42+IS!Y43)</f>
        <v>#REF!</v>
      </c>
      <c r="AA32" s="23" t="e">
        <f>Z32+('CF &amp; Returns'!#REF!+'CF &amp; Returns'!#REF!)+(IS!Z42+IS!Z43)</f>
        <v>#REF!</v>
      </c>
      <c r="AB32" s="23" t="e">
        <f>AA32+('CF &amp; Returns'!#REF!+'CF &amp; Returns'!#REF!)+(IS!AA42+IS!AA43)</f>
        <v>#REF!</v>
      </c>
      <c r="AC32" s="23" t="e">
        <f>AB32+('CF &amp; Returns'!#REF!+'CF &amp; Returns'!#REF!)+(IS!AB42+IS!AB43)</f>
        <v>#REF!</v>
      </c>
      <c r="AD32" s="23" t="e">
        <f>AC32+('CF &amp; Returns'!#REF!+'CF &amp; Returns'!#REF!)+(IS!AC42+IS!AC43)</f>
        <v>#REF!</v>
      </c>
      <c r="AE32" s="23" t="e">
        <f>AD32+('CF &amp; Returns'!#REF!+'CF &amp; Returns'!#REF!)+(IS!AD42+IS!AD43)</f>
        <v>#REF!</v>
      </c>
      <c r="AF32" s="23" t="e">
        <f>AE32+('CF &amp; Returns'!#REF!+'CF &amp; Returns'!#REF!)+(IS!AE42+IS!AE43)</f>
        <v>#REF!</v>
      </c>
      <c r="AG32" s="23" t="e">
        <f>AF32+('CF &amp; Returns'!#REF!+'CF &amp; Returns'!#REF!)+(IS!AF42+IS!AF43)</f>
        <v>#REF!</v>
      </c>
      <c r="AH32" s="23" t="e">
        <f>AG32+('CF &amp; Returns'!#REF!+'CF &amp; Returns'!#REF!)+(IS!AG42+IS!AG43)</f>
        <v>#REF!</v>
      </c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295"/>
      <c r="AW32" s="295"/>
      <c r="AX32" s="295"/>
      <c r="AY32" s="295"/>
      <c r="AZ32" s="295"/>
      <c r="BA32" s="295"/>
      <c r="BB32" s="295"/>
      <c r="BC32" s="295"/>
      <c r="BD32" s="295"/>
      <c r="BE32" s="295"/>
      <c r="BF32" s="295"/>
      <c r="BG32" s="295"/>
      <c r="BH32" s="295"/>
    </row>
    <row r="33" spans="1:60">
      <c r="A33" s="23" t="s">
        <v>149</v>
      </c>
      <c r="C33" s="306">
        <v>0</v>
      </c>
      <c r="D33" s="18">
        <f>Assumptions!$C$49</f>
        <v>8253.7180000000008</v>
      </c>
      <c r="E33" s="18">
        <f>Assumptions!$C$49</f>
        <v>8253.7180000000008</v>
      </c>
      <c r="F33" s="18">
        <f>Assumptions!$C$49</f>
        <v>8253.7180000000008</v>
      </c>
      <c r="G33" s="18">
        <f>Assumptions!$C$49</f>
        <v>8253.7180000000008</v>
      </c>
      <c r="H33" s="18">
        <f>Assumptions!$C$49</f>
        <v>8253.7180000000008</v>
      </c>
      <c r="I33" s="18">
        <f>Assumptions!$C$49</f>
        <v>8253.7180000000008</v>
      </c>
      <c r="J33" s="18">
        <f>Assumptions!$C$49</f>
        <v>8253.7180000000008</v>
      </c>
      <c r="K33" s="18">
        <f>Assumptions!$C$49</f>
        <v>8253.7180000000008</v>
      </c>
      <c r="L33" s="18">
        <f>Assumptions!$C$49</f>
        <v>8253.7180000000008</v>
      </c>
      <c r="M33" s="18">
        <f>Assumptions!$C$49</f>
        <v>8253.7180000000008</v>
      </c>
      <c r="N33" s="18">
        <f>Assumptions!$C$49</f>
        <v>8253.7180000000008</v>
      </c>
      <c r="O33" s="18">
        <f>Assumptions!$C$49</f>
        <v>8253.7180000000008</v>
      </c>
      <c r="P33" s="18">
        <f>Assumptions!$C$49</f>
        <v>8253.7180000000008</v>
      </c>
      <c r="Q33" s="18">
        <f>Assumptions!$C$49</f>
        <v>8253.7180000000008</v>
      </c>
      <c r="R33" s="18">
        <f>Assumptions!$C$49</f>
        <v>8253.7180000000008</v>
      </c>
      <c r="S33" s="18">
        <f>Assumptions!$C$49</f>
        <v>8253.7180000000008</v>
      </c>
      <c r="T33" s="18">
        <f>Assumptions!$C$49</f>
        <v>8253.7180000000008</v>
      </c>
      <c r="U33" s="18">
        <f>Assumptions!$C$49</f>
        <v>8253.7180000000008</v>
      </c>
      <c r="V33" s="18">
        <f>Assumptions!$C$49</f>
        <v>8253.7180000000008</v>
      </c>
      <c r="W33" s="18">
        <f>Assumptions!$C$49</f>
        <v>8253.7180000000008</v>
      </c>
      <c r="X33" s="18">
        <f>Assumptions!$C$49</f>
        <v>8253.7180000000008</v>
      </c>
      <c r="Y33" s="18">
        <f>Assumptions!$C$49</f>
        <v>8253.7180000000008</v>
      </c>
      <c r="Z33" s="18">
        <f>Assumptions!$C$49</f>
        <v>8253.7180000000008</v>
      </c>
      <c r="AA33" s="18">
        <f>Assumptions!$C$49</f>
        <v>8253.7180000000008</v>
      </c>
      <c r="AB33" s="18">
        <f>Assumptions!$C$49</f>
        <v>8253.7180000000008</v>
      </c>
      <c r="AC33" s="18">
        <f>Assumptions!$C$49</f>
        <v>8253.7180000000008</v>
      </c>
      <c r="AD33" s="18">
        <f>Assumptions!$C$49</f>
        <v>8253.7180000000008</v>
      </c>
      <c r="AE33" s="18">
        <f>Assumptions!$C$49</f>
        <v>8253.7180000000008</v>
      </c>
      <c r="AF33" s="18">
        <f>Assumptions!$C$49</f>
        <v>8253.7180000000008</v>
      </c>
      <c r="AG33" s="18">
        <f>Assumptions!$C$49</f>
        <v>8253.7180000000008</v>
      </c>
      <c r="AH33" s="18">
        <f>Assumptions!$C$49</f>
        <v>8253.7180000000008</v>
      </c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295"/>
      <c r="AW33" s="295"/>
      <c r="AX33" s="295"/>
      <c r="AY33" s="295"/>
      <c r="AZ33" s="295"/>
      <c r="BA33" s="295"/>
      <c r="BB33" s="295"/>
      <c r="BC33" s="295"/>
      <c r="BD33" s="295"/>
      <c r="BE33" s="295"/>
      <c r="BF33" s="295"/>
      <c r="BG33" s="295"/>
      <c r="BH33" s="295"/>
    </row>
    <row r="34" spans="1:60">
      <c r="A34" s="23" t="s">
        <v>150</v>
      </c>
      <c r="C34" s="309">
        <f>Assumptions!C12</f>
        <v>106768.91410933004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5"/>
      <c r="AJ34" s="295"/>
      <c r="AK34" s="295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295"/>
      <c r="AW34" s="295"/>
      <c r="AX34" s="295"/>
      <c r="AY34" s="295"/>
      <c r="AZ34" s="295"/>
      <c r="BA34" s="295"/>
      <c r="BB34" s="295"/>
      <c r="BC34" s="295"/>
      <c r="BD34" s="295"/>
      <c r="BE34" s="295"/>
      <c r="BF34" s="295"/>
      <c r="BG34" s="295"/>
      <c r="BH34" s="295"/>
    </row>
    <row r="35" spans="1:60">
      <c r="A35" s="23" t="s">
        <v>151</v>
      </c>
      <c r="C35" s="308">
        <v>0</v>
      </c>
      <c r="D35" s="296">
        <v>0</v>
      </c>
      <c r="E35" s="296">
        <v>0</v>
      </c>
      <c r="F35" s="299">
        <v>0</v>
      </c>
      <c r="G35" s="300">
        <v>0</v>
      </c>
      <c r="H35" s="300">
        <v>0</v>
      </c>
      <c r="I35" s="300">
        <v>0</v>
      </c>
      <c r="J35" s="300">
        <v>0</v>
      </c>
      <c r="K35" s="300">
        <v>0</v>
      </c>
      <c r="L35" s="300">
        <v>0</v>
      </c>
      <c r="M35" s="300">
        <v>0</v>
      </c>
      <c r="N35" s="300">
        <v>0</v>
      </c>
      <c r="O35" s="300">
        <v>0</v>
      </c>
      <c r="P35" s="300">
        <v>0</v>
      </c>
      <c r="Q35" s="300">
        <v>0</v>
      </c>
      <c r="R35" s="300">
        <v>0</v>
      </c>
      <c r="S35" s="300">
        <v>0</v>
      </c>
      <c r="T35" s="300">
        <v>0</v>
      </c>
      <c r="U35" s="300">
        <v>0</v>
      </c>
      <c r="V35" s="300">
        <v>0</v>
      </c>
      <c r="W35" s="300">
        <v>0</v>
      </c>
      <c r="X35" s="300">
        <v>0</v>
      </c>
      <c r="Y35" s="300">
        <v>0</v>
      </c>
      <c r="Z35" s="301">
        <v>0</v>
      </c>
      <c r="AA35" s="301">
        <v>0</v>
      </c>
      <c r="AB35" s="300">
        <v>0</v>
      </c>
      <c r="AC35" s="300">
        <v>0</v>
      </c>
      <c r="AD35" s="300">
        <v>0</v>
      </c>
      <c r="AE35" s="300">
        <v>0</v>
      </c>
      <c r="AF35" s="300">
        <v>0</v>
      </c>
      <c r="AG35" s="300">
        <v>0</v>
      </c>
      <c r="AH35" s="300">
        <v>0</v>
      </c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295"/>
      <c r="AW35" s="295"/>
      <c r="AX35" s="295"/>
      <c r="AY35" s="295"/>
      <c r="AZ35" s="295"/>
      <c r="BA35" s="295"/>
      <c r="BB35" s="295"/>
      <c r="BC35" s="295"/>
      <c r="BD35" s="295"/>
      <c r="BE35" s="295"/>
      <c r="BF35" s="295"/>
      <c r="BG35" s="295"/>
      <c r="BH35" s="295"/>
    </row>
    <row r="36" spans="1:60">
      <c r="A36" s="23"/>
      <c r="C36" s="309"/>
      <c r="D36" s="23"/>
      <c r="E36" s="23"/>
      <c r="F36" s="298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148"/>
      <c r="AA36" s="148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295"/>
      <c r="AW36" s="295"/>
      <c r="AX36" s="295"/>
      <c r="AY36" s="295"/>
      <c r="AZ36" s="295"/>
      <c r="BA36" s="295"/>
      <c r="BB36" s="295"/>
      <c r="BC36" s="295"/>
      <c r="BD36" s="295"/>
      <c r="BE36" s="295"/>
      <c r="BF36" s="295"/>
      <c r="BG36" s="295"/>
      <c r="BH36" s="295"/>
    </row>
    <row r="37" spans="1:60">
      <c r="A37" s="131" t="s">
        <v>152</v>
      </c>
      <c r="B37" s="13"/>
      <c r="C37" s="309">
        <f>SUM(C30:C35)</f>
        <v>106768.91410933004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295"/>
      <c r="AJ37" s="295"/>
      <c r="AK37" s="295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295"/>
      <c r="AW37" s="295"/>
      <c r="AX37" s="295"/>
      <c r="AY37" s="295"/>
      <c r="AZ37" s="295"/>
      <c r="BA37" s="295"/>
      <c r="BB37" s="295"/>
      <c r="BC37" s="295"/>
      <c r="BD37" s="295"/>
      <c r="BE37" s="295"/>
      <c r="BF37" s="295"/>
      <c r="BG37" s="295"/>
      <c r="BH37" s="295"/>
    </row>
    <row r="38" spans="1:60">
      <c r="A38" s="23"/>
      <c r="B38" s="13"/>
      <c r="C38" s="309"/>
      <c r="D38" s="23"/>
      <c r="E38" s="23"/>
      <c r="F38" s="298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148"/>
      <c r="AA38" s="148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95"/>
      <c r="AO38" s="295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95"/>
      <c r="BB38" s="295"/>
      <c r="BC38" s="295"/>
      <c r="BD38" s="295"/>
      <c r="BE38" s="295"/>
      <c r="BF38" s="295"/>
      <c r="BG38" s="295"/>
      <c r="BH38" s="295"/>
    </row>
    <row r="39" spans="1:60">
      <c r="A39" s="131" t="s">
        <v>153</v>
      </c>
      <c r="B39" s="13"/>
      <c r="C39" s="309"/>
      <c r="D39" s="23"/>
      <c r="E39" s="23"/>
      <c r="F39" s="298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148"/>
      <c r="AA39" s="148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95"/>
      <c r="BB39" s="295"/>
      <c r="BC39" s="295"/>
      <c r="BD39" s="295"/>
      <c r="BE39" s="295"/>
      <c r="BF39" s="295"/>
      <c r="BG39" s="295"/>
      <c r="BH39" s="295"/>
    </row>
    <row r="40" spans="1:60">
      <c r="A40" s="131"/>
      <c r="B40" s="13"/>
      <c r="C40" s="309"/>
      <c r="D40" s="23"/>
      <c r="E40" s="23"/>
      <c r="F40" s="298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148"/>
      <c r="AA40" s="148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95"/>
      <c r="BB40" s="295"/>
      <c r="BC40" s="295"/>
      <c r="BD40" s="295"/>
      <c r="BE40" s="295"/>
      <c r="BF40" s="295"/>
      <c r="BG40" s="295"/>
      <c r="BH40" s="295"/>
    </row>
    <row r="41" spans="1:60">
      <c r="A41" s="23" t="s">
        <v>154</v>
      </c>
      <c r="C41" s="309">
        <f>Assumptions!$C$11</f>
        <v>45758.106046855741</v>
      </c>
      <c r="D41" s="23">
        <f>Assumptions!$C$11</f>
        <v>45758.106046855741</v>
      </c>
      <c r="E41" s="23">
        <f>Assumptions!$C$11</f>
        <v>45758.106046855741</v>
      </c>
      <c r="F41" s="23">
        <f>Assumptions!$C$11</f>
        <v>45758.106046855741</v>
      </c>
      <c r="G41" s="23">
        <f>Assumptions!$C$11</f>
        <v>45758.106046855741</v>
      </c>
      <c r="H41" s="23">
        <f>Assumptions!$C$11</f>
        <v>45758.106046855741</v>
      </c>
      <c r="I41" s="23">
        <f>Assumptions!$C$11</f>
        <v>45758.106046855741</v>
      </c>
      <c r="J41" s="23">
        <f>Assumptions!$C$11</f>
        <v>45758.106046855741</v>
      </c>
      <c r="K41" s="23">
        <f>Assumptions!$C$11</f>
        <v>45758.106046855741</v>
      </c>
      <c r="L41" s="23">
        <f>Assumptions!$C$11</f>
        <v>45758.106046855741</v>
      </c>
      <c r="M41" s="23">
        <f>Assumptions!$C$11</f>
        <v>45758.106046855741</v>
      </c>
      <c r="N41" s="23">
        <f>Assumptions!$C$11</f>
        <v>45758.106046855741</v>
      </c>
      <c r="O41" s="23">
        <f>Assumptions!$C$11</f>
        <v>45758.106046855741</v>
      </c>
      <c r="P41" s="23">
        <f>Assumptions!$C$11</f>
        <v>45758.106046855741</v>
      </c>
      <c r="Q41" s="23">
        <f>Assumptions!$C$11</f>
        <v>45758.106046855741</v>
      </c>
      <c r="R41" s="23">
        <f>Assumptions!$C$11</f>
        <v>45758.106046855741</v>
      </c>
      <c r="S41" s="23">
        <f>Assumptions!$C$11</f>
        <v>45758.106046855741</v>
      </c>
      <c r="T41" s="23">
        <f>Assumptions!$C$11</f>
        <v>45758.106046855741</v>
      </c>
      <c r="U41" s="23">
        <f>Assumptions!$C$11</f>
        <v>45758.106046855741</v>
      </c>
      <c r="V41" s="23">
        <f>Assumptions!$C$11</f>
        <v>45758.106046855741</v>
      </c>
      <c r="W41" s="23">
        <f>Assumptions!$C$11</f>
        <v>45758.106046855741</v>
      </c>
      <c r="X41" s="23">
        <f>Assumptions!$C$11</f>
        <v>45758.106046855741</v>
      </c>
      <c r="Y41" s="23">
        <f>Assumptions!$C$11</f>
        <v>45758.106046855741</v>
      </c>
      <c r="Z41" s="23">
        <f>Assumptions!$C$11</f>
        <v>45758.106046855741</v>
      </c>
      <c r="AA41" s="23">
        <f>Assumptions!$C$11</f>
        <v>45758.106046855741</v>
      </c>
      <c r="AB41" s="23">
        <f>Assumptions!$C$11</f>
        <v>45758.106046855741</v>
      </c>
      <c r="AC41" s="23">
        <f>Assumptions!$C$11</f>
        <v>45758.106046855741</v>
      </c>
      <c r="AD41" s="23">
        <f>Assumptions!$C$11</f>
        <v>45758.106046855741</v>
      </c>
      <c r="AE41" s="23">
        <f>Assumptions!$C$11</f>
        <v>45758.106046855741</v>
      </c>
      <c r="AF41" s="23">
        <f>Assumptions!$C$11</f>
        <v>45758.106046855741</v>
      </c>
      <c r="AG41" s="23">
        <f>Assumptions!$C$11</f>
        <v>45758.106046855741</v>
      </c>
      <c r="AH41" s="23">
        <f>Assumptions!$C$11</f>
        <v>45758.106046855741</v>
      </c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</row>
    <row r="42" spans="1:60">
      <c r="A42" s="23" t="s">
        <v>155</v>
      </c>
      <c r="C42" s="308" t="e">
        <f>IS!B45-'CF &amp; Returns'!#REF!</f>
        <v>#REF!</v>
      </c>
      <c r="D42" s="296" t="e">
        <f>IS!C45-'CF &amp; Returns'!#REF!</f>
        <v>#REF!</v>
      </c>
      <c r="E42" s="296" t="e">
        <f>IS!D45-'CF &amp; Returns'!#REF!</f>
        <v>#REF!</v>
      </c>
      <c r="F42" s="296" t="e">
        <f>IS!E45-'CF &amp; Returns'!#REF!</f>
        <v>#REF!</v>
      </c>
      <c r="G42" s="296" t="e">
        <f>IS!F45-'CF &amp; Returns'!#REF!</f>
        <v>#REF!</v>
      </c>
      <c r="H42" s="296" t="e">
        <f>IS!G45-'CF &amp; Returns'!#REF!</f>
        <v>#REF!</v>
      </c>
      <c r="I42" s="296" t="e">
        <f>IS!H45-'CF &amp; Returns'!#REF!</f>
        <v>#REF!</v>
      </c>
      <c r="J42" s="296" t="e">
        <f>IS!I45-'CF &amp; Returns'!#REF!</f>
        <v>#REF!</v>
      </c>
      <c r="K42" s="296" t="e">
        <f>IS!J45-'CF &amp; Returns'!#REF!</f>
        <v>#REF!</v>
      </c>
      <c r="L42" s="296" t="e">
        <f>IS!K45-'CF &amp; Returns'!#REF!</f>
        <v>#REF!</v>
      </c>
      <c r="M42" s="296" t="e">
        <f>IS!L45-'CF &amp; Returns'!#REF!</f>
        <v>#REF!</v>
      </c>
      <c r="N42" s="296" t="e">
        <f>IS!M45-'CF &amp; Returns'!#REF!</f>
        <v>#REF!</v>
      </c>
      <c r="O42" s="296" t="e">
        <f>IS!N45-'CF &amp; Returns'!#REF!</f>
        <v>#REF!</v>
      </c>
      <c r="P42" s="296" t="e">
        <f>IS!O45-'CF &amp; Returns'!#REF!</f>
        <v>#REF!</v>
      </c>
      <c r="Q42" s="296" t="e">
        <f>IS!P45-'CF &amp; Returns'!#REF!</f>
        <v>#REF!</v>
      </c>
      <c r="R42" s="296" t="e">
        <f>IS!Q45-'CF &amp; Returns'!#REF!</f>
        <v>#REF!</v>
      </c>
      <c r="S42" s="296" t="e">
        <f>IS!R45-'CF &amp; Returns'!#REF!</f>
        <v>#REF!</v>
      </c>
      <c r="T42" s="296" t="e">
        <f>IS!S45-'CF &amp; Returns'!#REF!</f>
        <v>#REF!</v>
      </c>
      <c r="U42" s="296" t="e">
        <f>IS!T45-'CF &amp; Returns'!#REF!</f>
        <v>#REF!</v>
      </c>
      <c r="V42" s="296" t="e">
        <f>IS!U45-'CF &amp; Returns'!#REF!</f>
        <v>#REF!</v>
      </c>
      <c r="W42" s="296" t="e">
        <f>IS!V45-'CF &amp; Returns'!#REF!</f>
        <v>#REF!</v>
      </c>
      <c r="X42" s="296" t="e">
        <f>IS!W45-'CF &amp; Returns'!#REF!</f>
        <v>#REF!</v>
      </c>
      <c r="Y42" s="296" t="e">
        <f>IS!X45-'CF &amp; Returns'!#REF!</f>
        <v>#REF!</v>
      </c>
      <c r="Z42" s="296" t="e">
        <f>IS!Y45-'CF &amp; Returns'!#REF!</f>
        <v>#REF!</v>
      </c>
      <c r="AA42" s="296" t="e">
        <f>IS!Z45-'CF &amp; Returns'!#REF!</f>
        <v>#REF!</v>
      </c>
      <c r="AB42" s="296" t="e">
        <f>IS!AA45-'CF &amp; Returns'!#REF!</f>
        <v>#REF!</v>
      </c>
      <c r="AC42" s="296" t="e">
        <f>IS!AB45-'CF &amp; Returns'!#REF!</f>
        <v>#REF!</v>
      </c>
      <c r="AD42" s="296" t="e">
        <f>IS!AC45-'CF &amp; Returns'!#REF!</f>
        <v>#REF!</v>
      </c>
      <c r="AE42" s="296" t="e">
        <f>IS!AD45-'CF &amp; Returns'!#REF!</f>
        <v>#REF!</v>
      </c>
      <c r="AF42" s="296" t="e">
        <f>IS!AE45-'CF &amp; Returns'!#REF!</f>
        <v>#REF!</v>
      </c>
      <c r="AG42" s="296" t="e">
        <f>IS!AF45-'CF &amp; Returns'!#REF!</f>
        <v>#REF!</v>
      </c>
      <c r="AH42" s="296" t="e">
        <f>IS!AG45-'CF &amp; Returns'!#REF!</f>
        <v>#REF!</v>
      </c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5"/>
      <c r="AX42" s="295"/>
      <c r="AY42" s="295"/>
      <c r="AZ42" s="295"/>
      <c r="BA42" s="295"/>
      <c r="BB42" s="295"/>
      <c r="BC42" s="295"/>
      <c r="BD42" s="295"/>
      <c r="BE42" s="295"/>
      <c r="BF42" s="295"/>
      <c r="BG42" s="295"/>
      <c r="BH42" s="295"/>
    </row>
    <row r="43" spans="1:60">
      <c r="A43" s="23" t="s">
        <v>156</v>
      </c>
      <c r="C43" s="309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295"/>
      <c r="BG43" s="295"/>
      <c r="BH43" s="295"/>
    </row>
    <row r="44" spans="1:60">
      <c r="A44" s="13"/>
      <c r="B44" s="13"/>
      <c r="C44" s="309"/>
      <c r="D44" s="23"/>
      <c r="E44" s="23"/>
      <c r="F44" s="298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5"/>
      <c r="X44" s="295"/>
      <c r="Y44" s="295"/>
      <c r="Z44" s="148"/>
      <c r="AA44" s="148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295"/>
      <c r="BG44" s="295"/>
      <c r="BH44" s="295"/>
    </row>
    <row r="45" spans="1:60">
      <c r="A45" s="131" t="s">
        <v>157</v>
      </c>
      <c r="B45" s="13"/>
      <c r="C45" s="309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295"/>
      <c r="BG45" s="295"/>
      <c r="BH45" s="295"/>
    </row>
    <row r="46" spans="1:60">
      <c r="A46" s="23"/>
      <c r="B46" s="13"/>
      <c r="C46" s="309"/>
      <c r="D46" s="23"/>
      <c r="E46" s="23"/>
      <c r="F46" s="298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148"/>
      <c r="AA46" s="148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295"/>
      <c r="AW46" s="295"/>
      <c r="AX46" s="295"/>
      <c r="AY46" s="295"/>
      <c r="AZ46" s="295"/>
      <c r="BA46" s="295"/>
      <c r="BB46" s="295"/>
      <c r="BC46" s="295"/>
      <c r="BD46" s="295"/>
      <c r="BE46" s="295"/>
      <c r="BF46" s="295"/>
      <c r="BG46" s="295"/>
      <c r="BH46" s="295"/>
    </row>
    <row r="47" spans="1:60">
      <c r="A47" s="131" t="s">
        <v>158</v>
      </c>
      <c r="B47" s="13"/>
      <c r="C47" s="309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295"/>
      <c r="AJ47" s="295"/>
      <c r="AK47" s="295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295"/>
      <c r="AW47" s="295"/>
      <c r="AX47" s="295"/>
      <c r="AY47" s="295"/>
      <c r="AZ47" s="295"/>
      <c r="BA47" s="295"/>
      <c r="BB47" s="295"/>
      <c r="BC47" s="295"/>
      <c r="BD47" s="295"/>
      <c r="BE47" s="295"/>
      <c r="BF47" s="295"/>
      <c r="BG47" s="295"/>
      <c r="BH47" s="295"/>
    </row>
    <row r="48" spans="1:60">
      <c r="A48" s="13"/>
      <c r="B48" s="13"/>
      <c r="C48" s="23"/>
      <c r="D48" s="23"/>
      <c r="E48" s="23"/>
      <c r="F48" s="298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148"/>
      <c r="AA48" s="148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5"/>
      <c r="AW48" s="295"/>
      <c r="AX48" s="295"/>
      <c r="AY48" s="295"/>
      <c r="AZ48" s="295"/>
      <c r="BA48" s="295"/>
      <c r="BB48" s="295"/>
      <c r="BC48" s="295"/>
      <c r="BD48" s="295"/>
      <c r="BE48" s="295"/>
      <c r="BF48" s="295"/>
      <c r="BG48" s="295"/>
      <c r="BH48" s="295"/>
    </row>
    <row r="49" spans="1:60">
      <c r="A49" s="13"/>
      <c r="B49" s="13"/>
      <c r="C49" s="23"/>
      <c r="D49" s="23"/>
      <c r="E49" s="23"/>
      <c r="F49" s="298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148"/>
      <c r="AA49" s="148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  <c r="AV49" s="295"/>
      <c r="AW49" s="295"/>
      <c r="AX49" s="295"/>
      <c r="AY49" s="295"/>
      <c r="AZ49" s="295"/>
      <c r="BA49" s="295"/>
      <c r="BB49" s="295"/>
      <c r="BC49" s="295"/>
      <c r="BD49" s="295"/>
      <c r="BE49" s="295"/>
      <c r="BF49" s="295"/>
      <c r="BG49" s="295"/>
      <c r="BH49" s="295"/>
    </row>
    <row r="50" spans="1:60">
      <c r="A50" s="13"/>
      <c r="B50" s="13"/>
      <c r="C50" s="23"/>
      <c r="D50" s="23"/>
      <c r="E50" s="23"/>
      <c r="F50" s="298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148"/>
      <c r="AA50" s="148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295"/>
      <c r="BH50" s="295"/>
    </row>
    <row r="51" spans="1:60">
      <c r="A51" s="13"/>
      <c r="B51" s="13"/>
      <c r="C51" s="23"/>
      <c r="D51" s="23"/>
      <c r="E51" s="23"/>
      <c r="F51" s="298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148"/>
      <c r="AA51" s="148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295"/>
      <c r="BG51" s="295"/>
      <c r="BH51" s="295"/>
    </row>
    <row r="52" spans="1:60">
      <c r="A52" s="13"/>
      <c r="B52" s="13"/>
      <c r="C52" s="23"/>
      <c r="D52" s="23"/>
      <c r="E52" s="23"/>
      <c r="F52" s="298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148"/>
      <c r="AA52" s="148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295"/>
      <c r="AW52" s="295"/>
      <c r="AX52" s="295"/>
      <c r="AY52" s="295"/>
      <c r="AZ52" s="295"/>
      <c r="BA52" s="295"/>
      <c r="BB52" s="295"/>
      <c r="BC52" s="295"/>
      <c r="BD52" s="295"/>
      <c r="BE52" s="295"/>
      <c r="BF52" s="295"/>
      <c r="BG52" s="295"/>
      <c r="BH52" s="295"/>
    </row>
    <row r="53" spans="1:60">
      <c r="A53" s="13"/>
      <c r="B53" s="13"/>
      <c r="C53" s="23"/>
      <c r="D53" s="23"/>
      <c r="E53" s="23"/>
      <c r="F53" s="298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148"/>
      <c r="AA53" s="148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295"/>
      <c r="BG53" s="295"/>
      <c r="BH53" s="295"/>
    </row>
    <row r="54" spans="1:60">
      <c r="A54" s="13"/>
      <c r="B54" s="13"/>
      <c r="C54" s="23"/>
      <c r="D54" s="23"/>
      <c r="E54" s="23"/>
      <c r="F54" s="298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148"/>
      <c r="AA54" s="148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295"/>
      <c r="BG54" s="295"/>
      <c r="BH54" s="295"/>
    </row>
    <row r="55" spans="1:60">
      <c r="A55" s="13"/>
      <c r="B55" s="176"/>
      <c r="C55" s="298"/>
      <c r="D55" s="298"/>
      <c r="E55" s="298"/>
      <c r="F55" s="298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148"/>
      <c r="AA55" s="148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295"/>
      <c r="AW55" s="295"/>
      <c r="AX55" s="295"/>
      <c r="AY55" s="295"/>
      <c r="AZ55" s="295"/>
      <c r="BA55" s="295"/>
      <c r="BB55" s="295"/>
      <c r="BC55" s="295"/>
      <c r="BD55" s="295"/>
      <c r="BE55" s="295"/>
      <c r="BF55" s="295"/>
      <c r="BG55" s="295"/>
      <c r="BH55" s="295"/>
    </row>
    <row r="56" spans="1:60">
      <c r="A56" s="13"/>
      <c r="B56" s="176"/>
      <c r="C56" s="298"/>
      <c r="D56" s="298"/>
      <c r="E56" s="298"/>
      <c r="F56" s="298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148"/>
      <c r="AA56" s="148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295"/>
      <c r="BG56" s="295"/>
      <c r="BH56" s="295"/>
    </row>
    <row r="57" spans="1:60">
      <c r="A57" s="13"/>
      <c r="B57" s="176"/>
      <c r="C57" s="298"/>
      <c r="D57" s="298"/>
      <c r="E57" s="298"/>
      <c r="F57" s="298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148"/>
      <c r="AA57" s="148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</row>
    <row r="58" spans="1:60">
      <c r="A58" s="13"/>
      <c r="B58" s="176"/>
      <c r="C58" s="298"/>
      <c r="D58" s="298"/>
      <c r="E58" s="298"/>
      <c r="F58" s="298"/>
      <c r="G58" s="295"/>
      <c r="H58" s="295"/>
      <c r="I58" s="295"/>
      <c r="J58" s="295"/>
      <c r="K58" s="295"/>
      <c r="L58" s="295"/>
      <c r="M58" s="295"/>
      <c r="N58" s="295"/>
      <c r="O58" s="295"/>
      <c r="P58" s="295"/>
      <c r="Q58" s="295"/>
      <c r="R58" s="295"/>
      <c r="S58" s="295"/>
      <c r="T58" s="295"/>
      <c r="U58" s="295"/>
      <c r="V58" s="295"/>
      <c r="W58" s="295"/>
      <c r="X58" s="295"/>
      <c r="Y58" s="295"/>
      <c r="Z58" s="148"/>
      <c r="AA58" s="148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295"/>
      <c r="AW58" s="295"/>
      <c r="AX58" s="295"/>
      <c r="AY58" s="295"/>
      <c r="AZ58" s="295"/>
      <c r="BA58" s="295"/>
      <c r="BB58" s="295"/>
      <c r="BC58" s="295"/>
      <c r="BD58" s="295"/>
      <c r="BE58" s="295"/>
      <c r="BF58" s="295"/>
      <c r="BG58" s="295"/>
      <c r="BH58" s="295"/>
    </row>
    <row r="59" spans="1:60">
      <c r="A59" s="13"/>
      <c r="B59" s="176"/>
      <c r="C59" s="298"/>
      <c r="D59" s="298"/>
      <c r="E59" s="298"/>
      <c r="F59" s="298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148"/>
      <c r="AA59" s="148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</row>
    <row r="60" spans="1:60">
      <c r="A60" s="13"/>
      <c r="B60" s="176"/>
      <c r="C60" s="298"/>
      <c r="D60" s="298"/>
      <c r="E60" s="298"/>
      <c r="F60" s="298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148"/>
      <c r="AA60" s="148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</row>
    <row r="61" spans="1:60">
      <c r="A61" s="176"/>
      <c r="B61" s="176"/>
      <c r="C61" s="298"/>
      <c r="D61" s="298"/>
      <c r="E61" s="298"/>
      <c r="F61" s="298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148"/>
      <c r="AA61" s="148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</row>
    <row r="62" spans="1:60"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148"/>
      <c r="AA62" s="148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295"/>
      <c r="AW62" s="295"/>
      <c r="AX62" s="295"/>
      <c r="AY62" s="295"/>
    </row>
    <row r="63" spans="1:60"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148"/>
      <c r="AA63" s="148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5"/>
      <c r="AX63" s="295"/>
      <c r="AY63" s="295"/>
    </row>
    <row r="64" spans="1:60"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148"/>
      <c r="AA64" s="148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</row>
    <row r="65" spans="3:51"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148"/>
      <c r="AA65" s="148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</row>
    <row r="66" spans="3:51"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148"/>
      <c r="AA66" s="148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</row>
    <row r="67" spans="3:51"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148"/>
      <c r="AA67" s="148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295"/>
      <c r="AW67" s="295"/>
      <c r="AX67" s="295"/>
      <c r="AY67" s="295"/>
    </row>
    <row r="68" spans="3:51"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148"/>
      <c r="AA68" s="148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</row>
    <row r="69" spans="3:51"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148"/>
      <c r="AA69" s="148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5"/>
      <c r="AX69" s="295"/>
      <c r="AY69" s="295"/>
    </row>
    <row r="70" spans="3:51"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148"/>
      <c r="AA70" s="148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295"/>
      <c r="AW70" s="295"/>
      <c r="AX70" s="295"/>
      <c r="AY70" s="295"/>
    </row>
    <row r="71" spans="3:51"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148"/>
      <c r="AA71" s="148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</row>
    <row r="72" spans="3:51"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148"/>
      <c r="AA72" s="148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5"/>
      <c r="AX72" s="295"/>
      <c r="AY72" s="295"/>
    </row>
    <row r="73" spans="3:51"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  <c r="O73" s="295"/>
      <c r="P73" s="295"/>
      <c r="Q73" s="295"/>
      <c r="R73" s="295"/>
      <c r="S73" s="295"/>
      <c r="T73" s="295"/>
      <c r="U73" s="295"/>
      <c r="V73" s="295"/>
      <c r="W73" s="295"/>
      <c r="X73" s="295"/>
      <c r="Y73" s="295"/>
      <c r="Z73" s="148"/>
      <c r="AA73" s="148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295"/>
      <c r="AW73" s="295"/>
      <c r="AX73" s="295"/>
      <c r="AY73" s="295"/>
    </row>
    <row r="74" spans="3:51"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148"/>
      <c r="AA74" s="148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5"/>
      <c r="AX74" s="295"/>
      <c r="AY74" s="295"/>
    </row>
    <row r="75" spans="3:51"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148"/>
      <c r="AA75" s="148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5"/>
      <c r="AX75" s="295"/>
      <c r="AY75" s="295"/>
    </row>
    <row r="76" spans="3:51"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148"/>
      <c r="AA76" s="148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5"/>
      <c r="AX76" s="295"/>
      <c r="AY76" s="295"/>
    </row>
    <row r="77" spans="3:51"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148"/>
      <c r="AA77" s="148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295"/>
      <c r="AW77" s="295"/>
      <c r="AX77" s="295"/>
      <c r="AY77" s="295"/>
    </row>
    <row r="78" spans="3:51"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148"/>
      <c r="AA78" s="148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5"/>
      <c r="AX78" s="295"/>
      <c r="AY78" s="295"/>
    </row>
    <row r="79" spans="3:51"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148"/>
      <c r="AA79" s="148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295"/>
      <c r="AW79" s="295"/>
      <c r="AX79" s="295"/>
      <c r="AY79" s="295"/>
    </row>
    <row r="80" spans="3:51"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148"/>
      <c r="AA80" s="148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295"/>
      <c r="AW80" s="295"/>
      <c r="AX80" s="295"/>
      <c r="AY80" s="295"/>
    </row>
    <row r="81" spans="3:51"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148"/>
      <c r="AA81" s="148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</row>
    <row r="82" spans="3:51"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148"/>
      <c r="AA82" s="148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295"/>
      <c r="AW82" s="295"/>
      <c r="AX82" s="295"/>
      <c r="AY82" s="295"/>
    </row>
    <row r="83" spans="3:51"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148"/>
      <c r="AA83" s="148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</row>
    <row r="84" spans="3:51"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148"/>
      <c r="AA84" s="148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</row>
    <row r="85" spans="3:51"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  <c r="U85" s="295"/>
      <c r="V85" s="295"/>
      <c r="W85" s="295"/>
      <c r="X85" s="295"/>
      <c r="Y85" s="295"/>
      <c r="Z85" s="148"/>
      <c r="AA85" s="148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295"/>
      <c r="AW85" s="295"/>
      <c r="AX85" s="295"/>
      <c r="AY85" s="295"/>
    </row>
    <row r="86" spans="3:51"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148"/>
      <c r="AA86" s="148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295"/>
      <c r="AW86" s="295"/>
      <c r="AX86" s="295"/>
      <c r="AY86" s="295"/>
    </row>
    <row r="87" spans="3:51"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5"/>
      <c r="Z87" s="148"/>
      <c r="AA87" s="148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295"/>
      <c r="AW87" s="295"/>
      <c r="AX87" s="295"/>
      <c r="AY87" s="295"/>
    </row>
    <row r="88" spans="3:51"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148"/>
      <c r="AA88" s="148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5"/>
      <c r="AX88" s="295"/>
      <c r="AY88" s="295"/>
    </row>
    <row r="89" spans="3:51"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148"/>
      <c r="AA89" s="148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295"/>
      <c r="AW89" s="295"/>
      <c r="AX89" s="295"/>
      <c r="AY89" s="295"/>
    </row>
    <row r="90" spans="3:51"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148"/>
      <c r="AA90" s="148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295"/>
      <c r="AW90" s="295"/>
      <c r="AX90" s="295"/>
      <c r="AY90" s="295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I20" sqref="I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5" t="str">
        <f>Assumptions!A3</f>
        <v>PROJECT NAME: Homestead, Florida</v>
      </c>
      <c r="C2" s="62"/>
      <c r="D2" s="56"/>
      <c r="E2" s="56"/>
      <c r="F2" s="90"/>
      <c r="G2" s="5"/>
      <c r="H2" s="5"/>
      <c r="I2" s="2"/>
      <c r="J2" s="2"/>
      <c r="K2" s="2"/>
      <c r="L2" s="90"/>
      <c r="M2" s="5"/>
      <c r="N2" s="5"/>
      <c r="O2" s="2"/>
      <c r="P2" s="2"/>
      <c r="Q2" s="2"/>
      <c r="R2" s="90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0"/>
      <c r="G3" s="5"/>
      <c r="H3" s="5"/>
      <c r="I3" s="2"/>
      <c r="J3" s="2"/>
      <c r="K3" s="2"/>
      <c r="L3" s="90"/>
      <c r="M3" s="5"/>
      <c r="N3" s="5"/>
      <c r="O3" s="2"/>
      <c r="P3" s="2"/>
      <c r="Q3" s="2"/>
      <c r="R3" s="90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02" t="s">
        <v>390</v>
      </c>
      <c r="C4" s="62"/>
      <c r="D4" s="56"/>
      <c r="E4" s="56"/>
      <c r="F4" s="90"/>
      <c r="I4" s="62"/>
      <c r="J4" s="62"/>
      <c r="K4" s="62"/>
      <c r="L4" s="90"/>
      <c r="O4" s="62"/>
      <c r="P4" s="62"/>
      <c r="Q4" s="62"/>
      <c r="R4" s="90"/>
      <c r="AG4"/>
      <c r="AN4" s="18"/>
    </row>
    <row r="5" spans="1:40" s="13" customFormat="1"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6"/>
      <c r="AB5" s="6"/>
      <c r="AG5"/>
    </row>
    <row r="6" spans="1:40" s="139" customFormat="1" ht="13.5">
      <c r="A6" s="4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/>
    </row>
    <row r="7" spans="1:40" ht="13.5" thickBot="1">
      <c r="A7" s="120" t="s">
        <v>38</v>
      </c>
      <c r="B7" s="209">
        <f>IS!C7</f>
        <v>2001</v>
      </c>
      <c r="C7" s="209">
        <f>B7+1</f>
        <v>2002</v>
      </c>
      <c r="D7" s="209">
        <f t="shared" ref="D7:AF7" si="0">C7+1</f>
        <v>2003</v>
      </c>
      <c r="E7" s="209">
        <f t="shared" si="0"/>
        <v>2004</v>
      </c>
      <c r="F7" s="209">
        <f t="shared" si="0"/>
        <v>2005</v>
      </c>
      <c r="G7" s="209">
        <f t="shared" si="0"/>
        <v>2006</v>
      </c>
      <c r="H7" s="209">
        <f t="shared" si="0"/>
        <v>2007</v>
      </c>
      <c r="I7" s="209">
        <f t="shared" si="0"/>
        <v>2008</v>
      </c>
      <c r="J7" s="209">
        <f t="shared" si="0"/>
        <v>2009</v>
      </c>
      <c r="K7" s="209">
        <f t="shared" si="0"/>
        <v>2010</v>
      </c>
      <c r="L7" s="209">
        <f t="shared" si="0"/>
        <v>2011</v>
      </c>
      <c r="M7" s="209">
        <f t="shared" si="0"/>
        <v>2012</v>
      </c>
      <c r="N7" s="209">
        <f t="shared" si="0"/>
        <v>2013</v>
      </c>
      <c r="O7" s="209">
        <f t="shared" si="0"/>
        <v>2014</v>
      </c>
      <c r="P7" s="209">
        <f t="shared" si="0"/>
        <v>2015</v>
      </c>
      <c r="Q7" s="209">
        <f t="shared" si="0"/>
        <v>2016</v>
      </c>
      <c r="R7" s="209">
        <f t="shared" si="0"/>
        <v>2017</v>
      </c>
      <c r="S7" s="209">
        <f t="shared" si="0"/>
        <v>2018</v>
      </c>
      <c r="T7" s="209">
        <f t="shared" si="0"/>
        <v>2019</v>
      </c>
      <c r="U7" s="209">
        <f t="shared" si="0"/>
        <v>2020</v>
      </c>
      <c r="V7" s="209">
        <f t="shared" si="0"/>
        <v>2021</v>
      </c>
      <c r="W7" s="209">
        <f t="shared" si="0"/>
        <v>2022</v>
      </c>
      <c r="X7" s="209">
        <f t="shared" si="0"/>
        <v>2023</v>
      </c>
      <c r="Y7" s="209">
        <f t="shared" si="0"/>
        <v>2024</v>
      </c>
      <c r="Z7" s="209">
        <f t="shared" si="0"/>
        <v>2025</v>
      </c>
      <c r="AA7" s="209">
        <f t="shared" si="0"/>
        <v>2026</v>
      </c>
      <c r="AB7" s="209">
        <f t="shared" si="0"/>
        <v>2027</v>
      </c>
      <c r="AC7" s="209">
        <f t="shared" si="0"/>
        <v>2028</v>
      </c>
      <c r="AD7" s="209">
        <f t="shared" si="0"/>
        <v>2029</v>
      </c>
      <c r="AE7" s="209">
        <f t="shared" si="0"/>
        <v>2030</v>
      </c>
      <c r="AF7" s="209">
        <f t="shared" si="0"/>
        <v>2031</v>
      </c>
      <c r="AG7"/>
      <c r="AH7" s="11"/>
    </row>
    <row r="8" spans="1:40" s="50" customFormat="1">
      <c r="A8" s="381"/>
      <c r="B8" s="380">
        <f>IS!C8</f>
        <v>37256</v>
      </c>
      <c r="C8" s="380">
        <f>IS!D8</f>
        <v>37621</v>
      </c>
      <c r="D8" s="380">
        <f>IS!E8</f>
        <v>37986</v>
      </c>
      <c r="E8" s="380">
        <f>IS!F8</f>
        <v>38352</v>
      </c>
      <c r="F8" s="380">
        <f>IS!G8</f>
        <v>38717</v>
      </c>
      <c r="G8" s="380">
        <f>IS!H8</f>
        <v>39082</v>
      </c>
      <c r="H8" s="380">
        <f>IS!I8</f>
        <v>39447</v>
      </c>
      <c r="I8" s="380">
        <f>IS!J8</f>
        <v>39813</v>
      </c>
      <c r="J8" s="380">
        <f>IS!K8</f>
        <v>40178</v>
      </c>
      <c r="K8" s="380">
        <f>IS!L8</f>
        <v>40543</v>
      </c>
      <c r="L8" s="380">
        <f>IS!M8</f>
        <v>40908</v>
      </c>
      <c r="M8" s="380">
        <f>IS!N8</f>
        <v>41274</v>
      </c>
      <c r="N8" s="380">
        <f>IS!O8</f>
        <v>41639</v>
      </c>
      <c r="O8" s="380">
        <f>IS!P8</f>
        <v>42004</v>
      </c>
      <c r="P8" s="380">
        <f>IS!Q8</f>
        <v>42369</v>
      </c>
      <c r="Q8" s="380">
        <f>IS!R8</f>
        <v>42735</v>
      </c>
      <c r="R8" s="380">
        <f>IS!S8</f>
        <v>43100</v>
      </c>
      <c r="S8" s="380">
        <f>IS!T8</f>
        <v>43465</v>
      </c>
      <c r="T8" s="380">
        <f>IS!U8</f>
        <v>43830</v>
      </c>
      <c r="U8" s="380">
        <f>IS!V8</f>
        <v>44196</v>
      </c>
      <c r="V8" s="380">
        <f>IS!W8</f>
        <v>44561</v>
      </c>
      <c r="W8" s="380">
        <f>IS!X8</f>
        <v>44926</v>
      </c>
      <c r="X8" s="380">
        <f>IS!Y8</f>
        <v>45291</v>
      </c>
      <c r="Y8" s="380">
        <f>IS!Z8</f>
        <v>45657</v>
      </c>
      <c r="Z8" s="380">
        <f>IS!AA8</f>
        <v>46022</v>
      </c>
      <c r="AA8" s="380">
        <f>IS!AB8</f>
        <v>46387</v>
      </c>
      <c r="AB8" s="380">
        <f>IS!AC8</f>
        <v>46752</v>
      </c>
      <c r="AC8" s="380">
        <f>IS!AD8</f>
        <v>47118</v>
      </c>
      <c r="AD8" s="380">
        <f>IS!AE8</f>
        <v>47483</v>
      </c>
      <c r="AE8" s="380">
        <f>IS!AF8</f>
        <v>47848</v>
      </c>
      <c r="AF8" s="38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4" t="s">
        <v>373</v>
      </c>
      <c r="B11" s="375">
        <f>B29+B38</f>
        <v>6189.0575795939958</v>
      </c>
      <c r="C11" s="375">
        <f t="shared" ref="C11:AF11" si="1">C29+C38</f>
        <v>15650.144677351967</v>
      </c>
      <c r="D11" s="375">
        <f t="shared" si="1"/>
        <v>15925.441089646898</v>
      </c>
      <c r="E11" s="375">
        <f t="shared" si="1"/>
        <v>15910.90252058674</v>
      </c>
      <c r="F11" s="375">
        <f t="shared" si="1"/>
        <v>15863.376777874177</v>
      </c>
      <c r="G11" s="375">
        <f t="shared" si="1"/>
        <v>15847.813455043939</v>
      </c>
      <c r="H11" s="375">
        <f t="shared" si="1"/>
        <v>15820.895710023113</v>
      </c>
      <c r="I11" s="375">
        <f t="shared" si="1"/>
        <v>15804.193237090807</v>
      </c>
      <c r="J11" s="375">
        <f t="shared" si="1"/>
        <v>15754.68076119326</v>
      </c>
      <c r="K11" s="375">
        <f t="shared" si="1"/>
        <v>15736.869061824142</v>
      </c>
      <c r="L11" s="375">
        <f t="shared" si="1"/>
        <v>15707.732428938918</v>
      </c>
      <c r="M11" s="375">
        <f t="shared" si="1"/>
        <v>15688.687676864256</v>
      </c>
      <c r="N11" s="375">
        <f t="shared" si="1"/>
        <v>15637.024697073941</v>
      </c>
      <c r="O11" s="375">
        <f t="shared" si="1"/>
        <v>15616.779282631345</v>
      </c>
      <c r="P11" s="447">
        <f t="shared" si="1"/>
        <v>15585.240854162266</v>
      </c>
      <c r="Q11" s="375">
        <f t="shared" si="1"/>
        <v>15563.660743816215</v>
      </c>
      <c r="R11" s="375">
        <f t="shared" si="1"/>
        <v>15509.669989452166</v>
      </c>
      <c r="S11" s="375">
        <f t="shared" si="1"/>
        <v>15486.790243545765</v>
      </c>
      <c r="T11" s="375">
        <f t="shared" si="1"/>
        <v>15452.652034294975</v>
      </c>
      <c r="U11" s="375">
        <f t="shared" si="1"/>
        <v>15428.327570618852</v>
      </c>
      <c r="V11" s="375">
        <f t="shared" si="1"/>
        <v>15371.817158194965</v>
      </c>
      <c r="W11" s="375">
        <f t="shared" si="1"/>
        <v>15346.085927192034</v>
      </c>
      <c r="X11" s="375">
        <f t="shared" si="1"/>
        <v>15309.133631614171</v>
      </c>
      <c r="Y11" s="375">
        <f t="shared" si="1"/>
        <v>15281.838591635174</v>
      </c>
      <c r="Z11" s="375">
        <f t="shared" si="1"/>
        <v>15222.600820295112</v>
      </c>
      <c r="AA11" s="375">
        <f t="shared" si="1"/>
        <v>15193.783050119944</v>
      </c>
      <c r="AB11" s="375">
        <f t="shared" si="1"/>
        <v>15153.784697000638</v>
      </c>
      <c r="AC11" s="375">
        <f t="shared" si="1"/>
        <v>15123.27420969768</v>
      </c>
      <c r="AD11" s="375">
        <f t="shared" si="1"/>
        <v>15061.084257354885</v>
      </c>
      <c r="AE11" s="375">
        <f t="shared" si="1"/>
        <v>15028.925517916588</v>
      </c>
      <c r="AF11" s="447">
        <f t="shared" si="1"/>
        <v>6388.4589439909487</v>
      </c>
      <c r="AG11"/>
      <c r="AN11" s="507">
        <f>IF(MONTH(C23)=MONTH(Assumptions!G34),1,2)</f>
        <v>1</v>
      </c>
    </row>
    <row r="12" spans="1:40">
      <c r="A12" s="376" t="s">
        <v>0</v>
      </c>
      <c r="B12" s="372">
        <v>1.3</v>
      </c>
      <c r="C12" s="372">
        <v>1.3</v>
      </c>
      <c r="D12" s="372">
        <v>1.3</v>
      </c>
      <c r="E12" s="372">
        <v>1.3</v>
      </c>
      <c r="F12" s="372">
        <v>1.3</v>
      </c>
      <c r="G12" s="372">
        <v>1.3</v>
      </c>
      <c r="H12" s="372">
        <v>1.3</v>
      </c>
      <c r="I12" s="372">
        <v>1.3</v>
      </c>
      <c r="J12" s="372">
        <v>1.3</v>
      </c>
      <c r="K12" s="372">
        <v>1.3</v>
      </c>
      <c r="L12" s="372">
        <v>1.3</v>
      </c>
      <c r="M12" s="372">
        <v>1.3</v>
      </c>
      <c r="N12" s="372">
        <v>1.3</v>
      </c>
      <c r="O12" s="372">
        <v>1.3</v>
      </c>
      <c r="P12" s="372">
        <v>1.3</v>
      </c>
      <c r="Q12" s="372">
        <v>1.3</v>
      </c>
      <c r="R12" s="372">
        <v>1.3</v>
      </c>
      <c r="S12" s="372">
        <v>1.3</v>
      </c>
      <c r="T12" s="372">
        <v>1.3</v>
      </c>
      <c r="U12" s="372">
        <v>1.3</v>
      </c>
      <c r="V12" s="372">
        <v>1.3</v>
      </c>
      <c r="W12" s="372">
        <v>1.3</v>
      </c>
      <c r="X12" s="372">
        <v>1.3</v>
      </c>
      <c r="Y12" s="372">
        <v>1.3</v>
      </c>
      <c r="Z12" s="372">
        <v>1.3</v>
      </c>
      <c r="AA12" s="372">
        <v>1.3</v>
      </c>
      <c r="AB12" s="372">
        <v>1.3</v>
      </c>
      <c r="AC12" s="372">
        <v>1.3</v>
      </c>
      <c r="AD12" s="372">
        <v>1.3</v>
      </c>
      <c r="AE12" s="372">
        <v>1.3</v>
      </c>
      <c r="AF12" s="372">
        <v>1.3</v>
      </c>
      <c r="AG12"/>
      <c r="AN12" s="507">
        <f>IF(AN11=1,6,15)</f>
        <v>6</v>
      </c>
    </row>
    <row r="13" spans="1:40">
      <c r="A13" s="377" t="s">
        <v>311</v>
      </c>
      <c r="B13" s="294">
        <f>B11/B12</f>
        <v>4760.8135227646117</v>
      </c>
      <c r="C13" s="294">
        <f t="shared" ref="C13:AF13" si="2">C11/C12</f>
        <v>12038.572828732282</v>
      </c>
      <c r="D13" s="294">
        <f t="shared" si="2"/>
        <v>12250.339299728383</v>
      </c>
      <c r="E13" s="294">
        <f t="shared" si="2"/>
        <v>12239.155785066723</v>
      </c>
      <c r="F13" s="294">
        <f t="shared" si="2"/>
        <v>12202.597521441674</v>
      </c>
      <c r="G13" s="294">
        <f t="shared" si="2"/>
        <v>12190.625734649184</v>
      </c>
      <c r="H13" s="294">
        <f t="shared" si="2"/>
        <v>12169.919776940855</v>
      </c>
      <c r="I13" s="294">
        <f t="shared" si="2"/>
        <v>12157.071720839082</v>
      </c>
      <c r="J13" s="294">
        <f t="shared" si="2"/>
        <v>12118.985200917892</v>
      </c>
      <c r="K13" s="294">
        <f t="shared" si="2"/>
        <v>12105.283893710877</v>
      </c>
      <c r="L13" s="294">
        <f t="shared" si="2"/>
        <v>12082.871099183783</v>
      </c>
      <c r="M13" s="294">
        <f t="shared" si="2"/>
        <v>12068.22128989558</v>
      </c>
      <c r="N13" s="294">
        <f t="shared" si="2"/>
        <v>12028.480536210724</v>
      </c>
      <c r="O13" s="294">
        <f t="shared" si="2"/>
        <v>12012.90714048565</v>
      </c>
      <c r="P13" s="378">
        <f t="shared" si="2"/>
        <v>11988.64681089405</v>
      </c>
      <c r="Q13" s="294">
        <f t="shared" si="2"/>
        <v>11972.046726012473</v>
      </c>
      <c r="R13" s="294">
        <f t="shared" si="2"/>
        <v>11930.515376501666</v>
      </c>
      <c r="S13" s="294">
        <f t="shared" si="2"/>
        <v>11912.915571958281</v>
      </c>
      <c r="T13" s="294">
        <f t="shared" si="2"/>
        <v>11886.655410996134</v>
      </c>
      <c r="U13" s="294">
        <f t="shared" si="2"/>
        <v>11867.944285091424</v>
      </c>
      <c r="V13" s="294">
        <f t="shared" si="2"/>
        <v>11824.474737073049</v>
      </c>
      <c r="W13" s="294">
        <f t="shared" si="2"/>
        <v>11804.681482455411</v>
      </c>
      <c r="X13" s="294">
        <f t="shared" si="2"/>
        <v>11776.256639703208</v>
      </c>
      <c r="Y13" s="294">
        <f t="shared" si="2"/>
        <v>11755.26045510398</v>
      </c>
      <c r="Z13" s="294">
        <f t="shared" si="2"/>
        <v>11709.692938688548</v>
      </c>
      <c r="AA13" s="294">
        <f t="shared" si="2"/>
        <v>11687.525423169187</v>
      </c>
      <c r="AB13" s="294">
        <f t="shared" si="2"/>
        <v>11656.757459231259</v>
      </c>
      <c r="AC13" s="294">
        <f t="shared" si="2"/>
        <v>11633.2878536136</v>
      </c>
      <c r="AD13" s="294">
        <f t="shared" si="2"/>
        <v>11585.449428734526</v>
      </c>
      <c r="AE13" s="294">
        <f t="shared" si="2"/>
        <v>11560.711936858914</v>
      </c>
      <c r="AF13" s="378">
        <f t="shared" si="2"/>
        <v>4914.1991876853454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19"/>
      <c r="C16" s="65"/>
      <c r="AG16"/>
    </row>
    <row r="17" spans="1:33">
      <c r="A17" s="53"/>
      <c r="B17" s="219"/>
      <c r="C17" s="509"/>
      <c r="AG17"/>
    </row>
    <row r="18" spans="1:33">
      <c r="A18" s="53"/>
      <c r="B18" s="219"/>
      <c r="AG18"/>
    </row>
    <row r="19" spans="1:33">
      <c r="A19" s="11" t="s">
        <v>335</v>
      </c>
      <c r="B19" s="384">
        <v>84092.230613083506</v>
      </c>
      <c r="S19" s="18"/>
      <c r="AF19" s="65"/>
      <c r="AG19"/>
    </row>
    <row r="20" spans="1:33">
      <c r="A20" s="11" t="s">
        <v>334</v>
      </c>
      <c r="B20" s="389">
        <f>HLOOKUP(Assumptions!G34,B23:AF39,AN12)</f>
        <v>0</v>
      </c>
      <c r="AF20" s="50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9">
        <v>36982</v>
      </c>
      <c r="C23" s="379">
        <v>37347</v>
      </c>
      <c r="D23" s="379">
        <v>37712</v>
      </c>
      <c r="E23" s="379">
        <v>38078</v>
      </c>
      <c r="F23" s="379">
        <v>38443</v>
      </c>
      <c r="G23" s="379">
        <v>38808</v>
      </c>
      <c r="H23" s="379">
        <v>39173</v>
      </c>
      <c r="I23" s="379">
        <v>39539</v>
      </c>
      <c r="J23" s="379">
        <v>39904</v>
      </c>
      <c r="K23" s="379">
        <v>40269</v>
      </c>
      <c r="L23" s="379">
        <v>40634</v>
      </c>
      <c r="M23" s="379">
        <v>41000</v>
      </c>
      <c r="N23" s="379">
        <v>41365</v>
      </c>
      <c r="O23" s="379">
        <v>41730</v>
      </c>
      <c r="P23" s="379">
        <v>42095</v>
      </c>
      <c r="Q23" s="379">
        <v>42461</v>
      </c>
      <c r="R23" s="379">
        <v>42826</v>
      </c>
      <c r="S23" s="379">
        <v>43191</v>
      </c>
      <c r="T23" s="379">
        <v>43556</v>
      </c>
      <c r="U23" s="379">
        <v>43922</v>
      </c>
      <c r="V23" s="379">
        <v>44287</v>
      </c>
      <c r="W23" s="379">
        <v>44652</v>
      </c>
      <c r="X23" s="379">
        <v>45017</v>
      </c>
      <c r="Y23" s="379">
        <v>45383</v>
      </c>
      <c r="Z23" s="379">
        <v>45748</v>
      </c>
      <c r="AA23" s="379">
        <v>46113</v>
      </c>
      <c r="AB23" s="379">
        <v>46478</v>
      </c>
      <c r="AC23" s="379">
        <v>46844</v>
      </c>
      <c r="AD23" s="379">
        <v>47209</v>
      </c>
      <c r="AE23" s="379">
        <v>47574</v>
      </c>
      <c r="AF23" s="379">
        <v>47939</v>
      </c>
      <c r="AG23" s="510">
        <v>47969</v>
      </c>
    </row>
    <row r="24" spans="1:33">
      <c r="A24" s="48" t="s">
        <v>54</v>
      </c>
      <c r="B24"/>
      <c r="C24" s="48">
        <f>B45</f>
        <v>105138.81946435031</v>
      </c>
      <c r="D24" s="48">
        <f t="shared" ref="D24:AF24" si="3">C45</f>
        <v>100376.20587880434</v>
      </c>
      <c r="E24" s="48">
        <f t="shared" si="3"/>
        <v>95060.19263705732</v>
      </c>
      <c r="F24" s="48">
        <f t="shared" si="3"/>
        <v>89382.20526856638</v>
      </c>
      <c r="G24" s="48">
        <f t="shared" si="3"/>
        <v>83327.312372639179</v>
      </c>
      <c r="H24" s="48">
        <f t="shared" si="3"/>
        <v>76857.753263126855</v>
      </c>
      <c r="I24" s="48">
        <f t="shared" si="3"/>
        <v>69948.46917024655</v>
      </c>
      <c r="J24" s="48">
        <f t="shared" si="3"/>
        <v>62564.180516339336</v>
      </c>
      <c r="K24" s="48">
        <f t="shared" si="3"/>
        <v>54685.57724802407</v>
      </c>
      <c r="L24" s="48">
        <f t="shared" si="3"/>
        <v>46262.850232507801</v>
      </c>
      <c r="M24" s="48">
        <f t="shared" si="3"/>
        <v>37263.020655775465</v>
      </c>
      <c r="N24" s="48">
        <f t="shared" si="3"/>
        <v>27639.503148661963</v>
      </c>
      <c r="O24" s="48">
        <f t="shared" si="3"/>
        <v>17367.20665820186</v>
      </c>
      <c r="P24" s="48">
        <f t="shared" si="3"/>
        <v>6380.4768159959231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312</v>
      </c>
      <c r="B25"/>
      <c r="C25" s="370">
        <v>0</v>
      </c>
      <c r="D25" s="370">
        <v>0</v>
      </c>
      <c r="E25" s="370">
        <v>0</v>
      </c>
      <c r="F25" s="370">
        <v>0</v>
      </c>
      <c r="G25" s="370">
        <v>0</v>
      </c>
      <c r="H25" s="370">
        <v>0</v>
      </c>
      <c r="I25" s="370">
        <v>0</v>
      </c>
      <c r="J25" s="370">
        <v>0</v>
      </c>
      <c r="K25" s="370">
        <v>0</v>
      </c>
      <c r="L25" s="370">
        <v>0</v>
      </c>
      <c r="M25" s="370">
        <v>0</v>
      </c>
      <c r="N25" s="370">
        <v>0</v>
      </c>
      <c r="O25" s="370">
        <v>0</v>
      </c>
      <c r="P25" s="370">
        <v>0</v>
      </c>
      <c r="Q25" s="370">
        <v>0</v>
      </c>
      <c r="R25" s="370">
        <v>0</v>
      </c>
      <c r="S25" s="370">
        <v>0</v>
      </c>
      <c r="T25" s="370">
        <v>0</v>
      </c>
      <c r="U25" s="370">
        <v>0</v>
      </c>
      <c r="V25" s="370">
        <v>0</v>
      </c>
      <c r="W25" s="370">
        <v>0</v>
      </c>
      <c r="X25" s="370">
        <v>0</v>
      </c>
      <c r="Y25" s="370">
        <v>0</v>
      </c>
      <c r="Z25" s="370">
        <v>0</v>
      </c>
      <c r="AA25" s="370">
        <v>0</v>
      </c>
      <c r="AB25" s="370">
        <v>0</v>
      </c>
      <c r="AC25" s="370">
        <v>0</v>
      </c>
      <c r="AD25" s="370">
        <v>0</v>
      </c>
      <c r="AE25" s="370">
        <v>0</v>
      </c>
      <c r="AF25" s="370">
        <v>0</v>
      </c>
      <c r="AG25"/>
    </row>
    <row r="26" spans="1:33">
      <c r="A26" s="48" t="s">
        <v>55</v>
      </c>
      <c r="B26"/>
      <c r="C26" s="48">
        <f t="shared" ref="C26:AF26" si="4">C24-C28</f>
        <v>2350.7654504088423</v>
      </c>
      <c r="D26" s="48">
        <f t="shared" si="4"/>
        <v>2621.6275597382628</v>
      </c>
      <c r="E26" s="48">
        <f t="shared" si="4"/>
        <v>2787.9383751252026</v>
      </c>
      <c r="F26" s="48">
        <f t="shared" si="4"/>
        <v>2985.7545031647169</v>
      </c>
      <c r="G26" s="48">
        <f t="shared" si="4"/>
        <v>3186.847224509751</v>
      </c>
      <c r="H26" s="48">
        <f t="shared" si="4"/>
        <v>3402.3084458067751</v>
      </c>
      <c r="I26" s="48">
        <f t="shared" si="4"/>
        <v>3627.0040719287936</v>
      </c>
      <c r="J26" s="48">
        <f t="shared" si="4"/>
        <v>3878.7288483149314</v>
      </c>
      <c r="K26" s="48">
        <f t="shared" si="4"/>
        <v>4143.8905656504357</v>
      </c>
      <c r="L26" s="48">
        <f t="shared" si="4"/>
        <v>4426.6719551750502</v>
      </c>
      <c r="M26" s="48">
        <f t="shared" si="4"/>
        <v>4728.1281015631466</v>
      </c>
      <c r="N26" s="48">
        <f t="shared" si="4"/>
        <v>5050.8259614458075</v>
      </c>
      <c r="O26" s="48">
        <f t="shared" si="4"/>
        <v>5400.2666857894219</v>
      </c>
      <c r="P26" s="48">
        <f t="shared" si="4"/>
        <v>5771.6185434311665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73">
        <f t="shared" ref="C27:AF27" si="5">C24*(C23-B41)/(C41-B41)*$E$64</f>
        <v>1834.888438323045</v>
      </c>
      <c r="D27" s="373">
        <f t="shared" si="5"/>
        <v>1751.7710450629686</v>
      </c>
      <c r="E27" s="373">
        <f t="shared" si="5"/>
        <v>1672.6438267285494</v>
      </c>
      <c r="F27" s="373">
        <f t="shared" si="5"/>
        <v>1559.9031440021035</v>
      </c>
      <c r="G27" s="373">
        <f t="shared" si="5"/>
        <v>1454.2328214074289</v>
      </c>
      <c r="H27" s="373">
        <f t="shared" si="5"/>
        <v>1341.3257213318302</v>
      </c>
      <c r="I27" s="373">
        <f t="shared" si="5"/>
        <v>1230.787271738764</v>
      </c>
      <c r="J27" s="373">
        <f t="shared" si="5"/>
        <v>1091.8735065454289</v>
      </c>
      <c r="K27" s="373">
        <f t="shared" si="5"/>
        <v>954.37569060250212</v>
      </c>
      <c r="L27" s="373">
        <f t="shared" si="5"/>
        <v>807.38179720842368</v>
      </c>
      <c r="M27" s="373">
        <f t="shared" si="5"/>
        <v>655.66626509069386</v>
      </c>
      <c r="N27" s="373">
        <f t="shared" si="5"/>
        <v>482.36612344377176</v>
      </c>
      <c r="O27" s="373">
        <f t="shared" si="5"/>
        <v>303.09344222670092</v>
      </c>
      <c r="P27" s="373">
        <f t="shared" si="5"/>
        <v>111.35243100792883</v>
      </c>
      <c r="Q27" s="373">
        <f t="shared" si="5"/>
        <v>0</v>
      </c>
      <c r="R27" s="373">
        <f t="shared" si="5"/>
        <v>0</v>
      </c>
      <c r="S27" s="373">
        <f t="shared" si="5"/>
        <v>0</v>
      </c>
      <c r="T27" s="373">
        <f t="shared" si="5"/>
        <v>0</v>
      </c>
      <c r="U27" s="373">
        <f t="shared" si="5"/>
        <v>0</v>
      </c>
      <c r="V27" s="373">
        <f t="shared" si="5"/>
        <v>0</v>
      </c>
      <c r="W27" s="373">
        <f t="shared" si="5"/>
        <v>0</v>
      </c>
      <c r="X27" s="373">
        <f t="shared" si="5"/>
        <v>0</v>
      </c>
      <c r="Y27" s="373">
        <f t="shared" si="5"/>
        <v>0</v>
      </c>
      <c r="Z27" s="373">
        <f t="shared" si="5"/>
        <v>0</v>
      </c>
      <c r="AA27" s="373">
        <f t="shared" si="5"/>
        <v>0</v>
      </c>
      <c r="AB27" s="373">
        <f t="shared" si="5"/>
        <v>0</v>
      </c>
      <c r="AC27" s="373">
        <f t="shared" si="5"/>
        <v>0</v>
      </c>
      <c r="AD27" s="373">
        <f t="shared" si="5"/>
        <v>0</v>
      </c>
      <c r="AE27" s="373">
        <f t="shared" si="5"/>
        <v>0</v>
      </c>
      <c r="AF27" s="373">
        <f t="shared" si="5"/>
        <v>0</v>
      </c>
      <c r="AG27"/>
    </row>
    <row r="28" spans="1:33">
      <c r="A28" s="48" t="s">
        <v>57</v>
      </c>
      <c r="B28"/>
      <c r="C28" s="159">
        <f t="shared" ref="C28:AF28" si="6">MAX(C24+C25+B44+C27-0.5*C13,0)</f>
        <v>102788.05401394147</v>
      </c>
      <c r="D28" s="159">
        <f t="shared" si="6"/>
        <v>97754.578319066073</v>
      </c>
      <c r="E28" s="159">
        <f t="shared" si="6"/>
        <v>92272.254261932118</v>
      </c>
      <c r="F28" s="159">
        <f t="shared" si="6"/>
        <v>86396.450765401663</v>
      </c>
      <c r="G28" s="159">
        <f t="shared" si="6"/>
        <v>80140.465148129428</v>
      </c>
      <c r="H28" s="159">
        <f t="shared" si="6"/>
        <v>73455.44481732008</v>
      </c>
      <c r="I28" s="159">
        <f t="shared" si="6"/>
        <v>66321.465098317756</v>
      </c>
      <c r="J28" s="159">
        <f t="shared" si="6"/>
        <v>58685.451668024405</v>
      </c>
      <c r="K28" s="159">
        <f t="shared" si="6"/>
        <v>50541.686682373635</v>
      </c>
      <c r="L28" s="159">
        <f t="shared" si="6"/>
        <v>41836.17827733275</v>
      </c>
      <c r="M28" s="159">
        <f t="shared" si="6"/>
        <v>32534.892554212318</v>
      </c>
      <c r="N28" s="159">
        <f t="shared" si="6"/>
        <v>22588.677187216155</v>
      </c>
      <c r="O28" s="159">
        <f t="shared" si="6"/>
        <v>11966.939972412438</v>
      </c>
      <c r="P28" s="159">
        <f t="shared" si="6"/>
        <v>608.85827256475659</v>
      </c>
      <c r="Q28" s="159">
        <f t="shared" si="6"/>
        <v>0</v>
      </c>
      <c r="R28" s="159">
        <f t="shared" si="6"/>
        <v>0</v>
      </c>
      <c r="S28" s="159">
        <f t="shared" si="6"/>
        <v>0</v>
      </c>
      <c r="T28" s="159">
        <f t="shared" si="6"/>
        <v>0</v>
      </c>
      <c r="U28" s="159">
        <f t="shared" si="6"/>
        <v>0</v>
      </c>
      <c r="V28" s="159">
        <f t="shared" si="6"/>
        <v>0</v>
      </c>
      <c r="W28" s="159">
        <f t="shared" si="6"/>
        <v>0</v>
      </c>
      <c r="X28" s="159">
        <f t="shared" si="6"/>
        <v>0</v>
      </c>
      <c r="Y28" s="159">
        <f t="shared" si="6"/>
        <v>0</v>
      </c>
      <c r="Z28" s="159">
        <f t="shared" si="6"/>
        <v>0</v>
      </c>
      <c r="AA28" s="159">
        <f t="shared" si="6"/>
        <v>0</v>
      </c>
      <c r="AB28" s="159">
        <f t="shared" si="6"/>
        <v>0</v>
      </c>
      <c r="AC28" s="159">
        <f t="shared" si="6"/>
        <v>0</v>
      </c>
      <c r="AD28" s="159">
        <f t="shared" si="6"/>
        <v>0</v>
      </c>
      <c r="AE28" s="159">
        <f t="shared" si="6"/>
        <v>0</v>
      </c>
      <c r="AF28" s="159">
        <f t="shared" si="6"/>
        <v>0</v>
      </c>
      <c r="AG28"/>
    </row>
    <row r="29" spans="1:33">
      <c r="A29" s="48" t="s">
        <v>314</v>
      </c>
      <c r="B29"/>
      <c r="C29" s="159">
        <f>(C23-B41)/(C41-B41)*IS!D32+(B41-B32)/(B41-Assumptions!H17)*IS!C32</f>
        <v>7656.2029534790863</v>
      </c>
      <c r="D29" s="159">
        <f>(D23-C41)/(D41-C41)*IS!E32+(C41-C32)/(C41-B41)*IS!D32</f>
        <v>7944.0285986507288</v>
      </c>
      <c r="E29" s="159">
        <f>(E23-D41)/(E41-D41)*IS!F32+(D41-D32)/(D41-C41)*IS!E32</f>
        <v>7964.0420675441137</v>
      </c>
      <c r="F29" s="159">
        <f>(F23-E41)/(F41-E41)*IS!G32+(E41-E32)/(E41-D41)*IS!F32</f>
        <v>7907.7795182971859</v>
      </c>
      <c r="G29" s="159">
        <f>(G23-F41)/(G41-F41)*IS!H32+(F41-F32)/(F41-E41)*IS!G32</f>
        <v>7905.5123176295783</v>
      </c>
      <c r="H29" s="159">
        <f>(H23-G41)/(H41-G41)*IS!I32+(G41-G32)/(G41-F41)*IS!H32</f>
        <v>7892.156617214634</v>
      </c>
      <c r="I29" s="159">
        <f>(I23-H41)/(I41-H41)*IS!J32+(H41-H32)/(H41-G41)*IS!I32</f>
        <v>7910.912855483366</v>
      </c>
      <c r="J29" s="159">
        <f>(J23-I41)/(J41-I41)*IS!K32+(I41-I32)/(I41-H41)*IS!J32</f>
        <v>7853.8849050907438</v>
      </c>
      <c r="K29" s="159">
        <f>(K23-J41)/(K41-J41)*IS!L32+(J41-J32)/(J41-I41)*IS!K32</f>
        <v>7850.4653559537437</v>
      </c>
      <c r="L29" s="159">
        <f>(L23-K41)/(L41-K41)*IS!M32+(K41-K32)/(K41-J41)*IS!L32</f>
        <v>7836.0087163052831</v>
      </c>
      <c r="M29" s="159">
        <f>(M23-L41)/(M41-L41)*IS!N32+(L41-L32)/(L41-K41)*IS!M32</f>
        <v>7853.4040877133539</v>
      </c>
      <c r="N29" s="159">
        <f>(N23-M41)/(N41-M41)*IS!O32+(M41-M32)/(M41-L41)*IS!N32</f>
        <v>7795.5476425053312</v>
      </c>
      <c r="O29" s="159">
        <f>(O23-N41)/(O41-N41)*IS!P32+(N41-N32)/(N41-M41)*IS!O32</f>
        <v>7790.8807543255316</v>
      </c>
      <c r="P29" s="159">
        <f>(P23-O41)/(P41-O41)*IS!Q32+(O41-O32)/(O41-N41)*IS!P32</f>
        <v>7775.2324226445071</v>
      </c>
      <c r="Q29" s="159">
        <f>(Q23-P41)/(Q41-P41)*IS!R32+(P41-P32)/(P41-O41)*IS!Q32</f>
        <v>7791.1547479971196</v>
      </c>
      <c r="R29" s="159">
        <f>(R23-Q41)/(R41-Q41)*IS!S32+(Q41-Q32)/(Q41-P41)*IS!R32</f>
        <v>7732.4015133565135</v>
      </c>
      <c r="S29" s="159">
        <f>(S23-R41)/(S41-R41)*IS!T32+(R41-R32)/(R41-Q41)*IS!S32</f>
        <v>7726.3844652823682</v>
      </c>
      <c r="T29" s="159">
        <f>(T23-S41)/(T41-S41)*IS!U32+(S41-S32)/(S41-R41)*IS!T32</f>
        <v>7709.4462078204806</v>
      </c>
      <c r="U29" s="159">
        <f>(U23-T41)/(U41-T41)*IS!V32+(T41-T32)/(T41-S41)*IS!U32</f>
        <v>7723.7740607495034</v>
      </c>
      <c r="V29" s="159">
        <f>(V23-U41)/(V41-U41)*IS!W32+(U41-U32)/(U41-T41)*IS!V32</f>
        <v>7664.0501123863232</v>
      </c>
      <c r="W29" s="159">
        <f>(W23-V41)/(W41-V41)*IS!X32+(V41-V32)/(V41-U41)*IS!W32</f>
        <v>7656.5716078213918</v>
      </c>
      <c r="X29" s="159">
        <f>(X23-W41)/(X41-W41)*IS!Y32+(W41-W32)/(W41-V41)*IS!X32</f>
        <v>7638.237093210284</v>
      </c>
      <c r="Y29" s="159">
        <f>(Y23-X41)/(Y41-X41)*IS!Z32+(X41-X32)/(X41-W41)*IS!Y32</f>
        <v>7650.83903790978</v>
      </c>
      <c r="Z29" s="159">
        <f>(Z23-Y41)/(Z41-Y41)*IS!AA32+(Y41-Y32)/(Y41-X41)*IS!Z32</f>
        <v>7590.0643577951314</v>
      </c>
      <c r="AA29" s="159">
        <f>(AA23-Z41)/(AA41-Z41)*IS!AB32+(Z41-Z32)/(Z41-Y41)*IS!AA32</f>
        <v>7581.0039257241351</v>
      </c>
      <c r="AB29" s="159">
        <f>(AB23-AA41)/(AB41-AA41)*IS!AC32+(AA41-AA32)/(AA41-Z41)*IS!AB32</f>
        <v>7561.1580574710824</v>
      </c>
      <c r="AC29" s="159">
        <f>(AC23-AB41)/(AC41-AB41)*IS!AD32+(AB41-AB32)/(AB41-AA41)*IS!AC32</f>
        <v>7571.8918235977308</v>
      </c>
      <c r="AD29" s="159">
        <f>(AD23-AC41)/(AD41-AC41)*IS!AE32+(AC41-AC32)/(AC41-AB41)*IS!AD32</f>
        <v>7509.9797976437585</v>
      </c>
      <c r="AE29" s="159">
        <f>(AE23-AD41)/(AE41-AD41)*IS!AF32+(AD41-AD32)/(AD41-AC41)*IS!AE32</f>
        <v>7499.2070363654084</v>
      </c>
      <c r="AF29" s="159">
        <f>(AF23-AE41)/(AG23-AE41)*IS!AG32+(AE41-AE32)/(AE41-AD41)*IS!AF32</f>
        <v>5732.878934603079</v>
      </c>
      <c r="AG29"/>
    </row>
    <row r="30" spans="1:33">
      <c r="A30" s="392" t="s">
        <v>0</v>
      </c>
      <c r="B30" s="394"/>
      <c r="C30" s="393">
        <f>IF(C28&gt;0.1,C29/(C27+C26+B44)," ")</f>
        <v>1.2719452816211139</v>
      </c>
      <c r="D30" s="393">
        <f t="shared" ref="D30:AF30" si="7">IF(D28&gt;0.1,D29/(D27+D26+C44)," ")</f>
        <v>1.2969483382108209</v>
      </c>
      <c r="E30" s="393">
        <f t="shared" si="7"/>
        <v>1.3014038234992047</v>
      </c>
      <c r="F30" s="393">
        <f t="shared" si="7"/>
        <v>1.2960813473364368</v>
      </c>
      <c r="G30" s="393">
        <f t="shared" si="7"/>
        <v>1.2969822041472194</v>
      </c>
      <c r="H30" s="393">
        <f t="shared" si="7"/>
        <v>1.2969940249184568</v>
      </c>
      <c r="I30" s="393">
        <f t="shared" si="7"/>
        <v>1.30145038824158</v>
      </c>
      <c r="J30" s="393">
        <f t="shared" si="7"/>
        <v>1.296129135382704</v>
      </c>
      <c r="K30" s="393">
        <f t="shared" si="7"/>
        <v>1.2970311848749514</v>
      </c>
      <c r="L30" s="393">
        <f t="shared" si="7"/>
        <v>1.2970441630937553</v>
      </c>
      <c r="M30" s="393">
        <f t="shared" si="7"/>
        <v>1.3015015053276857</v>
      </c>
      <c r="N30" s="393">
        <f t="shared" si="7"/>
        <v>1.2961816114741167</v>
      </c>
      <c r="O30" s="393">
        <f t="shared" si="7"/>
        <v>1.2970849875412536</v>
      </c>
      <c r="P30" s="393">
        <f t="shared" si="7"/>
        <v>1.2970992548682267</v>
      </c>
      <c r="Q30" s="393" t="str">
        <f t="shared" si="7"/>
        <v xml:space="preserve"> </v>
      </c>
      <c r="R30" s="393" t="str">
        <f t="shared" si="7"/>
        <v xml:space="preserve"> </v>
      </c>
      <c r="S30" s="393" t="str">
        <f t="shared" si="7"/>
        <v xml:space="preserve"> </v>
      </c>
      <c r="T30" s="393" t="str">
        <f t="shared" si="7"/>
        <v xml:space="preserve"> </v>
      </c>
      <c r="U30" s="393" t="str">
        <f t="shared" si="7"/>
        <v xml:space="preserve"> </v>
      </c>
      <c r="V30" s="393" t="str">
        <f t="shared" si="7"/>
        <v xml:space="preserve"> </v>
      </c>
      <c r="W30" s="393" t="str">
        <f t="shared" si="7"/>
        <v xml:space="preserve"> </v>
      </c>
      <c r="X30" s="393" t="str">
        <f t="shared" si="7"/>
        <v xml:space="preserve"> </v>
      </c>
      <c r="Y30" s="393" t="str">
        <f t="shared" si="7"/>
        <v xml:space="preserve"> </v>
      </c>
      <c r="Z30" s="393" t="str">
        <f t="shared" si="7"/>
        <v xml:space="preserve"> </v>
      </c>
      <c r="AA30" s="393" t="str">
        <f t="shared" si="7"/>
        <v xml:space="preserve"> </v>
      </c>
      <c r="AB30" s="393" t="str">
        <f t="shared" si="7"/>
        <v xml:space="preserve"> </v>
      </c>
      <c r="AC30" s="393" t="str">
        <f t="shared" si="7"/>
        <v xml:space="preserve"> </v>
      </c>
      <c r="AD30" s="393" t="str">
        <f t="shared" si="7"/>
        <v xml:space="preserve"> </v>
      </c>
      <c r="AE30" s="393" t="str">
        <f t="shared" si="7"/>
        <v xml:space="preserve"> </v>
      </c>
      <c r="AF30" s="393" t="str">
        <f t="shared" si="7"/>
        <v xml:space="preserve"> </v>
      </c>
      <c r="AG30"/>
    </row>
    <row r="31" spans="1:33">
      <c r="A31" s="11"/>
      <c r="B31" s="369"/>
      <c r="C31" s="53"/>
      <c r="AG31"/>
    </row>
    <row r="32" spans="1:33">
      <c r="A32" s="391" t="s">
        <v>395</v>
      </c>
      <c r="B32" s="379">
        <v>37165</v>
      </c>
      <c r="C32" s="379">
        <v>37530</v>
      </c>
      <c r="D32" s="379">
        <v>37895</v>
      </c>
      <c r="E32" s="379">
        <v>38261</v>
      </c>
      <c r="F32" s="379">
        <v>38626</v>
      </c>
      <c r="G32" s="379">
        <v>38991</v>
      </c>
      <c r="H32" s="379">
        <v>39356</v>
      </c>
      <c r="I32" s="379">
        <v>39722</v>
      </c>
      <c r="J32" s="379">
        <v>40087</v>
      </c>
      <c r="K32" s="379">
        <v>40452</v>
      </c>
      <c r="L32" s="379">
        <v>40817</v>
      </c>
      <c r="M32" s="379">
        <v>41183</v>
      </c>
      <c r="N32" s="379">
        <v>41548</v>
      </c>
      <c r="O32" s="379">
        <v>41913</v>
      </c>
      <c r="P32" s="379">
        <v>42278</v>
      </c>
      <c r="Q32" s="379">
        <v>42644</v>
      </c>
      <c r="R32" s="379">
        <v>43009</v>
      </c>
      <c r="S32" s="379">
        <v>43374</v>
      </c>
      <c r="T32" s="379">
        <v>43739</v>
      </c>
      <c r="U32" s="379">
        <v>44105</v>
      </c>
      <c r="V32" s="379">
        <v>44470</v>
      </c>
      <c r="W32" s="379">
        <v>44835</v>
      </c>
      <c r="X32" s="379">
        <v>45200</v>
      </c>
      <c r="Y32" s="379">
        <v>45566</v>
      </c>
      <c r="Z32" s="379">
        <v>45931</v>
      </c>
      <c r="AA32" s="379">
        <v>46296</v>
      </c>
      <c r="AB32" s="379">
        <v>46661</v>
      </c>
      <c r="AC32" s="379">
        <v>47027</v>
      </c>
      <c r="AD32" s="379">
        <v>47392</v>
      </c>
      <c r="AE32" s="379">
        <v>47757</v>
      </c>
      <c r="AF32" s="379">
        <v>47969</v>
      </c>
      <c r="AG32"/>
    </row>
    <row r="33" spans="1:39">
      <c r="A33" s="48" t="s">
        <v>54</v>
      </c>
      <c r="B33" s="370">
        <f>Assumptions!C12</f>
        <v>106768.91410933004</v>
      </c>
      <c r="C33" s="48">
        <f>C28</f>
        <v>102788.05401394147</v>
      </c>
      <c r="D33" s="48">
        <f t="shared" ref="D33:AF33" si="8">D28</f>
        <v>97754.578319066073</v>
      </c>
      <c r="E33" s="48">
        <f t="shared" si="8"/>
        <v>92272.254261932118</v>
      </c>
      <c r="F33" s="48">
        <f t="shared" si="8"/>
        <v>86396.450765401663</v>
      </c>
      <c r="G33" s="48">
        <f t="shared" si="8"/>
        <v>80140.465148129428</v>
      </c>
      <c r="H33" s="48">
        <f t="shared" si="8"/>
        <v>73455.44481732008</v>
      </c>
      <c r="I33" s="48">
        <f t="shared" si="8"/>
        <v>66321.465098317756</v>
      </c>
      <c r="J33" s="48">
        <f t="shared" si="8"/>
        <v>58685.451668024405</v>
      </c>
      <c r="K33" s="48">
        <f t="shared" si="8"/>
        <v>50541.686682373635</v>
      </c>
      <c r="L33" s="48">
        <f t="shared" si="8"/>
        <v>41836.17827733275</v>
      </c>
      <c r="M33" s="48">
        <f t="shared" si="8"/>
        <v>32534.892554212318</v>
      </c>
      <c r="N33" s="48">
        <f t="shared" si="8"/>
        <v>22588.677187216155</v>
      </c>
      <c r="O33" s="48">
        <f t="shared" si="8"/>
        <v>11966.939972412438</v>
      </c>
      <c r="P33" s="48">
        <f t="shared" si="8"/>
        <v>608.85827256475659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312</v>
      </c>
      <c r="B34" s="370">
        <v>0</v>
      </c>
      <c r="C34" s="370">
        <v>0</v>
      </c>
      <c r="D34" s="370">
        <v>0</v>
      </c>
      <c r="E34" s="370">
        <v>0</v>
      </c>
      <c r="F34" s="370">
        <v>0</v>
      </c>
      <c r="G34" s="370">
        <v>0</v>
      </c>
      <c r="H34" s="370">
        <v>0</v>
      </c>
      <c r="I34" s="370">
        <v>0</v>
      </c>
      <c r="J34" s="370">
        <v>0</v>
      </c>
      <c r="K34" s="370">
        <v>0</v>
      </c>
      <c r="L34" s="370">
        <v>0</v>
      </c>
      <c r="M34" s="370">
        <v>0</v>
      </c>
      <c r="N34" s="370">
        <v>0</v>
      </c>
      <c r="O34" s="370">
        <v>0</v>
      </c>
      <c r="P34" s="370">
        <v>0</v>
      </c>
      <c r="Q34" s="370">
        <v>0</v>
      </c>
      <c r="R34" s="370">
        <v>0</v>
      </c>
      <c r="S34" s="370">
        <v>0</v>
      </c>
      <c r="T34" s="370">
        <v>0</v>
      </c>
      <c r="U34" s="370">
        <v>0</v>
      </c>
      <c r="V34" s="370">
        <v>0</v>
      </c>
      <c r="W34" s="370">
        <v>0</v>
      </c>
      <c r="X34" s="370">
        <v>0</v>
      </c>
      <c r="Y34" s="370">
        <v>0</v>
      </c>
      <c r="Z34" s="370">
        <v>0</v>
      </c>
      <c r="AA34" s="370">
        <v>0</v>
      </c>
      <c r="AB34" s="370">
        <v>0</v>
      </c>
      <c r="AC34" s="370">
        <v>0</v>
      </c>
      <c r="AD34" s="370">
        <v>0</v>
      </c>
      <c r="AE34" s="370">
        <v>0</v>
      </c>
      <c r="AF34" s="370">
        <v>0</v>
      </c>
      <c r="AG34"/>
    </row>
    <row r="35" spans="1:39">
      <c r="A35" s="48" t="s">
        <v>55</v>
      </c>
      <c r="B35" s="48">
        <f>B33-B37</f>
        <v>1630.0946449797339</v>
      </c>
      <c r="C35" s="48">
        <f>C33-C37</f>
        <v>2411.8481351371302</v>
      </c>
      <c r="D35" s="48">
        <f t="shared" ref="D35:AF35" si="9">D33-D37</f>
        <v>2694.3856820087531</v>
      </c>
      <c r="E35" s="48">
        <f t="shared" si="9"/>
        <v>2890.0489933657373</v>
      </c>
      <c r="F35" s="48">
        <f t="shared" si="9"/>
        <v>3069.1383927624847</v>
      </c>
      <c r="G35" s="48">
        <f t="shared" si="9"/>
        <v>3282.7118850025727</v>
      </c>
      <c r="H35" s="48">
        <f t="shared" si="9"/>
        <v>3506.9756470735301</v>
      </c>
      <c r="I35" s="48">
        <f t="shared" si="9"/>
        <v>3757.2845819784197</v>
      </c>
      <c r="J35" s="48">
        <f t="shared" si="9"/>
        <v>3999.8744200003348</v>
      </c>
      <c r="K35" s="48">
        <f t="shared" si="9"/>
        <v>4278.8364498658339</v>
      </c>
      <c r="L35" s="48">
        <f t="shared" si="9"/>
        <v>4573.1576215572859</v>
      </c>
      <c r="M35" s="48">
        <f t="shared" si="9"/>
        <v>4895.3894055503551</v>
      </c>
      <c r="N35" s="48">
        <f t="shared" si="9"/>
        <v>5221.4705290142956</v>
      </c>
      <c r="O35" s="48">
        <f t="shared" si="9"/>
        <v>5586.4631564165147</v>
      </c>
      <c r="P35" s="48">
        <f t="shared" si="9"/>
        <v>608.85827256475659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73">
        <f>B33*(B32-Assumptions!H17)/365.25*$E$64</f>
        <v>3130.7188777848723</v>
      </c>
      <c r="C36" s="373">
        <f t="shared" ref="C36:AF36" si="10">C33*(C32-C23)/(C41-B41)*$E$64</f>
        <v>3607.4382792290135</v>
      </c>
      <c r="D36" s="373">
        <f t="shared" si="10"/>
        <v>3430.7839678554415</v>
      </c>
      <c r="E36" s="373">
        <f t="shared" si="10"/>
        <v>3229.5288991676243</v>
      </c>
      <c r="F36" s="373">
        <f t="shared" si="10"/>
        <v>3032.1603679583427</v>
      </c>
      <c r="G36" s="373">
        <f t="shared" si="10"/>
        <v>2812.6009823220215</v>
      </c>
      <c r="H36" s="373">
        <f t="shared" si="10"/>
        <v>2577.9842413969045</v>
      </c>
      <c r="I36" s="373">
        <f t="shared" si="10"/>
        <v>2321.251278441121</v>
      </c>
      <c r="J36" s="373">
        <f t="shared" si="10"/>
        <v>2059.6181804586099</v>
      </c>
      <c r="K36" s="373">
        <f t="shared" si="10"/>
        <v>1773.8054969896057</v>
      </c>
      <c r="L36" s="373">
        <f t="shared" si="10"/>
        <v>1468.2779280346094</v>
      </c>
      <c r="M36" s="373">
        <f t="shared" si="10"/>
        <v>1138.721239397431</v>
      </c>
      <c r="N36" s="373">
        <f t="shared" si="10"/>
        <v>792.7697390910655</v>
      </c>
      <c r="O36" s="373">
        <f t="shared" si="10"/>
        <v>419.99041382631037</v>
      </c>
      <c r="P36" s="373">
        <f t="shared" si="10"/>
        <v>21.368423209738445</v>
      </c>
      <c r="Q36" s="373">
        <f t="shared" si="10"/>
        <v>0</v>
      </c>
      <c r="R36" s="373">
        <f t="shared" si="10"/>
        <v>0</v>
      </c>
      <c r="S36" s="373">
        <f t="shared" si="10"/>
        <v>0</v>
      </c>
      <c r="T36" s="373">
        <f t="shared" si="10"/>
        <v>0</v>
      </c>
      <c r="U36" s="373">
        <f t="shared" si="10"/>
        <v>0</v>
      </c>
      <c r="V36" s="373">
        <f t="shared" si="10"/>
        <v>0</v>
      </c>
      <c r="W36" s="373">
        <f t="shared" si="10"/>
        <v>0</v>
      </c>
      <c r="X36" s="373">
        <f t="shared" si="10"/>
        <v>0</v>
      </c>
      <c r="Y36" s="373">
        <f t="shared" si="10"/>
        <v>0</v>
      </c>
      <c r="Z36" s="373">
        <f t="shared" si="10"/>
        <v>0</v>
      </c>
      <c r="AA36" s="373">
        <f t="shared" si="10"/>
        <v>0</v>
      </c>
      <c r="AB36" s="373">
        <f t="shared" si="10"/>
        <v>0</v>
      </c>
      <c r="AC36" s="373">
        <f t="shared" si="10"/>
        <v>0</v>
      </c>
      <c r="AD36" s="373">
        <f t="shared" si="10"/>
        <v>0</v>
      </c>
      <c r="AE36" s="373">
        <f t="shared" si="10"/>
        <v>0</v>
      </c>
      <c r="AF36" s="373">
        <f t="shared" si="10"/>
        <v>0</v>
      </c>
      <c r="AG36"/>
    </row>
    <row r="37" spans="1:39">
      <c r="A37" s="48" t="s">
        <v>57</v>
      </c>
      <c r="B37" s="159">
        <f>MAX(B33+B34+B36-B13,0)</f>
        <v>105138.81946435031</v>
      </c>
      <c r="C37" s="159">
        <f>MAX(C33+C34+C36-0.5*C13,0)</f>
        <v>100376.20587880434</v>
      </c>
      <c r="D37" s="159">
        <f t="shared" ref="D37:AF37" si="11">MAX(D33+D34+D36-0.5*D13,0)</f>
        <v>95060.19263705732</v>
      </c>
      <c r="E37" s="159">
        <f t="shared" si="11"/>
        <v>89382.20526856638</v>
      </c>
      <c r="F37" s="159">
        <f t="shared" si="11"/>
        <v>83327.312372639179</v>
      </c>
      <c r="G37" s="159">
        <f t="shared" si="11"/>
        <v>76857.753263126855</v>
      </c>
      <c r="H37" s="159">
        <f t="shared" si="11"/>
        <v>69948.46917024655</v>
      </c>
      <c r="I37" s="159">
        <f t="shared" si="11"/>
        <v>62564.180516339336</v>
      </c>
      <c r="J37" s="159">
        <f t="shared" si="11"/>
        <v>54685.57724802407</v>
      </c>
      <c r="K37" s="159">
        <f t="shared" si="11"/>
        <v>46262.850232507801</v>
      </c>
      <c r="L37" s="159">
        <f t="shared" si="11"/>
        <v>37263.020655775465</v>
      </c>
      <c r="M37" s="159">
        <f t="shared" si="11"/>
        <v>27639.503148661963</v>
      </c>
      <c r="N37" s="159">
        <f t="shared" si="11"/>
        <v>17367.20665820186</v>
      </c>
      <c r="O37" s="159">
        <f t="shared" si="11"/>
        <v>6380.4768159959231</v>
      </c>
      <c r="P37" s="159">
        <f t="shared" si="11"/>
        <v>0</v>
      </c>
      <c r="Q37" s="159">
        <f t="shared" si="11"/>
        <v>0</v>
      </c>
      <c r="R37" s="159">
        <f t="shared" si="11"/>
        <v>0</v>
      </c>
      <c r="S37" s="159">
        <f t="shared" si="11"/>
        <v>0</v>
      </c>
      <c r="T37" s="159">
        <f t="shared" si="11"/>
        <v>0</v>
      </c>
      <c r="U37" s="159">
        <f t="shared" si="11"/>
        <v>0</v>
      </c>
      <c r="V37" s="159">
        <f t="shared" si="11"/>
        <v>0</v>
      </c>
      <c r="W37" s="159">
        <f t="shared" si="11"/>
        <v>0</v>
      </c>
      <c r="X37" s="159">
        <f t="shared" si="11"/>
        <v>0</v>
      </c>
      <c r="Y37" s="159">
        <f t="shared" si="11"/>
        <v>0</v>
      </c>
      <c r="Z37" s="159">
        <f t="shared" si="11"/>
        <v>0</v>
      </c>
      <c r="AA37" s="159">
        <f t="shared" si="11"/>
        <v>0</v>
      </c>
      <c r="AB37" s="159">
        <f t="shared" si="11"/>
        <v>0</v>
      </c>
      <c r="AC37" s="159">
        <f t="shared" si="11"/>
        <v>0</v>
      </c>
      <c r="AD37" s="159">
        <f t="shared" si="11"/>
        <v>0</v>
      </c>
      <c r="AE37" s="159">
        <f t="shared" si="11"/>
        <v>0</v>
      </c>
      <c r="AF37" s="159">
        <f t="shared" si="11"/>
        <v>0</v>
      </c>
      <c r="AG37"/>
    </row>
    <row r="38" spans="1:39">
      <c r="A38" s="48" t="s">
        <v>314</v>
      </c>
      <c r="B38" s="159">
        <f>(B32-Assumptions!H17)/(Debt!B41-Assumptions!H17)*IS!C32</f>
        <v>6189.0575795939958</v>
      </c>
      <c r="C38" s="159">
        <f>(C32-C23)/(C41-B41)*IS!D32</f>
        <v>7993.9417238728802</v>
      </c>
      <c r="D38" s="159">
        <f>(D32-D23)/(D41-C41)*IS!E32</f>
        <v>7981.4124909961683</v>
      </c>
      <c r="E38" s="159">
        <f>(E32-E23)/(E41-D41)*IS!F32</f>
        <v>7946.8604530426255</v>
      </c>
      <c r="F38" s="159">
        <f>(F32-F23)/(F41-E41)*IS!G32</f>
        <v>7955.5972595769908</v>
      </c>
      <c r="G38" s="159">
        <f>(G32-G23)/(G41-F41)*IS!H32</f>
        <v>7942.3011374143607</v>
      </c>
      <c r="H38" s="159">
        <f>(H32-H23)/(H41-G41)*IS!I32</f>
        <v>7928.7390928084778</v>
      </c>
      <c r="I38" s="159">
        <f>(I32-I23)/(I41-H41)*IS!J32</f>
        <v>7893.280381607442</v>
      </c>
      <c r="J38" s="159">
        <f>(J32-J23)/(J41-I41)*IS!K32</f>
        <v>7900.7958561025171</v>
      </c>
      <c r="K38" s="159">
        <f>(K32-K23)/(K41-J41)*IS!L32</f>
        <v>7886.4037058703971</v>
      </c>
      <c r="L38" s="159">
        <f>(L32-L23)/(L41-K41)*IS!M32</f>
        <v>7871.7237126336349</v>
      </c>
      <c r="M38" s="159">
        <f>(M32-M23)/(M41-L41)*IS!N32</f>
        <v>7835.2835891509021</v>
      </c>
      <c r="N38" s="159">
        <f>(N32-N23)/(N41-M41)*IS!O32</f>
        <v>7841.4770545686097</v>
      </c>
      <c r="O38" s="159">
        <f>(O32-O23)/(O41-N41)*IS!P32</f>
        <v>7825.8985283058128</v>
      </c>
      <c r="P38" s="159">
        <f>(P32-P23)/(P41-O41)*IS!Q32</f>
        <v>7810.0084315177592</v>
      </c>
      <c r="Q38" s="159">
        <f>(Q32-Q23)/(Q41-P41)*IS!R32</f>
        <v>7772.5059958190959</v>
      </c>
      <c r="R38" s="159">
        <f>(R32-R23)/(R41-Q41)*IS!S32</f>
        <v>7777.2684760956527</v>
      </c>
      <c r="S38" s="159">
        <f>(S32-S23)/(S41-R41)*IS!T32</f>
        <v>7760.4057782633963</v>
      </c>
      <c r="T38" s="159">
        <f>(T32-T23)/(T41-S41)*IS!U32</f>
        <v>7743.2058264744946</v>
      </c>
      <c r="U38" s="159">
        <f>(U32-U23)/(U41-T41)*IS!V32</f>
        <v>7704.553509869349</v>
      </c>
      <c r="V38" s="159">
        <f>(V32-V23)/(V41-U41)*IS!W32</f>
        <v>7707.7670458086404</v>
      </c>
      <c r="W38" s="159">
        <f>(W32-W23)/(W41-V41)*IS!X32</f>
        <v>7689.5143193706435</v>
      </c>
      <c r="X38" s="159">
        <f>(X32-X23)/(X41-W41)*IS!Y32</f>
        <v>7670.8965384038866</v>
      </c>
      <c r="Y38" s="159">
        <f>(Y32-Y23)/(Y41-X41)*IS!Z32</f>
        <v>7630.9995537253944</v>
      </c>
      <c r="Z38" s="159">
        <f>(Z32-Z23)/(Z41-Y41)*IS!AA32</f>
        <v>7632.5364624999802</v>
      </c>
      <c r="AA38" s="159">
        <f>(AA32-AA23)/(AA41-Z41)*IS!AB32</f>
        <v>7612.779124395809</v>
      </c>
      <c r="AB38" s="159">
        <f>(AB32-AB23)/(AB41-AA41)*IS!AC32</f>
        <v>7592.6266395295552</v>
      </c>
      <c r="AC38" s="159">
        <f>(AC32-AC23)/(AC41-AB41)*IS!AD32</f>
        <v>7551.3823860999491</v>
      </c>
      <c r="AD38" s="159">
        <f>(AD32-AD23)/(AD41-AC41)*IS!AE32</f>
        <v>7551.1044597111268</v>
      </c>
      <c r="AE38" s="159">
        <f>(AE32-AE23)/(AE41-AD41)*IS!AF32</f>
        <v>7529.7184815511791</v>
      </c>
      <c r="AF38" s="159">
        <f>(AF32-AF23)/(AG23-AE41)*IS!AG32</f>
        <v>655.58000938786927</v>
      </c>
      <c r="AG38"/>
    </row>
    <row r="39" spans="1:39">
      <c r="A39" s="392" t="s">
        <v>0</v>
      </c>
      <c r="B39" s="393">
        <f t="shared" ref="B39:AF39" si="12">IF(B37&gt;0.1,B38/(B36+B35)," ")</f>
        <v>1.3000000000000016</v>
      </c>
      <c r="C39" s="393">
        <f t="shared" si="12"/>
        <v>1.3280547183788856</v>
      </c>
      <c r="D39" s="393">
        <f t="shared" si="12"/>
        <v>1.3030516617891768</v>
      </c>
      <c r="E39" s="393">
        <f t="shared" si="12"/>
        <v>1.2985961765007965</v>
      </c>
      <c r="F39" s="393">
        <f t="shared" si="12"/>
        <v>1.3039186526635669</v>
      </c>
      <c r="G39" s="393">
        <f t="shared" si="12"/>
        <v>1.3030177958527767</v>
      </c>
      <c r="H39" s="393">
        <f t="shared" si="12"/>
        <v>1.3030059750815401</v>
      </c>
      <c r="I39" s="393">
        <f t="shared" si="12"/>
        <v>1.2985496117584223</v>
      </c>
      <c r="J39" s="393">
        <f t="shared" si="12"/>
        <v>1.3038708646172967</v>
      </c>
      <c r="K39" s="393">
        <f t="shared" si="12"/>
        <v>1.3029688151250483</v>
      </c>
      <c r="L39" s="393">
        <f t="shared" si="12"/>
        <v>1.3029558369062428</v>
      </c>
      <c r="M39" s="393">
        <f t="shared" si="12"/>
        <v>1.2984984946723166</v>
      </c>
      <c r="N39" s="393">
        <f t="shared" si="12"/>
        <v>1.3038183885258836</v>
      </c>
      <c r="O39" s="393">
        <f t="shared" si="12"/>
        <v>1.3029150124587465</v>
      </c>
      <c r="P39" s="393" t="str">
        <f t="shared" si="12"/>
        <v xml:space="preserve"> </v>
      </c>
      <c r="Q39" s="393" t="str">
        <f t="shared" si="12"/>
        <v xml:space="preserve"> </v>
      </c>
      <c r="R39" s="393" t="str">
        <f t="shared" si="12"/>
        <v xml:space="preserve"> </v>
      </c>
      <c r="S39" s="393" t="str">
        <f t="shared" si="12"/>
        <v xml:space="preserve"> </v>
      </c>
      <c r="T39" s="393" t="str">
        <f t="shared" si="12"/>
        <v xml:space="preserve"> </v>
      </c>
      <c r="U39" s="393" t="str">
        <f t="shared" si="12"/>
        <v xml:space="preserve"> </v>
      </c>
      <c r="V39" s="393" t="str">
        <f t="shared" si="12"/>
        <v xml:space="preserve"> </v>
      </c>
      <c r="W39" s="393" t="str">
        <f t="shared" si="12"/>
        <v xml:space="preserve"> </v>
      </c>
      <c r="X39" s="393" t="str">
        <f t="shared" si="12"/>
        <v xml:space="preserve"> </v>
      </c>
      <c r="Y39" s="393" t="str">
        <f t="shared" si="12"/>
        <v xml:space="preserve"> </v>
      </c>
      <c r="Z39" s="393" t="str">
        <f t="shared" si="12"/>
        <v xml:space="preserve"> </v>
      </c>
      <c r="AA39" s="393" t="str">
        <f t="shared" si="12"/>
        <v xml:space="preserve"> </v>
      </c>
      <c r="AB39" s="393" t="str">
        <f t="shared" si="12"/>
        <v xml:space="preserve"> </v>
      </c>
      <c r="AC39" s="393" t="str">
        <f t="shared" si="12"/>
        <v xml:space="preserve"> </v>
      </c>
      <c r="AD39" s="393" t="str">
        <f t="shared" si="12"/>
        <v xml:space="preserve"> </v>
      </c>
      <c r="AE39" s="393" t="str">
        <f t="shared" si="12"/>
        <v xml:space="preserve"> </v>
      </c>
      <c r="AF39" s="393" t="str">
        <f t="shared" si="12"/>
        <v xml:space="preserve"> </v>
      </c>
    </row>
    <row r="40" spans="1:39">
      <c r="A40" s="48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</row>
    <row r="41" spans="1:39">
      <c r="A41"/>
      <c r="B41" s="382">
        <f>B8</f>
        <v>37256</v>
      </c>
      <c r="C41" s="382">
        <f t="shared" ref="C41:AF41" si="13">C8</f>
        <v>37621</v>
      </c>
      <c r="D41" s="382">
        <f t="shared" si="13"/>
        <v>37986</v>
      </c>
      <c r="E41" s="382">
        <f t="shared" si="13"/>
        <v>38352</v>
      </c>
      <c r="F41" s="382">
        <f t="shared" si="13"/>
        <v>38717</v>
      </c>
      <c r="G41" s="382">
        <f t="shared" si="13"/>
        <v>39082</v>
      </c>
      <c r="H41" s="382">
        <f t="shared" si="13"/>
        <v>39447</v>
      </c>
      <c r="I41" s="382">
        <f t="shared" si="13"/>
        <v>39813</v>
      </c>
      <c r="J41" s="382">
        <f t="shared" si="13"/>
        <v>40178</v>
      </c>
      <c r="K41" s="382">
        <f t="shared" si="13"/>
        <v>40543</v>
      </c>
      <c r="L41" s="382">
        <f t="shared" si="13"/>
        <v>40908</v>
      </c>
      <c r="M41" s="382">
        <f t="shared" si="13"/>
        <v>41274</v>
      </c>
      <c r="N41" s="382">
        <f t="shared" si="13"/>
        <v>41639</v>
      </c>
      <c r="O41" s="382">
        <f t="shared" si="13"/>
        <v>42004</v>
      </c>
      <c r="P41" s="382">
        <f t="shared" si="13"/>
        <v>42369</v>
      </c>
      <c r="Q41" s="382">
        <f t="shared" si="13"/>
        <v>42735</v>
      </c>
      <c r="R41" s="382">
        <f t="shared" si="13"/>
        <v>43100</v>
      </c>
      <c r="S41" s="382">
        <f t="shared" si="13"/>
        <v>43465</v>
      </c>
      <c r="T41" s="382">
        <f t="shared" si="13"/>
        <v>43830</v>
      </c>
      <c r="U41" s="382">
        <f t="shared" si="13"/>
        <v>44196</v>
      </c>
      <c r="V41" s="382">
        <f t="shared" si="13"/>
        <v>44561</v>
      </c>
      <c r="W41" s="382">
        <f t="shared" si="13"/>
        <v>44926</v>
      </c>
      <c r="X41" s="382">
        <f t="shared" si="13"/>
        <v>45291</v>
      </c>
      <c r="Y41" s="382">
        <f t="shared" si="13"/>
        <v>45657</v>
      </c>
      <c r="Z41" s="382">
        <f t="shared" si="13"/>
        <v>46022</v>
      </c>
      <c r="AA41" s="382">
        <f t="shared" si="13"/>
        <v>46387</v>
      </c>
      <c r="AB41" s="382">
        <f t="shared" si="13"/>
        <v>46752</v>
      </c>
      <c r="AC41" s="382">
        <f t="shared" si="13"/>
        <v>47118</v>
      </c>
      <c r="AD41" s="382">
        <f t="shared" si="13"/>
        <v>47483</v>
      </c>
      <c r="AE41" s="382">
        <f t="shared" si="13"/>
        <v>47848</v>
      </c>
      <c r="AF41" s="382">
        <f t="shared" si="13"/>
        <v>48213</v>
      </c>
    </row>
    <row r="42" spans="1:39">
      <c r="A42" s="48" t="s">
        <v>54</v>
      </c>
      <c r="B42" s="48">
        <f>B37</f>
        <v>105138.81946435031</v>
      </c>
      <c r="C42" s="48">
        <f>C37</f>
        <v>100376.20587880434</v>
      </c>
      <c r="D42" s="48">
        <f t="shared" ref="D42:AF42" si="14">D37</f>
        <v>95060.19263705732</v>
      </c>
      <c r="E42" s="48">
        <f t="shared" si="14"/>
        <v>89382.20526856638</v>
      </c>
      <c r="F42" s="48">
        <f t="shared" si="14"/>
        <v>83327.312372639179</v>
      </c>
      <c r="G42" s="48">
        <f t="shared" si="14"/>
        <v>76857.753263126855</v>
      </c>
      <c r="H42" s="48">
        <f t="shared" si="14"/>
        <v>69948.46917024655</v>
      </c>
      <c r="I42" s="48">
        <f t="shared" si="14"/>
        <v>62564.180516339336</v>
      </c>
      <c r="J42" s="48">
        <f t="shared" si="14"/>
        <v>54685.57724802407</v>
      </c>
      <c r="K42" s="48">
        <f t="shared" si="14"/>
        <v>46262.850232507801</v>
      </c>
      <c r="L42" s="48">
        <f t="shared" si="14"/>
        <v>37263.020655775465</v>
      </c>
      <c r="M42" s="48">
        <f t="shared" si="14"/>
        <v>27639.503148661963</v>
      </c>
      <c r="N42" s="48">
        <f t="shared" si="14"/>
        <v>17367.20665820186</v>
      </c>
      <c r="O42" s="48">
        <f t="shared" si="14"/>
        <v>6380.4768159959231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312</v>
      </c>
      <c r="B43" s="370">
        <v>0</v>
      </c>
      <c r="C43" s="370">
        <v>0</v>
      </c>
      <c r="D43" s="370">
        <v>0</v>
      </c>
      <c r="E43" s="370">
        <v>0</v>
      </c>
      <c r="F43" s="370">
        <v>0</v>
      </c>
      <c r="G43" s="370">
        <v>0</v>
      </c>
      <c r="H43" s="370">
        <v>0</v>
      </c>
      <c r="I43" s="370">
        <v>0</v>
      </c>
      <c r="J43" s="370">
        <v>0</v>
      </c>
      <c r="K43" s="370">
        <v>0</v>
      </c>
      <c r="L43" s="370">
        <v>0</v>
      </c>
      <c r="M43" s="370">
        <v>0</v>
      </c>
      <c r="N43" s="370">
        <v>0</v>
      </c>
      <c r="O43" s="370">
        <v>0</v>
      </c>
      <c r="P43" s="370">
        <v>0</v>
      </c>
      <c r="Q43" s="370">
        <v>0</v>
      </c>
      <c r="R43" s="370">
        <v>0</v>
      </c>
      <c r="S43" s="370">
        <v>0</v>
      </c>
      <c r="T43" s="370">
        <v>0</v>
      </c>
      <c r="U43" s="370">
        <v>0</v>
      </c>
      <c r="V43" s="370">
        <v>0</v>
      </c>
      <c r="W43" s="370">
        <v>0</v>
      </c>
      <c r="X43" s="370">
        <v>0</v>
      </c>
      <c r="Y43" s="370">
        <v>0</v>
      </c>
      <c r="Z43" s="370">
        <v>0</v>
      </c>
      <c r="AA43" s="370">
        <v>0</v>
      </c>
      <c r="AB43" s="370">
        <v>0</v>
      </c>
      <c r="AC43" s="370">
        <v>0</v>
      </c>
      <c r="AD43" s="370">
        <v>0</v>
      </c>
      <c r="AE43" s="370">
        <v>0</v>
      </c>
      <c r="AF43" s="370">
        <v>0</v>
      </c>
    </row>
    <row r="44" spans="1:39">
      <c r="A44" s="48" t="s">
        <v>56</v>
      </c>
      <c r="B44" s="373">
        <f>B42*(B41-B32)/365.25*$E$64</f>
        <v>1833.6325256342543</v>
      </c>
      <c r="C44" s="373">
        <f t="shared" ref="C44:AF44" si="15">C42*(C41-C32)/(C41-B41)*$E$64</f>
        <v>1751.7710450629686</v>
      </c>
      <c r="D44" s="373">
        <f t="shared" si="15"/>
        <v>1658.9956906796031</v>
      </c>
      <c r="E44" s="373">
        <f t="shared" si="15"/>
        <v>1555.6411135540104</v>
      </c>
      <c r="F44" s="373">
        <f t="shared" si="15"/>
        <v>1454.2328214074289</v>
      </c>
      <c r="G44" s="373">
        <f t="shared" si="15"/>
        <v>1341.3257213318302</v>
      </c>
      <c r="H44" s="373">
        <f t="shared" si="15"/>
        <v>1220.7445167519741</v>
      </c>
      <c r="I44" s="373">
        <f t="shared" si="15"/>
        <v>1088.8902455985835</v>
      </c>
      <c r="J44" s="373">
        <f t="shared" si="15"/>
        <v>954.37569060250212</v>
      </c>
      <c r="K44" s="373">
        <f t="shared" si="15"/>
        <v>807.38179720842368</v>
      </c>
      <c r="L44" s="373">
        <f t="shared" si="15"/>
        <v>650.31627829394426</v>
      </c>
      <c r="M44" s="373">
        <f t="shared" si="15"/>
        <v>481.04818321578324</v>
      </c>
      <c r="N44" s="373">
        <f t="shared" si="15"/>
        <v>303.09344222670092</v>
      </c>
      <c r="O44" s="373">
        <f t="shared" si="15"/>
        <v>111.35243100792883</v>
      </c>
      <c r="P44" s="373">
        <f t="shared" si="15"/>
        <v>0</v>
      </c>
      <c r="Q44" s="373">
        <f t="shared" si="15"/>
        <v>0</v>
      </c>
      <c r="R44" s="373">
        <f t="shared" si="15"/>
        <v>0</v>
      </c>
      <c r="S44" s="373">
        <f t="shared" si="15"/>
        <v>0</v>
      </c>
      <c r="T44" s="373">
        <f t="shared" si="15"/>
        <v>0</v>
      </c>
      <c r="U44" s="373">
        <f t="shared" si="15"/>
        <v>0</v>
      </c>
      <c r="V44" s="373">
        <f t="shared" si="15"/>
        <v>0</v>
      </c>
      <c r="W44" s="373">
        <f t="shared" si="15"/>
        <v>0</v>
      </c>
      <c r="X44" s="373">
        <f t="shared" si="15"/>
        <v>0</v>
      </c>
      <c r="Y44" s="373">
        <f t="shared" si="15"/>
        <v>0</v>
      </c>
      <c r="Z44" s="373">
        <f t="shared" si="15"/>
        <v>0</v>
      </c>
      <c r="AA44" s="373">
        <f t="shared" si="15"/>
        <v>0</v>
      </c>
      <c r="AB44" s="373">
        <f t="shared" si="15"/>
        <v>0</v>
      </c>
      <c r="AC44" s="373">
        <f t="shared" si="15"/>
        <v>0</v>
      </c>
      <c r="AD44" s="373">
        <f t="shared" si="15"/>
        <v>0</v>
      </c>
      <c r="AE44" s="373">
        <f t="shared" si="15"/>
        <v>0</v>
      </c>
      <c r="AF44" s="373">
        <f t="shared" si="15"/>
        <v>0</v>
      </c>
    </row>
    <row r="45" spans="1:39">
      <c r="A45" s="48" t="s">
        <v>57</v>
      </c>
      <c r="B45" s="48">
        <f>B42+B43</f>
        <v>105138.81946435031</v>
      </c>
      <c r="C45" s="48">
        <f t="shared" ref="C45:AF45" si="16">C42+C43</f>
        <v>100376.20587880434</v>
      </c>
      <c r="D45" s="48">
        <f t="shared" si="16"/>
        <v>95060.19263705732</v>
      </c>
      <c r="E45" s="48">
        <f t="shared" si="16"/>
        <v>89382.20526856638</v>
      </c>
      <c r="F45" s="48">
        <f t="shared" si="16"/>
        <v>83327.312372639179</v>
      </c>
      <c r="G45" s="48">
        <f t="shared" si="16"/>
        <v>76857.753263126855</v>
      </c>
      <c r="H45" s="48">
        <f t="shared" si="16"/>
        <v>69948.46917024655</v>
      </c>
      <c r="I45" s="48">
        <f t="shared" si="16"/>
        <v>62564.180516339336</v>
      </c>
      <c r="J45" s="48">
        <f t="shared" si="16"/>
        <v>54685.57724802407</v>
      </c>
      <c r="K45" s="48">
        <f t="shared" si="16"/>
        <v>46262.850232507801</v>
      </c>
      <c r="L45" s="48">
        <f t="shared" si="16"/>
        <v>37263.020655775465</v>
      </c>
      <c r="M45" s="48">
        <f t="shared" si="16"/>
        <v>27639.503148661963</v>
      </c>
      <c r="N45" s="48">
        <f t="shared" si="16"/>
        <v>17367.20665820186</v>
      </c>
      <c r="O45" s="48">
        <f t="shared" si="16"/>
        <v>6380.4768159959231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369"/>
      <c r="Z46" s="369"/>
      <c r="AA46" s="369"/>
      <c r="AB46" s="369"/>
      <c r="AC46" s="369"/>
      <c r="AD46" s="369"/>
      <c r="AE46" s="369"/>
      <c r="AF46" s="369"/>
    </row>
    <row r="47" spans="1:39">
      <c r="A47" s="383" t="s">
        <v>368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369"/>
      <c r="AB47" s="369"/>
      <c r="AC47" s="369"/>
      <c r="AD47" s="369"/>
      <c r="AE47" s="369"/>
      <c r="AF47" s="369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59">
        <f>SUM(B35,B26)</f>
        <v>1630.0946449797339</v>
      </c>
      <c r="C48" s="159">
        <f t="shared" ref="C48:AF48" si="17">SUM(C35,C26)</f>
        <v>4762.6135855459725</v>
      </c>
      <c r="D48" s="159">
        <f t="shared" si="17"/>
        <v>5316.0132417470159</v>
      </c>
      <c r="E48" s="159">
        <f t="shared" si="17"/>
        <v>5677.9873684909398</v>
      </c>
      <c r="F48" s="159">
        <f t="shared" si="17"/>
        <v>6054.8928959272016</v>
      </c>
      <c r="G48" s="159">
        <f t="shared" si="17"/>
        <v>6469.5591095123236</v>
      </c>
      <c r="H48" s="159">
        <f t="shared" si="17"/>
        <v>6909.2840928803053</v>
      </c>
      <c r="I48" s="159">
        <f t="shared" si="17"/>
        <v>7384.2886539072133</v>
      </c>
      <c r="J48" s="159">
        <f t="shared" si="17"/>
        <v>7878.6032683152662</v>
      </c>
      <c r="K48" s="159">
        <f t="shared" si="17"/>
        <v>8422.7270155162696</v>
      </c>
      <c r="L48" s="159">
        <f t="shared" si="17"/>
        <v>8999.8295767323361</v>
      </c>
      <c r="M48" s="159">
        <f t="shared" si="17"/>
        <v>9623.5175071135018</v>
      </c>
      <c r="N48" s="159">
        <f t="shared" si="17"/>
        <v>10272.296490460103</v>
      </c>
      <c r="O48" s="159">
        <f t="shared" si="17"/>
        <v>10986.729842205936</v>
      </c>
      <c r="P48" s="159">
        <f t="shared" si="17"/>
        <v>6380.4768159959231</v>
      </c>
      <c r="Q48" s="159">
        <f t="shared" si="17"/>
        <v>0</v>
      </c>
      <c r="R48" s="159">
        <f t="shared" si="17"/>
        <v>0</v>
      </c>
      <c r="S48" s="159">
        <f t="shared" si="17"/>
        <v>0</v>
      </c>
      <c r="T48" s="159">
        <f t="shared" si="17"/>
        <v>0</v>
      </c>
      <c r="U48" s="159">
        <f t="shared" si="17"/>
        <v>0</v>
      </c>
      <c r="V48" s="159">
        <f t="shared" si="17"/>
        <v>0</v>
      </c>
      <c r="W48" s="159">
        <f t="shared" si="17"/>
        <v>0</v>
      </c>
      <c r="X48" s="159">
        <f t="shared" si="17"/>
        <v>0</v>
      </c>
      <c r="Y48" s="159">
        <f t="shared" si="17"/>
        <v>0</v>
      </c>
      <c r="Z48" s="159">
        <f t="shared" si="17"/>
        <v>0</v>
      </c>
      <c r="AA48" s="159">
        <f t="shared" si="17"/>
        <v>0</v>
      </c>
      <c r="AB48" s="159">
        <f t="shared" si="17"/>
        <v>0</v>
      </c>
      <c r="AC48" s="159">
        <f t="shared" si="17"/>
        <v>0</v>
      </c>
      <c r="AD48" s="159">
        <f t="shared" si="17"/>
        <v>0</v>
      </c>
      <c r="AE48" s="159">
        <f t="shared" si="17"/>
        <v>0</v>
      </c>
      <c r="AF48" s="159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83" t="s">
        <v>129</v>
      </c>
      <c r="B49" s="373">
        <f>B36</f>
        <v>3130.7188777848723</v>
      </c>
      <c r="C49" s="373">
        <f t="shared" ref="C49:AF49" si="18">C27+C36+B44</f>
        <v>7275.959243186313</v>
      </c>
      <c r="D49" s="373">
        <f t="shared" si="18"/>
        <v>6934.3260579813787</v>
      </c>
      <c r="E49" s="373">
        <f t="shared" si="18"/>
        <v>6561.168416575777</v>
      </c>
      <c r="F49" s="373">
        <f t="shared" si="18"/>
        <v>6147.7046255144569</v>
      </c>
      <c r="G49" s="373">
        <f t="shared" si="18"/>
        <v>5721.0666251368793</v>
      </c>
      <c r="H49" s="373">
        <f t="shared" si="18"/>
        <v>5260.6356840605649</v>
      </c>
      <c r="I49" s="373">
        <f t="shared" si="18"/>
        <v>4772.7830669318591</v>
      </c>
      <c r="J49" s="373">
        <f t="shared" si="18"/>
        <v>4240.3819326026223</v>
      </c>
      <c r="K49" s="373">
        <f t="shared" si="18"/>
        <v>3682.5568781946095</v>
      </c>
      <c r="L49" s="373">
        <f t="shared" si="18"/>
        <v>3083.0415224514563</v>
      </c>
      <c r="M49" s="373">
        <f t="shared" si="18"/>
        <v>2444.7037827820691</v>
      </c>
      <c r="N49" s="373">
        <f t="shared" si="18"/>
        <v>1756.1840457506205</v>
      </c>
      <c r="O49" s="373">
        <f t="shared" si="18"/>
        <v>1026.1772982797122</v>
      </c>
      <c r="P49" s="373">
        <f t="shared" si="18"/>
        <v>244.07328522559609</v>
      </c>
      <c r="Q49" s="373">
        <f t="shared" si="18"/>
        <v>0</v>
      </c>
      <c r="R49" s="373">
        <f t="shared" si="18"/>
        <v>0</v>
      </c>
      <c r="S49" s="373">
        <f t="shared" si="18"/>
        <v>0</v>
      </c>
      <c r="T49" s="373">
        <f t="shared" si="18"/>
        <v>0</v>
      </c>
      <c r="U49" s="373">
        <f t="shared" si="18"/>
        <v>0</v>
      </c>
      <c r="V49" s="373">
        <f t="shared" si="18"/>
        <v>0</v>
      </c>
      <c r="W49" s="373">
        <f t="shared" si="18"/>
        <v>0</v>
      </c>
      <c r="X49" s="373">
        <f t="shared" si="18"/>
        <v>0</v>
      </c>
      <c r="Y49" s="373">
        <f t="shared" si="18"/>
        <v>0</v>
      </c>
      <c r="Z49" s="373">
        <f t="shared" si="18"/>
        <v>0</v>
      </c>
      <c r="AA49" s="373">
        <f t="shared" si="18"/>
        <v>0</v>
      </c>
      <c r="AB49" s="373">
        <f t="shared" si="18"/>
        <v>0</v>
      </c>
      <c r="AC49" s="373">
        <f t="shared" si="18"/>
        <v>0</v>
      </c>
      <c r="AD49" s="373">
        <f t="shared" si="18"/>
        <v>0</v>
      </c>
      <c r="AE49" s="373">
        <f t="shared" si="18"/>
        <v>0</v>
      </c>
      <c r="AF49" s="373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4760.8135227646062</v>
      </c>
      <c r="C50" s="49">
        <f t="shared" si="19"/>
        <v>12038.572828732285</v>
      </c>
      <c r="D50" s="49">
        <f t="shared" si="19"/>
        <v>12250.339299728395</v>
      </c>
      <c r="E50" s="49">
        <f t="shared" si="19"/>
        <v>12239.155785066716</v>
      </c>
      <c r="F50" s="49">
        <f t="shared" si="19"/>
        <v>12202.597521441658</v>
      </c>
      <c r="G50" s="49">
        <f t="shared" si="19"/>
        <v>12190.625734649202</v>
      </c>
      <c r="H50" s="49">
        <f t="shared" si="19"/>
        <v>12169.919776940871</v>
      </c>
      <c r="I50" s="49">
        <f t="shared" si="19"/>
        <v>12157.071720839072</v>
      </c>
      <c r="J50" s="49">
        <f t="shared" si="19"/>
        <v>12118.985200917889</v>
      </c>
      <c r="K50" s="49">
        <f t="shared" si="19"/>
        <v>12105.283893710879</v>
      </c>
      <c r="L50" s="49">
        <f t="shared" si="19"/>
        <v>12082.871099183792</v>
      </c>
      <c r="M50" s="49">
        <f t="shared" si="19"/>
        <v>12068.221289895571</v>
      </c>
      <c r="N50" s="49">
        <f t="shared" si="19"/>
        <v>12028.480536210724</v>
      </c>
      <c r="O50" s="49">
        <f t="shared" si="19"/>
        <v>12012.907140485648</v>
      </c>
      <c r="P50" s="49">
        <f t="shared" si="19"/>
        <v>6624.5501012215191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383</v>
      </c>
      <c r="B52" s="390">
        <f>IF(B33&gt;0.1,(B38+B29)/B50," ")</f>
        <v>1.3000000000000016</v>
      </c>
      <c r="C52" s="390">
        <f t="shared" ref="C52:AF52" si="20">IF(C33&gt;0.1,(C38+C29)/C50," ")</f>
        <v>1.2999999999999996</v>
      </c>
      <c r="D52" s="390">
        <f t="shared" si="20"/>
        <v>1.2999999999999987</v>
      </c>
      <c r="E52" s="390">
        <f t="shared" si="20"/>
        <v>1.3000000000000007</v>
      </c>
      <c r="F52" s="390">
        <f t="shared" si="20"/>
        <v>1.3000000000000018</v>
      </c>
      <c r="G52" s="390">
        <f t="shared" si="20"/>
        <v>1.299999999999998</v>
      </c>
      <c r="H52" s="390">
        <f t="shared" si="20"/>
        <v>1.2999999999999985</v>
      </c>
      <c r="I52" s="390">
        <f t="shared" si="20"/>
        <v>1.3000000000000012</v>
      </c>
      <c r="J52" s="390">
        <f t="shared" si="20"/>
        <v>1.3000000000000005</v>
      </c>
      <c r="K52" s="390">
        <f t="shared" si="20"/>
        <v>1.2999999999999998</v>
      </c>
      <c r="L52" s="390">
        <f t="shared" si="20"/>
        <v>1.2999999999999989</v>
      </c>
      <c r="M52" s="390">
        <f t="shared" si="20"/>
        <v>1.3000000000000012</v>
      </c>
      <c r="N52" s="390">
        <f t="shared" si="20"/>
        <v>1.3</v>
      </c>
      <c r="O52" s="390">
        <f t="shared" si="20"/>
        <v>1.3000000000000003</v>
      </c>
      <c r="P52" s="448">
        <f t="shared" si="20"/>
        <v>2.3526489521587979</v>
      </c>
      <c r="Q52" s="390" t="str">
        <f t="shared" si="20"/>
        <v xml:space="preserve"> </v>
      </c>
      <c r="R52" s="390" t="str">
        <f t="shared" si="20"/>
        <v xml:space="preserve"> </v>
      </c>
      <c r="S52" s="390" t="str">
        <f t="shared" si="20"/>
        <v xml:space="preserve"> </v>
      </c>
      <c r="T52" s="390" t="str">
        <f t="shared" si="20"/>
        <v xml:space="preserve"> </v>
      </c>
      <c r="U52" s="390" t="str">
        <f t="shared" si="20"/>
        <v xml:space="preserve"> </v>
      </c>
      <c r="V52" s="390" t="str">
        <f t="shared" si="20"/>
        <v xml:space="preserve"> </v>
      </c>
      <c r="W52" s="390" t="str">
        <f t="shared" si="20"/>
        <v xml:space="preserve"> </v>
      </c>
      <c r="X52" s="390" t="str">
        <f t="shared" si="20"/>
        <v xml:space="preserve"> </v>
      </c>
      <c r="Y52" s="390" t="str">
        <f t="shared" si="20"/>
        <v xml:space="preserve"> </v>
      </c>
      <c r="Z52" s="390" t="str">
        <f t="shared" si="20"/>
        <v xml:space="preserve"> </v>
      </c>
      <c r="AA52" s="390" t="str">
        <f t="shared" si="20"/>
        <v xml:space="preserve"> </v>
      </c>
      <c r="AB52" s="390" t="str">
        <f t="shared" si="20"/>
        <v xml:space="preserve"> </v>
      </c>
      <c r="AC52" s="390" t="str">
        <f t="shared" si="20"/>
        <v xml:space="preserve"> </v>
      </c>
      <c r="AD52" s="390" t="str">
        <f t="shared" si="20"/>
        <v xml:space="preserve"> </v>
      </c>
      <c r="AE52" s="390" t="str">
        <f t="shared" si="20"/>
        <v xml:space="preserve"> </v>
      </c>
      <c r="AF52" s="448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50"/>
      <c r="AH54" s="50"/>
      <c r="AI54" s="50"/>
      <c r="AJ54" s="50"/>
      <c r="AK54" s="50"/>
      <c r="AL54" s="50"/>
      <c r="AM54" s="50"/>
    </row>
    <row r="55" spans="1:39">
      <c r="A55" s="383" t="s">
        <v>367</v>
      </c>
      <c r="B55" s="369"/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  <c r="R55" s="369"/>
      <c r="S55" s="369"/>
      <c r="T55" s="369"/>
      <c r="U55" s="369"/>
      <c r="V55" s="369"/>
      <c r="W55" s="369"/>
      <c r="X55" s="369"/>
      <c r="Y55" s="369"/>
      <c r="Z55" s="369"/>
      <c r="AA55" s="369"/>
      <c r="AB55" s="369"/>
      <c r="AC55" s="369"/>
      <c r="AD55" s="369"/>
      <c r="AE55" s="369"/>
      <c r="AF55" s="369"/>
    </row>
    <row r="56" spans="1:39">
      <c r="A56" s="48" t="s">
        <v>130</v>
      </c>
      <c r="B56" s="159">
        <f t="shared" ref="B56:AF56" si="21">B35+B26</f>
        <v>1630.0946449797339</v>
      </c>
      <c r="C56" s="159">
        <f t="shared" si="21"/>
        <v>4762.6135855459725</v>
      </c>
      <c r="D56" s="159">
        <f t="shared" si="21"/>
        <v>5316.0132417470159</v>
      </c>
      <c r="E56" s="159">
        <f t="shared" si="21"/>
        <v>5677.9873684909398</v>
      </c>
      <c r="F56" s="159">
        <f t="shared" si="21"/>
        <v>6054.8928959272016</v>
      </c>
      <c r="G56" s="159">
        <f t="shared" si="21"/>
        <v>6469.5591095123236</v>
      </c>
      <c r="H56" s="159">
        <f t="shared" si="21"/>
        <v>6909.2840928803053</v>
      </c>
      <c r="I56" s="159">
        <f t="shared" si="21"/>
        <v>7384.2886539072133</v>
      </c>
      <c r="J56" s="159">
        <f t="shared" si="21"/>
        <v>7878.6032683152662</v>
      </c>
      <c r="K56" s="159">
        <f t="shared" si="21"/>
        <v>8422.7270155162696</v>
      </c>
      <c r="L56" s="159">
        <f t="shared" si="21"/>
        <v>8999.8295767323361</v>
      </c>
      <c r="M56" s="159">
        <f t="shared" si="21"/>
        <v>9623.5175071135018</v>
      </c>
      <c r="N56" s="159">
        <f t="shared" si="21"/>
        <v>10272.296490460103</v>
      </c>
      <c r="O56" s="159">
        <f t="shared" si="21"/>
        <v>10986.729842205936</v>
      </c>
      <c r="P56" s="159">
        <f t="shared" si="21"/>
        <v>6380.4768159959231</v>
      </c>
      <c r="Q56" s="159">
        <f t="shared" si="21"/>
        <v>0</v>
      </c>
      <c r="R56" s="159">
        <f t="shared" si="21"/>
        <v>0</v>
      </c>
      <c r="S56" s="159">
        <f t="shared" si="21"/>
        <v>0</v>
      </c>
      <c r="T56" s="159">
        <f t="shared" si="21"/>
        <v>0</v>
      </c>
      <c r="U56" s="159">
        <f t="shared" si="21"/>
        <v>0</v>
      </c>
      <c r="V56" s="159">
        <f t="shared" si="21"/>
        <v>0</v>
      </c>
      <c r="W56" s="159">
        <f t="shared" si="21"/>
        <v>0</v>
      </c>
      <c r="X56" s="159">
        <f t="shared" si="21"/>
        <v>0</v>
      </c>
      <c r="Y56" s="159">
        <f t="shared" si="21"/>
        <v>0</v>
      </c>
      <c r="Z56" s="159">
        <f t="shared" si="21"/>
        <v>0</v>
      </c>
      <c r="AA56" s="159">
        <f t="shared" si="21"/>
        <v>0</v>
      </c>
      <c r="AB56" s="159">
        <f t="shared" si="21"/>
        <v>0</v>
      </c>
      <c r="AC56" s="159">
        <f t="shared" si="21"/>
        <v>0</v>
      </c>
      <c r="AD56" s="159">
        <f t="shared" si="21"/>
        <v>0</v>
      </c>
      <c r="AE56" s="159">
        <f t="shared" si="21"/>
        <v>0</v>
      </c>
      <c r="AF56" s="159">
        <f t="shared" si="21"/>
        <v>0</v>
      </c>
    </row>
    <row r="57" spans="1:39">
      <c r="A57" s="383" t="s">
        <v>129</v>
      </c>
      <c r="B57" s="373">
        <f t="shared" ref="B57:AF57" si="22">B36+B44+B27</f>
        <v>4964.3514034191267</v>
      </c>
      <c r="C57" s="373">
        <f t="shared" si="22"/>
        <v>7194.097762615027</v>
      </c>
      <c r="D57" s="373">
        <f t="shared" si="22"/>
        <v>6841.5507035980127</v>
      </c>
      <c r="E57" s="373">
        <f t="shared" si="22"/>
        <v>6457.8138394501839</v>
      </c>
      <c r="F57" s="373">
        <f t="shared" si="22"/>
        <v>6046.2963333678754</v>
      </c>
      <c r="G57" s="373">
        <f t="shared" si="22"/>
        <v>5608.15952506128</v>
      </c>
      <c r="H57" s="373">
        <f t="shared" si="22"/>
        <v>5140.0544794807083</v>
      </c>
      <c r="I57" s="373">
        <f t="shared" si="22"/>
        <v>4640.9287957784691</v>
      </c>
      <c r="J57" s="373">
        <f t="shared" si="22"/>
        <v>4105.8673776065407</v>
      </c>
      <c r="K57" s="373">
        <f t="shared" si="22"/>
        <v>3535.562984800531</v>
      </c>
      <c r="L57" s="373">
        <f t="shared" si="22"/>
        <v>2925.9760035369773</v>
      </c>
      <c r="M57" s="373">
        <f t="shared" si="22"/>
        <v>2275.4356877039081</v>
      </c>
      <c r="N57" s="373">
        <f t="shared" si="22"/>
        <v>1578.2293047615383</v>
      </c>
      <c r="O57" s="373">
        <f t="shared" si="22"/>
        <v>834.43628706094023</v>
      </c>
      <c r="P57" s="373">
        <f t="shared" si="22"/>
        <v>132.72085421766727</v>
      </c>
      <c r="Q57" s="373">
        <f t="shared" si="22"/>
        <v>0</v>
      </c>
      <c r="R57" s="373">
        <f t="shared" si="22"/>
        <v>0</v>
      </c>
      <c r="S57" s="373">
        <f t="shared" si="22"/>
        <v>0</v>
      </c>
      <c r="T57" s="373">
        <f t="shared" si="22"/>
        <v>0</v>
      </c>
      <c r="U57" s="373">
        <f t="shared" si="22"/>
        <v>0</v>
      </c>
      <c r="V57" s="373">
        <f t="shared" si="22"/>
        <v>0</v>
      </c>
      <c r="W57" s="373">
        <f t="shared" si="22"/>
        <v>0</v>
      </c>
      <c r="X57" s="373">
        <f t="shared" si="22"/>
        <v>0</v>
      </c>
      <c r="Y57" s="373">
        <f t="shared" si="22"/>
        <v>0</v>
      </c>
      <c r="Z57" s="373">
        <f t="shared" si="22"/>
        <v>0</v>
      </c>
      <c r="AA57" s="373">
        <f t="shared" si="22"/>
        <v>0</v>
      </c>
      <c r="AB57" s="373">
        <f t="shared" si="22"/>
        <v>0</v>
      </c>
      <c r="AC57" s="373">
        <f t="shared" si="22"/>
        <v>0</v>
      </c>
      <c r="AD57" s="373">
        <f t="shared" si="22"/>
        <v>0</v>
      </c>
      <c r="AE57" s="373">
        <f t="shared" si="22"/>
        <v>0</v>
      </c>
      <c r="AF57" s="373">
        <f t="shared" si="22"/>
        <v>0</v>
      </c>
    </row>
    <row r="58" spans="1:39">
      <c r="A58" s="49" t="s">
        <v>58</v>
      </c>
      <c r="B58" s="49">
        <f>SUM(B56:B57)</f>
        <v>6594.4460483988605</v>
      </c>
      <c r="C58" s="49">
        <f t="shared" ref="C58:AF58" si="23">SUM(C56:C57)</f>
        <v>11956.711348160999</v>
      </c>
      <c r="D58" s="49">
        <f t="shared" si="23"/>
        <v>12157.563945345028</v>
      </c>
      <c r="E58" s="49">
        <f t="shared" si="23"/>
        <v>12135.801207941124</v>
      </c>
      <c r="F58" s="49">
        <f t="shared" si="23"/>
        <v>12101.189229295076</v>
      </c>
      <c r="G58" s="49">
        <f t="shared" si="23"/>
        <v>12077.718634573605</v>
      </c>
      <c r="H58" s="49">
        <f t="shared" si="23"/>
        <v>12049.338572361014</v>
      </c>
      <c r="I58" s="49">
        <f t="shared" si="23"/>
        <v>12025.217449685682</v>
      </c>
      <c r="J58" s="49">
        <f t="shared" si="23"/>
        <v>11984.470645921807</v>
      </c>
      <c r="K58" s="49">
        <f t="shared" si="23"/>
        <v>11958.2900003168</v>
      </c>
      <c r="L58" s="49">
        <f t="shared" si="23"/>
        <v>11925.805580269312</v>
      </c>
      <c r="M58" s="49">
        <f t="shared" si="23"/>
        <v>11898.95319481741</v>
      </c>
      <c r="N58" s="49">
        <f t="shared" si="23"/>
        <v>11850.525795221642</v>
      </c>
      <c r="O58" s="49">
        <f t="shared" si="23"/>
        <v>11821.166129266876</v>
      </c>
      <c r="P58" s="49">
        <f t="shared" si="23"/>
        <v>6513.1976702135908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50"/>
      <c r="AH60" s="50"/>
      <c r="AI60" s="50"/>
      <c r="AJ60" s="50"/>
      <c r="AK60" s="50"/>
      <c r="AL60" s="50"/>
      <c r="AM60" s="50"/>
    </row>
    <row r="61" spans="1:39">
      <c r="B61" s="657" t="s">
        <v>313</v>
      </c>
      <c r="C61" s="658"/>
      <c r="D61" s="658"/>
      <c r="E61" s="6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9" t="s">
        <v>371</v>
      </c>
      <c r="C62" s="57"/>
      <c r="D62" s="57"/>
      <c r="E62" s="440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3">
        <f>Assumptions!G38</f>
        <v>0.01</v>
      </c>
      <c r="AA63" s="12"/>
      <c r="AB63" s="12"/>
    </row>
    <row r="64" spans="1:39">
      <c r="A64" s="48"/>
      <c r="B64" s="321" t="s">
        <v>372</v>
      </c>
      <c r="C64" s="58"/>
      <c r="D64" s="58"/>
      <c r="E64" s="386">
        <f>E63+E62</f>
        <v>6.9999999999999993E-2</v>
      </c>
      <c r="AA64" s="12"/>
      <c r="AB64" s="12"/>
    </row>
    <row r="65" spans="1:43">
      <c r="B65" s="388" t="s">
        <v>370</v>
      </c>
      <c r="C65" s="57"/>
      <c r="D65" s="57"/>
      <c r="E65" s="387">
        <f>Assumptions!G33</f>
        <v>30</v>
      </c>
      <c r="AA65" s="12"/>
      <c r="AB65" s="12"/>
    </row>
    <row r="66" spans="1:43">
      <c r="B66" s="429" t="s">
        <v>369</v>
      </c>
      <c r="C66" s="13"/>
      <c r="D66" s="13"/>
      <c r="E66" s="441">
        <f>B77</f>
        <v>8.4232674368064</v>
      </c>
      <c r="AA66" s="12"/>
      <c r="AB66" s="12"/>
    </row>
    <row r="67" spans="1:43">
      <c r="B67" s="321" t="s">
        <v>53</v>
      </c>
      <c r="C67" s="58"/>
      <c r="D67" s="58"/>
      <c r="E67" s="430">
        <f>B33</f>
        <v>106768.91410933004</v>
      </c>
      <c r="AA67" s="12"/>
      <c r="AB67" s="12"/>
    </row>
    <row r="68" spans="1:43">
      <c r="B68" s="318" t="s">
        <v>0</v>
      </c>
      <c r="C68" s="57"/>
      <c r="D68" s="57" t="s">
        <v>365</v>
      </c>
      <c r="E68" s="444">
        <f>AVERAGE(B52:AF52)</f>
        <v>1.3701765968105866</v>
      </c>
      <c r="AA68" s="12"/>
      <c r="AB68" s="12"/>
    </row>
    <row r="69" spans="1:43">
      <c r="B69" s="442"/>
      <c r="C69" s="58"/>
      <c r="D69" s="58" t="s">
        <v>366</v>
      </c>
      <c r="E69" s="445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4">
        <v>0</v>
      </c>
      <c r="C74" s="84">
        <f>(C32-$B$32)/365.25</f>
        <v>0.99931553730321698</v>
      </c>
      <c r="D74" s="84">
        <f t="shared" ref="D74:AF74" si="24">(D32-$B$32)/365.25</f>
        <v>1.998631074606434</v>
      </c>
      <c r="E74" s="84">
        <f t="shared" si="24"/>
        <v>3.0006844626967832</v>
      </c>
      <c r="F74" s="84">
        <f t="shared" si="24"/>
        <v>4</v>
      </c>
      <c r="G74" s="84">
        <f t="shared" si="24"/>
        <v>4.9993155373032172</v>
      </c>
      <c r="H74" s="84">
        <f t="shared" si="24"/>
        <v>5.9986310746064335</v>
      </c>
      <c r="I74" s="84">
        <f t="shared" si="24"/>
        <v>7.0006844626967828</v>
      </c>
      <c r="J74" s="84">
        <f t="shared" si="24"/>
        <v>8</v>
      </c>
      <c r="K74" s="84">
        <f t="shared" si="24"/>
        <v>8.9993155373032163</v>
      </c>
      <c r="L74" s="84">
        <f t="shared" si="24"/>
        <v>9.9986310746064344</v>
      </c>
      <c r="M74" s="84">
        <f t="shared" si="24"/>
        <v>11.000684462696784</v>
      </c>
      <c r="N74" s="84">
        <f t="shared" si="24"/>
        <v>12</v>
      </c>
      <c r="O74" s="84">
        <f t="shared" si="24"/>
        <v>12.999315537303216</v>
      </c>
      <c r="P74" s="84">
        <f t="shared" si="24"/>
        <v>13.998631074606434</v>
      </c>
      <c r="Q74" s="84">
        <f t="shared" si="24"/>
        <v>15.000684462696784</v>
      </c>
      <c r="R74" s="84">
        <f t="shared" si="24"/>
        <v>16</v>
      </c>
      <c r="S74" s="84">
        <f t="shared" si="24"/>
        <v>16.999315537303218</v>
      </c>
      <c r="T74" s="84">
        <f t="shared" si="24"/>
        <v>17.998631074606433</v>
      </c>
      <c r="U74" s="84">
        <f t="shared" si="24"/>
        <v>19.000684462696782</v>
      </c>
      <c r="V74" s="84">
        <f t="shared" si="24"/>
        <v>20</v>
      </c>
      <c r="W74" s="84">
        <f t="shared" si="24"/>
        <v>20.999315537303218</v>
      </c>
      <c r="X74" s="84">
        <f t="shared" si="24"/>
        <v>21.998631074606433</v>
      </c>
      <c r="Y74" s="84">
        <f t="shared" si="24"/>
        <v>23.000684462696782</v>
      </c>
      <c r="Z74" s="84">
        <f t="shared" si="24"/>
        <v>24</v>
      </c>
      <c r="AA74" s="84">
        <f t="shared" si="24"/>
        <v>24.999315537303218</v>
      </c>
      <c r="AB74" s="84">
        <f t="shared" si="24"/>
        <v>25.998631074606433</v>
      </c>
      <c r="AC74" s="84">
        <f t="shared" si="24"/>
        <v>27.000684462696782</v>
      </c>
      <c r="AD74" s="84">
        <f t="shared" si="24"/>
        <v>28</v>
      </c>
      <c r="AE74" s="84">
        <f t="shared" si="24"/>
        <v>28.999315537303218</v>
      </c>
      <c r="AF74" s="84">
        <f t="shared" si="24"/>
        <v>29.579739904175224</v>
      </c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</row>
    <row r="75" spans="1:43">
      <c r="B75" s="84">
        <f>(C23-$B$32)/365.25</f>
        <v>0.49828884325804246</v>
      </c>
      <c r="C75" s="84">
        <f>(D23-$B$32)/365.25</f>
        <v>1.4976043805612593</v>
      </c>
      <c r="D75" s="84">
        <f t="shared" ref="D75:AF75" si="25">(E23-$B$32)/365.25</f>
        <v>2.4996577686516086</v>
      </c>
      <c r="E75" s="84">
        <f t="shared" si="25"/>
        <v>3.4989733059548254</v>
      </c>
      <c r="F75" s="84">
        <f t="shared" si="25"/>
        <v>4.4982888432580426</v>
      </c>
      <c r="G75" s="84">
        <f t="shared" si="25"/>
        <v>5.4976043805612598</v>
      </c>
      <c r="H75" s="84">
        <f t="shared" si="25"/>
        <v>6.4996577686516082</v>
      </c>
      <c r="I75" s="84">
        <f t="shared" si="25"/>
        <v>7.4989733059548254</v>
      </c>
      <c r="J75" s="84">
        <f t="shared" si="25"/>
        <v>8.4982888432580417</v>
      </c>
      <c r="K75" s="84">
        <f t="shared" si="25"/>
        <v>9.4976043805612598</v>
      </c>
      <c r="L75" s="84">
        <f t="shared" si="25"/>
        <v>10.499657768651609</v>
      </c>
      <c r="M75" s="84">
        <f t="shared" si="25"/>
        <v>11.498973305954825</v>
      </c>
      <c r="N75" s="84">
        <f t="shared" si="25"/>
        <v>12.498288843258042</v>
      </c>
      <c r="O75" s="84">
        <f t="shared" si="25"/>
        <v>13.49760438056126</v>
      </c>
      <c r="P75" s="84">
        <f t="shared" si="25"/>
        <v>14.499657768651609</v>
      </c>
      <c r="Q75" s="84">
        <f t="shared" si="25"/>
        <v>15.498973305954825</v>
      </c>
      <c r="R75" s="84">
        <f t="shared" si="25"/>
        <v>16.498288843258042</v>
      </c>
      <c r="S75" s="84">
        <f t="shared" si="25"/>
        <v>17.49760438056126</v>
      </c>
      <c r="T75" s="84">
        <f t="shared" si="25"/>
        <v>18.499657768651609</v>
      </c>
      <c r="U75" s="84">
        <f t="shared" si="25"/>
        <v>19.498973305954827</v>
      </c>
      <c r="V75" s="84">
        <f t="shared" si="25"/>
        <v>20.498288843258042</v>
      </c>
      <c r="W75" s="84">
        <f t="shared" si="25"/>
        <v>21.49760438056126</v>
      </c>
      <c r="X75" s="84">
        <f t="shared" si="25"/>
        <v>22.499657768651609</v>
      </c>
      <c r="Y75" s="84">
        <f t="shared" si="25"/>
        <v>23.498973305954827</v>
      </c>
      <c r="Z75" s="84">
        <f t="shared" si="25"/>
        <v>24.498288843258042</v>
      </c>
      <c r="AA75" s="84">
        <f t="shared" si="25"/>
        <v>25.49760438056126</v>
      </c>
      <c r="AB75" s="84">
        <f t="shared" si="25"/>
        <v>26.499657768651609</v>
      </c>
      <c r="AC75" s="84">
        <f t="shared" si="25"/>
        <v>27.498973305954827</v>
      </c>
      <c r="AD75" s="84">
        <f t="shared" si="25"/>
        <v>28.498288843258042</v>
      </c>
      <c r="AE75" s="84">
        <f t="shared" si="25"/>
        <v>29.49760438056126</v>
      </c>
      <c r="AF75" s="84">
        <f t="shared" si="25"/>
        <v>29.579739904175224</v>
      </c>
      <c r="AG75" s="84"/>
      <c r="AH75" s="84"/>
      <c r="AI75" s="84"/>
      <c r="AJ75" s="84"/>
      <c r="AK75" s="84"/>
      <c r="AL75" s="84"/>
      <c r="AM75" s="84"/>
      <c r="AN75" s="84"/>
      <c r="AO75" s="48"/>
      <c r="AP75" s="48"/>
    </row>
    <row r="76" spans="1:43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48"/>
      <c r="AP76" s="48"/>
    </row>
    <row r="77" spans="1:43">
      <c r="A77" s="11" t="s">
        <v>81</v>
      </c>
      <c r="B77" s="446">
        <f>(SUMPRODUCT(B74:AF74,B35:AF35)+SUMPRODUCT(B75:AF75,B26:AF26))/E67</f>
        <v>8.4232674368064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7"/>
      <c r="AB78" s="87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1"/>
      <c r="AB79" s="37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12" sqref="B12"/>
    </sheetView>
  </sheetViews>
  <sheetFormatPr defaultRowHeight="12.75"/>
  <cols>
    <col min="1" max="1" width="55.7109375" style="12" customWidth="1"/>
    <col min="2" max="2" width="11.855468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5" t="str">
        <f>Assumptions!A3</f>
        <v>PROJECT NAME: Homestead, Florida</v>
      </c>
    </row>
    <row r="4" spans="1:34" ht="18.75">
      <c r="A4" s="60" t="s">
        <v>93</v>
      </c>
    </row>
    <row r="5" spans="1:34">
      <c r="Z5" s="162"/>
    </row>
    <row r="6" spans="1:34"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34" s="25" customFormat="1" ht="13.5" thickBot="1">
      <c r="A7" s="120" t="s">
        <v>38</v>
      </c>
      <c r="B7" s="140"/>
      <c r="C7" s="140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5"/>
      <c r="B8" s="141"/>
      <c r="C8" s="141"/>
      <c r="D8" s="201">
        <f>IS!C8</f>
        <v>37256</v>
      </c>
      <c r="E8" s="201">
        <f>IS!D8</f>
        <v>37621</v>
      </c>
      <c r="F8" s="201">
        <f>IS!E8</f>
        <v>37986</v>
      </c>
      <c r="G8" s="201">
        <f>IS!F8</f>
        <v>38352</v>
      </c>
      <c r="H8" s="201">
        <f>IS!G8</f>
        <v>38717</v>
      </c>
      <c r="I8" s="201">
        <f>IS!H8</f>
        <v>39082</v>
      </c>
      <c r="J8" s="201">
        <f>IS!I8</f>
        <v>39447</v>
      </c>
      <c r="K8" s="201">
        <f>IS!J8</f>
        <v>39813</v>
      </c>
      <c r="L8" s="201">
        <f>IS!K8</f>
        <v>40178</v>
      </c>
      <c r="M8" s="201">
        <f>IS!L8</f>
        <v>40543</v>
      </c>
      <c r="N8" s="201">
        <f>IS!M8</f>
        <v>40908</v>
      </c>
      <c r="O8" s="201">
        <f>IS!N8</f>
        <v>41274</v>
      </c>
      <c r="P8" s="201">
        <f>IS!O8</f>
        <v>41639</v>
      </c>
      <c r="Q8" s="201">
        <f>IS!P8</f>
        <v>42004</v>
      </c>
      <c r="R8" s="201">
        <f>IS!Q8</f>
        <v>42369</v>
      </c>
      <c r="S8" s="201">
        <f>IS!R8</f>
        <v>42735</v>
      </c>
      <c r="T8" s="201">
        <f>IS!S8</f>
        <v>43100</v>
      </c>
      <c r="U8" s="201">
        <f>IS!T8</f>
        <v>43465</v>
      </c>
      <c r="V8" s="201">
        <f>IS!U8</f>
        <v>43830</v>
      </c>
      <c r="W8" s="201">
        <f>IS!V8</f>
        <v>44196</v>
      </c>
      <c r="X8" s="201">
        <f>IS!W8</f>
        <v>44561</v>
      </c>
      <c r="Y8" s="201">
        <f>IS!X8</f>
        <v>44926</v>
      </c>
      <c r="Z8" s="201">
        <f>IS!Y8</f>
        <v>45291</v>
      </c>
      <c r="AA8" s="201">
        <f>IS!Z8</f>
        <v>45657</v>
      </c>
      <c r="AB8" s="201">
        <f>IS!AA8</f>
        <v>46022</v>
      </c>
      <c r="AC8" s="201">
        <f>IS!AB8</f>
        <v>46387</v>
      </c>
      <c r="AD8" s="201">
        <f>IS!AC8</f>
        <v>46752</v>
      </c>
      <c r="AE8" s="201">
        <f>IS!AD8</f>
        <v>47118</v>
      </c>
      <c r="AF8" s="201">
        <f>IS!AE8</f>
        <v>47483</v>
      </c>
      <c r="AG8" s="201">
        <f>IS!AF8</f>
        <v>47848</v>
      </c>
      <c r="AH8" s="201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236</v>
      </c>
      <c r="B12" s="31">
        <f>Assumptions!$N$39</f>
        <v>15</v>
      </c>
      <c r="C12" s="32"/>
      <c r="D12" s="269">
        <v>0.05</v>
      </c>
      <c r="E12" s="269">
        <v>9.5000000000000001E-2</v>
      </c>
      <c r="F12" s="269">
        <v>8.5500000000000007E-2</v>
      </c>
      <c r="G12" s="269">
        <v>7.6999999999999999E-2</v>
      </c>
      <c r="H12" s="269">
        <v>6.93E-2</v>
      </c>
      <c r="I12" s="269">
        <v>6.2300000000000001E-2</v>
      </c>
      <c r="J12" s="269">
        <v>5.8999999999999997E-2</v>
      </c>
      <c r="K12" s="269">
        <v>5.91E-2</v>
      </c>
      <c r="L12" s="269">
        <v>5.8999999999999997E-2</v>
      </c>
      <c r="M12" s="269">
        <v>5.91E-2</v>
      </c>
      <c r="N12" s="269">
        <v>5.8999999999999997E-2</v>
      </c>
      <c r="O12" s="269">
        <v>5.91E-2</v>
      </c>
      <c r="P12" s="269">
        <v>5.8999999999999997E-2</v>
      </c>
      <c r="Q12" s="269">
        <v>5.91E-2</v>
      </c>
      <c r="R12" s="269">
        <v>5.8999999999999997E-2</v>
      </c>
      <c r="S12" s="269">
        <v>2.9499999999999998E-2</v>
      </c>
      <c r="T12" s="269">
        <v>0</v>
      </c>
      <c r="U12" s="269">
        <v>0</v>
      </c>
      <c r="V12" s="269">
        <v>0</v>
      </c>
      <c r="W12" s="269">
        <v>0</v>
      </c>
      <c r="X12" s="269">
        <v>0</v>
      </c>
      <c r="Y12" s="269">
        <v>0</v>
      </c>
      <c r="Z12" s="269">
        <v>0</v>
      </c>
      <c r="AA12" s="269">
        <v>0</v>
      </c>
      <c r="AB12" s="269">
        <v>0</v>
      </c>
      <c r="AC12" s="269">
        <v>0</v>
      </c>
      <c r="AD12" s="269">
        <v>0</v>
      </c>
      <c r="AE12" s="269">
        <v>0</v>
      </c>
      <c r="AF12" s="269">
        <v>0</v>
      </c>
      <c r="AG12" s="269">
        <v>0</v>
      </c>
      <c r="AH12" s="269">
        <v>0</v>
      </c>
    </row>
    <row r="13" spans="1:34" s="10" customFormat="1">
      <c r="A13" s="21" t="s">
        <v>237</v>
      </c>
      <c r="B13" s="31">
        <f>Assumptions!$N$40</f>
        <v>5</v>
      </c>
      <c r="C13" s="32"/>
      <c r="D13" s="269">
        <f>1/$B$13*D6</f>
        <v>0.13333333333333333</v>
      </c>
      <c r="E13" s="269">
        <f>1/$B$13</f>
        <v>0.2</v>
      </c>
      <c r="F13" s="269">
        <f>1/$B$13</f>
        <v>0.2</v>
      </c>
      <c r="G13" s="269">
        <f>1/$B$13</f>
        <v>0.2</v>
      </c>
      <c r="H13" s="269">
        <f>1/$B$13</f>
        <v>0.2</v>
      </c>
      <c r="I13" s="269">
        <f>1/B13-D13</f>
        <v>6.666666666666668E-2</v>
      </c>
      <c r="J13" s="269">
        <v>0</v>
      </c>
      <c r="K13" s="269">
        <v>0</v>
      </c>
      <c r="L13" s="269">
        <v>0</v>
      </c>
      <c r="M13" s="269">
        <v>0</v>
      </c>
      <c r="N13" s="269">
        <v>0</v>
      </c>
      <c r="O13" s="269">
        <v>0</v>
      </c>
      <c r="P13" s="269">
        <v>0</v>
      </c>
      <c r="Q13" s="269">
        <v>0</v>
      </c>
      <c r="R13" s="269">
        <v>0</v>
      </c>
      <c r="S13" s="269">
        <v>0</v>
      </c>
      <c r="T13" s="269">
        <v>0</v>
      </c>
      <c r="U13" s="269">
        <v>0</v>
      </c>
      <c r="V13" s="269">
        <v>0</v>
      </c>
      <c r="W13" s="269">
        <v>0</v>
      </c>
      <c r="X13" s="269">
        <v>0</v>
      </c>
      <c r="Y13" s="269">
        <v>0</v>
      </c>
      <c r="Z13" s="269">
        <v>0</v>
      </c>
      <c r="AA13" s="269">
        <v>0</v>
      </c>
      <c r="AB13" s="269">
        <v>0</v>
      </c>
      <c r="AC13" s="269">
        <v>0</v>
      </c>
      <c r="AD13" s="269">
        <v>0</v>
      </c>
      <c r="AE13" s="269">
        <v>0</v>
      </c>
      <c r="AF13" s="269">
        <v>0</v>
      </c>
      <c r="AG13" s="269">
        <v>0</v>
      </c>
      <c r="AH13" s="269">
        <v>0</v>
      </c>
    </row>
    <row r="14" spans="1:34" s="70" customFormat="1">
      <c r="A14" s="22" t="s">
        <v>303</v>
      </c>
      <c r="B14" s="68">
        <f>Assumptions!$N$41</f>
        <v>20</v>
      </c>
      <c r="C14" s="69"/>
      <c r="D14" s="269">
        <f>1/Assumptions!$N$41*D6</f>
        <v>3.3333333333333333E-2</v>
      </c>
      <c r="E14" s="269">
        <f>IF(AND(E6&gt;=Assumptions!$N$41,D6&lt;Assumptions!$N$41),1/Assumptions!$N$41-Depreciation!$D$14,IF(E6&lt;Assumptions!$N$41,1/Assumptions!$N$41,0))</f>
        <v>0.05</v>
      </c>
      <c r="F14" s="269">
        <f>IF(AND(F6&gt;=Assumptions!$N$41,E6&lt;Assumptions!$N$41),1/Assumptions!$N$41-Depreciation!$D$14,IF(F6&lt;Assumptions!$N$41,1/Assumptions!$N$41,0))</f>
        <v>0.05</v>
      </c>
      <c r="G14" s="269">
        <f>IF(AND(G6&gt;=Assumptions!$N$41,F6&lt;Assumptions!$N$41),1/Assumptions!$N$41-Depreciation!$D$14,IF(G6&lt;Assumptions!$N$41,1/Assumptions!$N$41,0))</f>
        <v>0.05</v>
      </c>
      <c r="H14" s="269">
        <f>IF(AND(H6&gt;=Assumptions!$N$41,G6&lt;Assumptions!$N$41),1/Assumptions!$N$41-Depreciation!$D$14,IF(H6&lt;Assumptions!$N$41,1/Assumptions!$N$41,0))</f>
        <v>0.05</v>
      </c>
      <c r="I14" s="269">
        <f>IF(AND(I6&gt;=Assumptions!$N$41,H6&lt;Assumptions!$N$41),1/Assumptions!$N$41-Depreciation!$D$14,IF(I6&lt;Assumptions!$N$41,1/Assumptions!$N$41,0))</f>
        <v>0.05</v>
      </c>
      <c r="J14" s="269">
        <f>IF(AND(J6&gt;=Assumptions!$N$41,I6&lt;Assumptions!$N$41),1/Assumptions!$N$41-Depreciation!$D$14,IF(J6&lt;Assumptions!$N$41,1/Assumptions!$N$41,0))</f>
        <v>0.05</v>
      </c>
      <c r="K14" s="269">
        <f>IF(AND(K6&gt;=Assumptions!$N$41,J6&lt;Assumptions!$N$41),1/Assumptions!$N$41-Depreciation!$D$14,IF(K6&lt;Assumptions!$N$41,1/Assumptions!$N$41,0))</f>
        <v>0.05</v>
      </c>
      <c r="L14" s="269">
        <f>IF(AND(L6&gt;=Assumptions!$N$41,K6&lt;Assumptions!$N$41),1/Assumptions!$N$41-Depreciation!$D$14,IF(L6&lt;Assumptions!$N$41,1/Assumptions!$N$41,0))</f>
        <v>0.05</v>
      </c>
      <c r="M14" s="269">
        <f>IF(AND(M6&gt;=Assumptions!$N$41,L6&lt;Assumptions!$N$41),1/Assumptions!$N$41-Depreciation!$D$14,IF(M6&lt;Assumptions!$N$41,1/Assumptions!$N$41,0))</f>
        <v>0.05</v>
      </c>
      <c r="N14" s="269">
        <f>IF(AND(N6&gt;=Assumptions!$N$41,M6&lt;Assumptions!$N$41),1/Assumptions!$N$41-Depreciation!$D$14,IF(N6&lt;Assumptions!$N$41,1/Assumptions!$N$41,0))</f>
        <v>0.05</v>
      </c>
      <c r="O14" s="269">
        <f>IF(AND(O6&gt;=Assumptions!$N$41,N6&lt;Assumptions!$N$41),1/Assumptions!$N$41-Depreciation!$D$14,IF(O6&lt;Assumptions!$N$41,1/Assumptions!$N$41,0))</f>
        <v>0.05</v>
      </c>
      <c r="P14" s="269">
        <f>IF(AND(P6&gt;=Assumptions!$N$41,O6&lt;Assumptions!$N$41),1/Assumptions!$N$41-Depreciation!$D$14,IF(P6&lt;Assumptions!$N$41,1/Assumptions!$N$41,0))</f>
        <v>0.05</v>
      </c>
      <c r="Q14" s="269">
        <f>IF(AND(Q6&gt;=Assumptions!$N$41,P6&lt;Assumptions!$N$41),1/Assumptions!$N$41-Depreciation!$D$14,IF(Q6&lt;Assumptions!$N$41,1/Assumptions!$N$41,0))</f>
        <v>0.05</v>
      </c>
      <c r="R14" s="269">
        <f>IF(AND(R6&gt;=Assumptions!$N$41,Q6&lt;Assumptions!$N$41),1/Assumptions!$N$41-Depreciation!$D$14,IF(R6&lt;Assumptions!$N$41,1/Assumptions!$N$41,0))</f>
        <v>0.05</v>
      </c>
      <c r="S14" s="269">
        <f>IF(AND(S6&gt;=Assumptions!$N$41,R6&lt;Assumptions!$N$41),1/Assumptions!$N$41-Depreciation!$D$14,IF(S6&lt;Assumptions!$N$41,1/Assumptions!$N$41,0))</f>
        <v>0.05</v>
      </c>
      <c r="T14" s="269">
        <f>IF(AND(T6&gt;=Assumptions!$N$41,S6&lt;Assumptions!$N$41),1/Assumptions!$N$41-Depreciation!$D$14,IF(T6&lt;Assumptions!$N$41,1/Assumptions!$N$41,0))</f>
        <v>0.05</v>
      </c>
      <c r="U14" s="269">
        <f>IF(AND(U6&gt;=Assumptions!$N$41,T6&lt;Assumptions!$N$41),1/Assumptions!$N$41-Depreciation!$D$14,IF(U6&lt;Assumptions!$N$41,1/Assumptions!$N$41,0))</f>
        <v>0.05</v>
      </c>
      <c r="V14" s="269">
        <f>IF(AND(V6&gt;=Assumptions!$N$41,U6&lt;Assumptions!$N$41),1/Assumptions!$N$41-Depreciation!$D$14,IF(V6&lt;Assumptions!$N$41,1/Assumptions!$N$41,0))</f>
        <v>0.05</v>
      </c>
      <c r="W14" s="269">
        <f>IF(AND(W6&gt;=Assumptions!$N$41,V6&lt;Assumptions!$N$41),1/Assumptions!$N$41-Depreciation!$D$14,IF(W6&lt;Assumptions!$N$41,1/Assumptions!$N$41,0))</f>
        <v>0.05</v>
      </c>
      <c r="X14" s="269">
        <f>IF(AND(X6&gt;=Assumptions!$N$41,W6&lt;Assumptions!$N$41),1/Assumptions!$N$41-Depreciation!$D$14,IF(X6&lt;Assumptions!$N$41,1/Assumptions!$N$41,0))</f>
        <v>1.666666666666667E-2</v>
      </c>
      <c r="Y14" s="269">
        <f>IF(AND(Y6&gt;=Assumptions!$N$41,X6&lt;Assumptions!$N$41),1/Assumptions!$N$41-Depreciation!$D$14,IF(Y6&lt;Assumptions!$N$41,1/Assumptions!$N$41,0))</f>
        <v>0</v>
      </c>
      <c r="Z14" s="269">
        <f>IF(AND(Z6&gt;=Assumptions!$N$41,Y6&lt;Assumptions!$N$41),1/Assumptions!$N$41-Depreciation!$D$14,IF(Z6&lt;Assumptions!$N$41,1/Assumptions!$N$41,0))</f>
        <v>0</v>
      </c>
      <c r="AA14" s="269">
        <f>IF(AND(AA6&gt;=Assumptions!$N$41,Z6&lt;Assumptions!$N$41),1/Assumptions!$N$41-Depreciation!$D$14,IF(AA6&lt;Assumptions!$N$41,1/Assumptions!$N$41,0))</f>
        <v>0</v>
      </c>
      <c r="AB14" s="269">
        <f>IF(AND(AB6&gt;=Assumptions!$N$41,AA6&lt;Assumptions!$N$41),1/Assumptions!$N$41-Depreciation!$D$14,IF(AB6&lt;Assumptions!$N$41,1/Assumptions!$N$41,0))</f>
        <v>0</v>
      </c>
      <c r="AC14" s="269">
        <f>IF(AND(AC6&gt;=Assumptions!$N$41,AB6&lt;Assumptions!$N$41),1/Assumptions!$N$41-Depreciation!$D$14,IF(AC6&lt;Assumptions!$N$41,1/Assumptions!$N$41,0))</f>
        <v>0</v>
      </c>
      <c r="AD14" s="269">
        <f>IF(AND(AD6&gt;=Assumptions!$N$41,AC6&lt;Assumptions!$N$41),1/Assumptions!$N$41-Depreciation!$D$14,IF(AD6&lt;Assumptions!$N$41,1/Assumptions!$N$41,0))</f>
        <v>0</v>
      </c>
      <c r="AE14" s="269">
        <f>IF(AND(AE6&gt;=Assumptions!$N$41,AD6&lt;Assumptions!$N$41),1/Assumptions!$N$41-Depreciation!$D$14,IF(AE6&lt;Assumptions!$N$41,1/Assumptions!$N$41,0))</f>
        <v>0</v>
      </c>
      <c r="AF14" s="269">
        <f>IF(AND(AF6&gt;=Assumptions!$N$41,AE6&lt;Assumptions!$N$41),1/Assumptions!$N$41-Depreciation!$D$14,IF(AF6&lt;Assumptions!$N$41,1/Assumptions!$N$41,0))</f>
        <v>0</v>
      </c>
      <c r="AG14" s="269">
        <f>IF(AND(AG6&gt;=Assumptions!$N$41,AF6&lt;Assumptions!$N$41),1/Assumptions!$N$41-Depreciation!$D$14,IF(AG6&lt;Assumptions!$N$41,1/Assumptions!$N$41,0))</f>
        <v>0</v>
      </c>
      <c r="AH14" s="26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236</v>
      </c>
      <c r="B16" s="361">
        <f>Assumptions!C34+Assumptions!C48+Assumptions!C40</f>
        <v>138170.34835618577</v>
      </c>
      <c r="C16" s="291"/>
      <c r="D16" s="18">
        <f>$B$16*D12</f>
        <v>6908.5174178092893</v>
      </c>
      <c r="E16" s="18">
        <f t="shared" ref="E16:Y16" si="0">$B$16*E12</f>
        <v>13126.183093837648</v>
      </c>
      <c r="F16" s="18">
        <f t="shared" si="0"/>
        <v>11813.564784453885</v>
      </c>
      <c r="G16" s="18">
        <f t="shared" si="0"/>
        <v>10639.116823426304</v>
      </c>
      <c r="H16" s="18">
        <f t="shared" si="0"/>
        <v>9575.2051410836739</v>
      </c>
      <c r="I16" s="18">
        <f t="shared" si="0"/>
        <v>8608.012702590373</v>
      </c>
      <c r="J16" s="18">
        <f t="shared" si="0"/>
        <v>8152.0505530149603</v>
      </c>
      <c r="K16" s="18">
        <f t="shared" si="0"/>
        <v>8165.8675878505792</v>
      </c>
      <c r="L16" s="18">
        <f t="shared" si="0"/>
        <v>8152.0505530149603</v>
      </c>
      <c r="M16" s="18">
        <f t="shared" si="0"/>
        <v>8165.8675878505792</v>
      </c>
      <c r="N16" s="18">
        <f t="shared" si="0"/>
        <v>8152.0505530149603</v>
      </c>
      <c r="O16" s="18">
        <f t="shared" si="0"/>
        <v>8165.8675878505792</v>
      </c>
      <c r="P16" s="18">
        <f t="shared" si="0"/>
        <v>8152.0505530149603</v>
      </c>
      <c r="Q16" s="18">
        <f t="shared" si="0"/>
        <v>8165.8675878505792</v>
      </c>
      <c r="R16" s="18">
        <f t="shared" si="0"/>
        <v>8152.0505530149603</v>
      </c>
      <c r="S16" s="18">
        <f t="shared" si="0"/>
        <v>4076.0252765074802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237</v>
      </c>
      <c r="B17" s="290">
        <f>Assumptions!C52-Assumptions!C48-Assumptions!C49</f>
        <v>6146.7037999999993</v>
      </c>
      <c r="C17" s="291"/>
      <c r="D17" s="288">
        <f>$B$17*D13</f>
        <v>819.56050666666658</v>
      </c>
      <c r="E17" s="288">
        <f t="shared" ref="E17:AH17" si="2">$B$17*E13</f>
        <v>1229.34076</v>
      </c>
      <c r="F17" s="288">
        <f t="shared" si="2"/>
        <v>1229.34076</v>
      </c>
      <c r="G17" s="288">
        <f t="shared" si="2"/>
        <v>1229.34076</v>
      </c>
      <c r="H17" s="288">
        <f t="shared" si="2"/>
        <v>1229.34076</v>
      </c>
      <c r="I17" s="288">
        <f t="shared" si="2"/>
        <v>409.78025333333335</v>
      </c>
      <c r="J17" s="288">
        <f t="shared" si="2"/>
        <v>0</v>
      </c>
      <c r="K17" s="288">
        <f t="shared" si="2"/>
        <v>0</v>
      </c>
      <c r="L17" s="288">
        <f t="shared" si="2"/>
        <v>0</v>
      </c>
      <c r="M17" s="288">
        <f t="shared" si="2"/>
        <v>0</v>
      </c>
      <c r="N17" s="288">
        <f t="shared" si="2"/>
        <v>0</v>
      </c>
      <c r="O17" s="288">
        <f t="shared" si="2"/>
        <v>0</v>
      </c>
      <c r="P17" s="288">
        <f t="shared" si="2"/>
        <v>0</v>
      </c>
      <c r="Q17" s="288">
        <f t="shared" si="2"/>
        <v>0</v>
      </c>
      <c r="R17" s="288">
        <f t="shared" si="2"/>
        <v>0</v>
      </c>
      <c r="S17" s="288">
        <f t="shared" si="2"/>
        <v>0</v>
      </c>
      <c r="T17" s="288">
        <f t="shared" si="2"/>
        <v>0</v>
      </c>
      <c r="U17" s="288">
        <f t="shared" si="2"/>
        <v>0</v>
      </c>
      <c r="V17" s="288">
        <f t="shared" si="2"/>
        <v>0</v>
      </c>
      <c r="W17" s="288">
        <f t="shared" si="2"/>
        <v>0</v>
      </c>
      <c r="X17" s="288">
        <f t="shared" si="2"/>
        <v>0</v>
      </c>
      <c r="Y17" s="288">
        <f t="shared" si="2"/>
        <v>0</v>
      </c>
      <c r="Z17" s="288">
        <f t="shared" si="2"/>
        <v>0</v>
      </c>
      <c r="AA17" s="288">
        <f t="shared" si="2"/>
        <v>0</v>
      </c>
      <c r="AB17" s="288">
        <f t="shared" si="2"/>
        <v>0</v>
      </c>
      <c r="AC17" s="288">
        <f t="shared" si="2"/>
        <v>0</v>
      </c>
      <c r="AD17" s="288">
        <f t="shared" si="2"/>
        <v>0</v>
      </c>
      <c r="AE17" s="288">
        <f t="shared" si="2"/>
        <v>0</v>
      </c>
      <c r="AF17" s="288">
        <f t="shared" si="2"/>
        <v>0</v>
      </c>
      <c r="AG17" s="288">
        <f t="shared" si="2"/>
        <v>0</v>
      </c>
      <c r="AH17" s="288">
        <f t="shared" si="2"/>
        <v>0</v>
      </c>
    </row>
    <row r="18" spans="1:36" s="10" customFormat="1" ht="15">
      <c r="A18" s="22" t="s">
        <v>303</v>
      </c>
      <c r="B18" s="362">
        <f>Assumptions!$C$58</f>
        <v>0</v>
      </c>
      <c r="C18" s="291"/>
      <c r="D18" s="363">
        <f>$B$18*D14</f>
        <v>0</v>
      </c>
      <c r="E18" s="363">
        <f t="shared" ref="E18:Y18" si="3">$B$18*E14</f>
        <v>0</v>
      </c>
      <c r="F18" s="363">
        <f t="shared" si="3"/>
        <v>0</v>
      </c>
      <c r="G18" s="363">
        <f t="shared" si="3"/>
        <v>0</v>
      </c>
      <c r="H18" s="363">
        <f t="shared" si="3"/>
        <v>0</v>
      </c>
      <c r="I18" s="363">
        <f t="shared" si="3"/>
        <v>0</v>
      </c>
      <c r="J18" s="363">
        <f t="shared" si="3"/>
        <v>0</v>
      </c>
      <c r="K18" s="363">
        <f t="shared" si="3"/>
        <v>0</v>
      </c>
      <c r="L18" s="363">
        <f t="shared" si="3"/>
        <v>0</v>
      </c>
      <c r="M18" s="363">
        <f t="shared" si="3"/>
        <v>0</v>
      </c>
      <c r="N18" s="363">
        <f t="shared" si="3"/>
        <v>0</v>
      </c>
      <c r="O18" s="363">
        <f t="shared" si="3"/>
        <v>0</v>
      </c>
      <c r="P18" s="363">
        <f t="shared" si="3"/>
        <v>0</v>
      </c>
      <c r="Q18" s="363">
        <f t="shared" si="3"/>
        <v>0</v>
      </c>
      <c r="R18" s="363">
        <f t="shared" si="3"/>
        <v>0</v>
      </c>
      <c r="S18" s="363">
        <f t="shared" si="3"/>
        <v>0</v>
      </c>
      <c r="T18" s="363">
        <f t="shared" si="3"/>
        <v>0</v>
      </c>
      <c r="U18" s="363">
        <f t="shared" si="3"/>
        <v>0</v>
      </c>
      <c r="V18" s="363">
        <f t="shared" si="3"/>
        <v>0</v>
      </c>
      <c r="W18" s="363">
        <f t="shared" si="3"/>
        <v>0</v>
      </c>
      <c r="X18" s="363">
        <f t="shared" si="3"/>
        <v>0</v>
      </c>
      <c r="Y18" s="363">
        <f t="shared" si="3"/>
        <v>0</v>
      </c>
      <c r="Z18" s="363">
        <f t="shared" ref="Z18:AH18" si="4">$B$18*Z14</f>
        <v>0</v>
      </c>
      <c r="AA18" s="363">
        <f t="shared" si="4"/>
        <v>0</v>
      </c>
      <c r="AB18" s="363">
        <f t="shared" si="4"/>
        <v>0</v>
      </c>
      <c r="AC18" s="363">
        <f t="shared" si="4"/>
        <v>0</v>
      </c>
      <c r="AD18" s="363">
        <f t="shared" si="4"/>
        <v>0</v>
      </c>
      <c r="AE18" s="363">
        <f t="shared" si="4"/>
        <v>0</v>
      </c>
      <c r="AF18" s="363">
        <f t="shared" si="4"/>
        <v>0</v>
      </c>
      <c r="AG18" s="363">
        <f t="shared" si="4"/>
        <v>0</v>
      </c>
      <c r="AH18" s="363">
        <f t="shared" si="4"/>
        <v>0</v>
      </c>
    </row>
    <row r="19" spans="1:36" s="10" customFormat="1">
      <c r="A19" s="22" t="s">
        <v>61</v>
      </c>
      <c r="B19" s="18">
        <f>SUM(B16:B18)</f>
        <v>144317.05215618576</v>
      </c>
      <c r="C19" s="291"/>
      <c r="D19" s="18">
        <f t="shared" ref="D19:Y19" si="5">SUM(D16:D18)</f>
        <v>7728.077924475956</v>
      </c>
      <c r="E19" s="18">
        <f t="shared" si="5"/>
        <v>14355.523853837647</v>
      </c>
      <c r="F19" s="18">
        <f t="shared" si="5"/>
        <v>13042.905544453886</v>
      </c>
      <c r="G19" s="18">
        <f t="shared" si="5"/>
        <v>11868.457583426305</v>
      </c>
      <c r="H19" s="18">
        <f t="shared" si="5"/>
        <v>10804.545901083675</v>
      </c>
      <c r="I19" s="18">
        <f t="shared" si="5"/>
        <v>9017.7929559237054</v>
      </c>
      <c r="J19" s="18">
        <f t="shared" si="5"/>
        <v>8152.0505530149603</v>
      </c>
      <c r="K19" s="18">
        <f t="shared" si="5"/>
        <v>8165.8675878505792</v>
      </c>
      <c r="L19" s="18">
        <f t="shared" si="5"/>
        <v>8152.0505530149603</v>
      </c>
      <c r="M19" s="18">
        <f t="shared" si="5"/>
        <v>8165.8675878505792</v>
      </c>
      <c r="N19" s="18">
        <f t="shared" si="5"/>
        <v>8152.0505530149603</v>
      </c>
      <c r="O19" s="18">
        <f t="shared" si="5"/>
        <v>8165.8675878505792</v>
      </c>
      <c r="P19" s="18">
        <f t="shared" si="5"/>
        <v>8152.0505530149603</v>
      </c>
      <c r="Q19" s="18">
        <f t="shared" si="5"/>
        <v>8165.8675878505792</v>
      </c>
      <c r="R19" s="18">
        <f t="shared" si="5"/>
        <v>8152.0505530149603</v>
      </c>
      <c r="S19" s="18">
        <f t="shared" si="5"/>
        <v>4076.0252765074802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292">
        <f>B19</f>
        <v>144317.05215618576</v>
      </c>
      <c r="C21" s="364"/>
      <c r="D21" s="292">
        <f>B19-D19</f>
        <v>136588.97423170981</v>
      </c>
      <c r="E21" s="292">
        <f>D21-E19</f>
        <v>122233.45037787217</v>
      </c>
      <c r="F21" s="292">
        <f t="shared" ref="F21:X21" si="7">E21-F19</f>
        <v>109190.54483341829</v>
      </c>
      <c r="G21" s="292">
        <f t="shared" si="7"/>
        <v>97322.087249991979</v>
      </c>
      <c r="H21" s="292">
        <f t="shared" si="7"/>
        <v>86517.5413489083</v>
      </c>
      <c r="I21" s="292">
        <f t="shared" si="7"/>
        <v>77499.748392984591</v>
      </c>
      <c r="J21" s="292">
        <f t="shared" si="7"/>
        <v>69347.697839969624</v>
      </c>
      <c r="K21" s="292">
        <f t="shared" si="7"/>
        <v>61181.830252119042</v>
      </c>
      <c r="L21" s="292">
        <f t="shared" si="7"/>
        <v>53029.779699104081</v>
      </c>
      <c r="M21" s="292">
        <f t="shared" si="7"/>
        <v>44863.912111253499</v>
      </c>
      <c r="N21" s="292">
        <f t="shared" si="7"/>
        <v>36711.861558238539</v>
      </c>
      <c r="O21" s="292">
        <f t="shared" si="7"/>
        <v>28545.993970387961</v>
      </c>
      <c r="P21" s="292">
        <f t="shared" si="7"/>
        <v>20393.943417373001</v>
      </c>
      <c r="Q21" s="292">
        <f t="shared" si="7"/>
        <v>12228.075829522422</v>
      </c>
      <c r="R21" s="292">
        <f t="shared" si="7"/>
        <v>4076.025276507462</v>
      </c>
      <c r="S21" s="292">
        <f t="shared" si="7"/>
        <v>-1.8189894035458565E-11</v>
      </c>
      <c r="T21" s="292">
        <f t="shared" si="7"/>
        <v>-1.8189894035458565E-11</v>
      </c>
      <c r="U21" s="292">
        <f t="shared" si="7"/>
        <v>-1.8189894035458565E-11</v>
      </c>
      <c r="V21" s="292">
        <f t="shared" si="7"/>
        <v>-1.8189894035458565E-11</v>
      </c>
      <c r="W21" s="292">
        <f t="shared" si="7"/>
        <v>-1.8189894035458565E-11</v>
      </c>
      <c r="X21" s="292">
        <f t="shared" si="7"/>
        <v>-1.8189894035458565E-11</v>
      </c>
      <c r="Y21" s="292">
        <f>X21-Y19</f>
        <v>-1.8189894035458565E-11</v>
      </c>
      <c r="Z21" s="292">
        <f t="shared" ref="Z21:AH21" si="8">Y21-Z19</f>
        <v>-1.8189894035458565E-11</v>
      </c>
      <c r="AA21" s="292">
        <f t="shared" si="8"/>
        <v>-1.8189894035458565E-11</v>
      </c>
      <c r="AB21" s="292">
        <f t="shared" si="8"/>
        <v>-1.8189894035458565E-11</v>
      </c>
      <c r="AC21" s="292">
        <f t="shared" si="8"/>
        <v>-1.8189894035458565E-11</v>
      </c>
      <c r="AD21" s="292">
        <f t="shared" si="8"/>
        <v>-1.8189894035458565E-11</v>
      </c>
      <c r="AE21" s="292">
        <f t="shared" si="8"/>
        <v>-1.8189894035458565E-11</v>
      </c>
      <c r="AF21" s="292">
        <f t="shared" si="8"/>
        <v>-1.8189894035458565E-11</v>
      </c>
      <c r="AG21" s="292">
        <f t="shared" si="8"/>
        <v>-1.8189894035458565E-11</v>
      </c>
      <c r="AH21" s="292">
        <f t="shared" si="8"/>
        <v>-1.8189894035458565E-11</v>
      </c>
      <c r="AI21" s="289"/>
      <c r="AJ21" s="289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236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237</v>
      </c>
      <c r="B27" s="31">
        <f>Assumptions!$N$40</f>
        <v>5</v>
      </c>
      <c r="C27" s="32"/>
      <c r="D27" s="269">
        <f>D13</f>
        <v>0.13333333333333333</v>
      </c>
      <c r="E27" s="269">
        <f t="shared" ref="E27:AH27" si="11">E13</f>
        <v>0.2</v>
      </c>
      <c r="F27" s="269">
        <f t="shared" si="11"/>
        <v>0.2</v>
      </c>
      <c r="G27" s="269">
        <f t="shared" si="11"/>
        <v>0.2</v>
      </c>
      <c r="H27" s="269">
        <f t="shared" si="11"/>
        <v>0.2</v>
      </c>
      <c r="I27" s="269">
        <f t="shared" si="11"/>
        <v>6.666666666666668E-2</v>
      </c>
      <c r="J27" s="269">
        <f t="shared" si="11"/>
        <v>0</v>
      </c>
      <c r="K27" s="269">
        <f t="shared" si="11"/>
        <v>0</v>
      </c>
      <c r="L27" s="269">
        <f t="shared" si="11"/>
        <v>0</v>
      </c>
      <c r="M27" s="269">
        <f t="shared" si="11"/>
        <v>0</v>
      </c>
      <c r="N27" s="269">
        <f t="shared" si="11"/>
        <v>0</v>
      </c>
      <c r="O27" s="269">
        <f t="shared" si="11"/>
        <v>0</v>
      </c>
      <c r="P27" s="269">
        <f t="shared" si="11"/>
        <v>0</v>
      </c>
      <c r="Q27" s="269">
        <f t="shared" si="11"/>
        <v>0</v>
      </c>
      <c r="R27" s="269">
        <f t="shared" si="11"/>
        <v>0</v>
      </c>
      <c r="S27" s="269">
        <f t="shared" si="11"/>
        <v>0</v>
      </c>
      <c r="T27" s="269">
        <f t="shared" si="11"/>
        <v>0</v>
      </c>
      <c r="U27" s="269">
        <f t="shared" si="11"/>
        <v>0</v>
      </c>
      <c r="V27" s="269">
        <f t="shared" si="11"/>
        <v>0</v>
      </c>
      <c r="W27" s="269">
        <f t="shared" si="11"/>
        <v>0</v>
      </c>
      <c r="X27" s="269">
        <f t="shared" si="11"/>
        <v>0</v>
      </c>
      <c r="Y27" s="269">
        <f t="shared" si="11"/>
        <v>0</v>
      </c>
      <c r="Z27" s="269">
        <f t="shared" si="11"/>
        <v>0</v>
      </c>
      <c r="AA27" s="269">
        <f t="shared" si="11"/>
        <v>0</v>
      </c>
      <c r="AB27" s="269">
        <f t="shared" si="11"/>
        <v>0</v>
      </c>
      <c r="AC27" s="269">
        <f t="shared" si="11"/>
        <v>0</v>
      </c>
      <c r="AD27" s="269">
        <f t="shared" si="11"/>
        <v>0</v>
      </c>
      <c r="AE27" s="269">
        <f t="shared" si="11"/>
        <v>0</v>
      </c>
      <c r="AF27" s="269">
        <f t="shared" si="11"/>
        <v>0</v>
      </c>
      <c r="AG27" s="269">
        <f t="shared" si="11"/>
        <v>0</v>
      </c>
      <c r="AH27" s="269">
        <f t="shared" si="11"/>
        <v>0</v>
      </c>
    </row>
    <row r="28" spans="1:36" s="10" customFormat="1">
      <c r="A28" s="22" t="s">
        <v>303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236</v>
      </c>
      <c r="B31" s="361">
        <f>B16</f>
        <v>138170.34835618577</v>
      </c>
      <c r="C31" s="291"/>
      <c r="D31" s="18">
        <f>$B$31*D26</f>
        <v>6908.5174178092893</v>
      </c>
      <c r="E31" s="18">
        <f t="shared" ref="E31:Y31" si="14">$B$31*E26</f>
        <v>13126.183093837648</v>
      </c>
      <c r="F31" s="18">
        <f t="shared" si="14"/>
        <v>11813.564784453885</v>
      </c>
      <c r="G31" s="18">
        <f t="shared" si="14"/>
        <v>10639.116823426304</v>
      </c>
      <c r="H31" s="18">
        <f t="shared" si="14"/>
        <v>9575.2051410836739</v>
      </c>
      <c r="I31" s="18">
        <f t="shared" si="14"/>
        <v>8608.012702590373</v>
      </c>
      <c r="J31" s="18">
        <f t="shared" si="14"/>
        <v>8152.0505530149603</v>
      </c>
      <c r="K31" s="18">
        <f t="shared" si="14"/>
        <v>8165.8675878505792</v>
      </c>
      <c r="L31" s="18">
        <f t="shared" si="14"/>
        <v>8152.0505530149603</v>
      </c>
      <c r="M31" s="18">
        <f t="shared" si="14"/>
        <v>8165.8675878505792</v>
      </c>
      <c r="N31" s="18">
        <f t="shared" si="14"/>
        <v>8152.0505530149603</v>
      </c>
      <c r="O31" s="18">
        <f t="shared" si="14"/>
        <v>8165.8675878505792</v>
      </c>
      <c r="P31" s="18">
        <f t="shared" si="14"/>
        <v>8152.0505530149603</v>
      </c>
      <c r="Q31" s="18">
        <f t="shared" si="14"/>
        <v>8165.8675878505792</v>
      </c>
      <c r="R31" s="18">
        <f t="shared" si="14"/>
        <v>8152.0505530149603</v>
      </c>
      <c r="S31" s="18">
        <f t="shared" si="14"/>
        <v>4076.0252765074802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237</v>
      </c>
      <c r="B32" s="290">
        <f>B17</f>
        <v>6146.7037999999993</v>
      </c>
      <c r="C32" s="291"/>
      <c r="D32" s="288">
        <f>D27*$B$32</f>
        <v>819.56050666666658</v>
      </c>
      <c r="E32" s="288">
        <f t="shared" ref="E32:AH32" si="16">E27*$B$32</f>
        <v>1229.34076</v>
      </c>
      <c r="F32" s="288">
        <f t="shared" si="16"/>
        <v>1229.34076</v>
      </c>
      <c r="G32" s="288">
        <f t="shared" si="16"/>
        <v>1229.34076</v>
      </c>
      <c r="H32" s="288">
        <f t="shared" si="16"/>
        <v>1229.34076</v>
      </c>
      <c r="I32" s="288">
        <f t="shared" si="16"/>
        <v>409.78025333333335</v>
      </c>
      <c r="J32" s="288">
        <f t="shared" si="16"/>
        <v>0</v>
      </c>
      <c r="K32" s="288">
        <f t="shared" si="16"/>
        <v>0</v>
      </c>
      <c r="L32" s="288">
        <f t="shared" si="16"/>
        <v>0</v>
      </c>
      <c r="M32" s="288">
        <f t="shared" si="16"/>
        <v>0</v>
      </c>
      <c r="N32" s="288">
        <f t="shared" si="16"/>
        <v>0</v>
      </c>
      <c r="O32" s="288">
        <f t="shared" si="16"/>
        <v>0</v>
      </c>
      <c r="P32" s="288">
        <f t="shared" si="16"/>
        <v>0</v>
      </c>
      <c r="Q32" s="288">
        <f t="shared" si="16"/>
        <v>0</v>
      </c>
      <c r="R32" s="288">
        <f t="shared" si="16"/>
        <v>0</v>
      </c>
      <c r="S32" s="288">
        <f t="shared" si="16"/>
        <v>0</v>
      </c>
      <c r="T32" s="288">
        <f t="shared" si="16"/>
        <v>0</v>
      </c>
      <c r="U32" s="288">
        <f t="shared" si="16"/>
        <v>0</v>
      </c>
      <c r="V32" s="288">
        <f t="shared" si="16"/>
        <v>0</v>
      </c>
      <c r="W32" s="288">
        <f t="shared" si="16"/>
        <v>0</v>
      </c>
      <c r="X32" s="288">
        <f t="shared" si="16"/>
        <v>0</v>
      </c>
      <c r="Y32" s="288">
        <f t="shared" si="16"/>
        <v>0</v>
      </c>
      <c r="Z32" s="288">
        <f t="shared" si="16"/>
        <v>0</v>
      </c>
      <c r="AA32" s="288">
        <f t="shared" si="16"/>
        <v>0</v>
      </c>
      <c r="AB32" s="288">
        <f t="shared" si="16"/>
        <v>0</v>
      </c>
      <c r="AC32" s="288">
        <f t="shared" si="16"/>
        <v>0</v>
      </c>
      <c r="AD32" s="288">
        <f t="shared" si="16"/>
        <v>0</v>
      </c>
      <c r="AE32" s="288">
        <f t="shared" si="16"/>
        <v>0</v>
      </c>
      <c r="AF32" s="288">
        <f t="shared" si="16"/>
        <v>0</v>
      </c>
      <c r="AG32" s="288">
        <f t="shared" si="16"/>
        <v>0</v>
      </c>
      <c r="AH32" s="288">
        <f t="shared" si="16"/>
        <v>0</v>
      </c>
    </row>
    <row r="33" spans="1:38" s="10" customFormat="1" ht="15">
      <c r="A33" s="22" t="s">
        <v>303</v>
      </c>
      <c r="B33" s="362">
        <f>B18</f>
        <v>0</v>
      </c>
      <c r="C33" s="291"/>
      <c r="D33" s="363">
        <f t="shared" ref="D33:Y33" si="17">$B33*D28</f>
        <v>0</v>
      </c>
      <c r="E33" s="363">
        <f t="shared" si="17"/>
        <v>0</v>
      </c>
      <c r="F33" s="363">
        <f t="shared" si="17"/>
        <v>0</v>
      </c>
      <c r="G33" s="363">
        <f t="shared" si="17"/>
        <v>0</v>
      </c>
      <c r="H33" s="363">
        <f t="shared" si="17"/>
        <v>0</v>
      </c>
      <c r="I33" s="363">
        <f t="shared" si="17"/>
        <v>0</v>
      </c>
      <c r="J33" s="363">
        <f t="shared" si="17"/>
        <v>0</v>
      </c>
      <c r="K33" s="363">
        <f t="shared" si="17"/>
        <v>0</v>
      </c>
      <c r="L33" s="363">
        <f t="shared" si="17"/>
        <v>0</v>
      </c>
      <c r="M33" s="363">
        <f t="shared" si="17"/>
        <v>0</v>
      </c>
      <c r="N33" s="363">
        <f t="shared" si="17"/>
        <v>0</v>
      </c>
      <c r="O33" s="363">
        <f t="shared" si="17"/>
        <v>0</v>
      </c>
      <c r="P33" s="363">
        <f t="shared" si="17"/>
        <v>0</v>
      </c>
      <c r="Q33" s="363">
        <f t="shared" si="17"/>
        <v>0</v>
      </c>
      <c r="R33" s="363">
        <f t="shared" si="17"/>
        <v>0</v>
      </c>
      <c r="S33" s="363">
        <f t="shared" si="17"/>
        <v>0</v>
      </c>
      <c r="T33" s="363">
        <f t="shared" si="17"/>
        <v>0</v>
      </c>
      <c r="U33" s="363">
        <f t="shared" si="17"/>
        <v>0</v>
      </c>
      <c r="V33" s="363">
        <f t="shared" si="17"/>
        <v>0</v>
      </c>
      <c r="W33" s="363">
        <f t="shared" si="17"/>
        <v>0</v>
      </c>
      <c r="X33" s="363">
        <f t="shared" si="17"/>
        <v>0</v>
      </c>
      <c r="Y33" s="363">
        <f t="shared" si="17"/>
        <v>0</v>
      </c>
      <c r="Z33" s="363">
        <f t="shared" ref="Z33:AH33" si="18">$B33*Z28</f>
        <v>0</v>
      </c>
      <c r="AA33" s="363">
        <f t="shared" si="18"/>
        <v>0</v>
      </c>
      <c r="AB33" s="363">
        <f t="shared" si="18"/>
        <v>0</v>
      </c>
      <c r="AC33" s="363">
        <f t="shared" si="18"/>
        <v>0</v>
      </c>
      <c r="AD33" s="363">
        <f t="shared" si="18"/>
        <v>0</v>
      </c>
      <c r="AE33" s="363">
        <f t="shared" si="18"/>
        <v>0</v>
      </c>
      <c r="AF33" s="363">
        <f t="shared" si="18"/>
        <v>0</v>
      </c>
      <c r="AG33" s="363">
        <f t="shared" si="18"/>
        <v>0</v>
      </c>
      <c r="AH33" s="363">
        <f t="shared" si="18"/>
        <v>0</v>
      </c>
    </row>
    <row r="34" spans="1:38" s="10" customFormat="1">
      <c r="A34" s="16" t="s">
        <v>61</v>
      </c>
      <c r="B34" s="18">
        <f>SUM(B31:B33)</f>
        <v>144317.05215618576</v>
      </c>
      <c r="C34" s="291"/>
      <c r="D34" s="18">
        <f t="shared" ref="D34:Y34" si="19">SUM(D31:D33)</f>
        <v>7728.077924475956</v>
      </c>
      <c r="E34" s="18">
        <f t="shared" si="19"/>
        <v>14355.523853837647</v>
      </c>
      <c r="F34" s="18">
        <f t="shared" si="19"/>
        <v>13042.905544453886</v>
      </c>
      <c r="G34" s="18">
        <f t="shared" si="19"/>
        <v>11868.457583426305</v>
      </c>
      <c r="H34" s="18">
        <f t="shared" si="19"/>
        <v>10804.545901083675</v>
      </c>
      <c r="I34" s="18">
        <f t="shared" si="19"/>
        <v>9017.7929559237054</v>
      </c>
      <c r="J34" s="18">
        <f t="shared" si="19"/>
        <v>8152.0505530149603</v>
      </c>
      <c r="K34" s="18">
        <f t="shared" si="19"/>
        <v>8165.8675878505792</v>
      </c>
      <c r="L34" s="18">
        <f t="shared" si="19"/>
        <v>8152.0505530149603</v>
      </c>
      <c r="M34" s="18">
        <f t="shared" si="19"/>
        <v>8165.8675878505792</v>
      </c>
      <c r="N34" s="18">
        <f t="shared" si="19"/>
        <v>8152.0505530149603</v>
      </c>
      <c r="O34" s="18">
        <f t="shared" si="19"/>
        <v>8165.8675878505792</v>
      </c>
      <c r="P34" s="18">
        <f t="shared" si="19"/>
        <v>8152.0505530149603</v>
      </c>
      <c r="Q34" s="18">
        <f t="shared" si="19"/>
        <v>8165.8675878505792</v>
      </c>
      <c r="R34" s="18">
        <f t="shared" si="19"/>
        <v>8152.0505530149603</v>
      </c>
      <c r="S34" s="18">
        <f t="shared" si="19"/>
        <v>4076.0252765074802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6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292">
        <f>B34</f>
        <v>144317.05215618576</v>
      </c>
      <c r="C36" s="366"/>
      <c r="D36" s="292">
        <f>B34-D34</f>
        <v>136588.97423170981</v>
      </c>
      <c r="E36" s="292">
        <f>D36-E34</f>
        <v>122233.45037787217</v>
      </c>
      <c r="F36" s="292">
        <f t="shared" ref="F36:W36" si="21">E36-F34</f>
        <v>109190.54483341829</v>
      </c>
      <c r="G36" s="292">
        <f t="shared" si="21"/>
        <v>97322.087249991979</v>
      </c>
      <c r="H36" s="292">
        <f t="shared" si="21"/>
        <v>86517.5413489083</v>
      </c>
      <c r="I36" s="292">
        <f t="shared" si="21"/>
        <v>77499.748392984591</v>
      </c>
      <c r="J36" s="292">
        <f t="shared" si="21"/>
        <v>69347.697839969624</v>
      </c>
      <c r="K36" s="292">
        <f t="shared" si="21"/>
        <v>61181.830252119042</v>
      </c>
      <c r="L36" s="292">
        <f t="shared" si="21"/>
        <v>53029.779699104081</v>
      </c>
      <c r="M36" s="292">
        <f t="shared" si="21"/>
        <v>44863.912111253499</v>
      </c>
      <c r="N36" s="292">
        <f t="shared" si="21"/>
        <v>36711.861558238539</v>
      </c>
      <c r="O36" s="292">
        <f t="shared" si="21"/>
        <v>28545.993970387961</v>
      </c>
      <c r="P36" s="292">
        <f t="shared" si="21"/>
        <v>20393.943417373001</v>
      </c>
      <c r="Q36" s="292">
        <f t="shared" si="21"/>
        <v>12228.075829522422</v>
      </c>
      <c r="R36" s="292">
        <f t="shared" si="21"/>
        <v>4076.025276507462</v>
      </c>
      <c r="S36" s="292">
        <f t="shared" si="21"/>
        <v>-1.8189894035458565E-11</v>
      </c>
      <c r="T36" s="292">
        <f t="shared" si="21"/>
        <v>-1.8189894035458565E-11</v>
      </c>
      <c r="U36" s="292">
        <f t="shared" si="21"/>
        <v>-1.8189894035458565E-11</v>
      </c>
      <c r="V36" s="292">
        <f t="shared" si="21"/>
        <v>-1.8189894035458565E-11</v>
      </c>
      <c r="W36" s="292">
        <f t="shared" si="21"/>
        <v>-1.8189894035458565E-11</v>
      </c>
      <c r="X36" s="292">
        <f>W36-X34</f>
        <v>-1.8189894035458565E-11</v>
      </c>
      <c r="Y36" s="292">
        <f>X36-Y34</f>
        <v>-1.8189894035458565E-11</v>
      </c>
      <c r="Z36" s="292">
        <f t="shared" ref="Z36:AH36" si="22">Y36-Z34</f>
        <v>-1.8189894035458565E-11</v>
      </c>
      <c r="AA36" s="292">
        <f t="shared" si="22"/>
        <v>-1.8189894035458565E-11</v>
      </c>
      <c r="AB36" s="292">
        <f t="shared" si="22"/>
        <v>-1.8189894035458565E-11</v>
      </c>
      <c r="AC36" s="292">
        <f t="shared" si="22"/>
        <v>-1.8189894035458565E-11</v>
      </c>
      <c r="AD36" s="292">
        <f t="shared" si="22"/>
        <v>-1.8189894035458565E-11</v>
      </c>
      <c r="AE36" s="292">
        <f t="shared" si="22"/>
        <v>-1.8189894035458565E-11</v>
      </c>
      <c r="AF36" s="292">
        <f t="shared" si="22"/>
        <v>-1.8189894035458565E-11</v>
      </c>
      <c r="AG36" s="292">
        <f t="shared" si="22"/>
        <v>-1.8189894035458565E-11</v>
      </c>
      <c r="AH36" s="292">
        <f t="shared" si="22"/>
        <v>-1.8189894035458565E-11</v>
      </c>
      <c r="AI36" s="289"/>
      <c r="AJ36" s="289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59" t="s">
        <v>65</v>
      </c>
    </row>
    <row r="41" spans="1:38" s="10" customFormat="1">
      <c r="A41" s="21" t="s">
        <v>356</v>
      </c>
      <c r="B41" s="31">
        <f>Assumptions!$N$44</f>
        <v>30</v>
      </c>
      <c r="C41" s="360">
        <f>Assumptions!P44</f>
        <v>0.1</v>
      </c>
      <c r="D41" s="269">
        <f>1/Assumptions!$N$44*D6*(1-$C$41)</f>
        <v>1.9999999999999997E-2</v>
      </c>
      <c r="E41" s="269">
        <f>IF(AND(E6&gt;=Assumptions!$N$44,D6&lt;Assumptions!$N$44),1/Assumptions!$N$44*(1-$C$41)-Depreciation!$D$41,IF(AND(D6&gt;Assumptions!$N$44,E6&lt;Assumptions!$N$44),0,1/Assumptions!$N$44*(1-$C$41)))</f>
        <v>0.03</v>
      </c>
      <c r="F41" s="269">
        <f>IF(AND(F6&gt;=Assumptions!$N$44,E6&lt;Assumptions!$N$44),1/Assumptions!$N$44*(1-$C$41)-Depreciation!$D$41,IF(AND(E6&gt;Assumptions!$N$44,F6&lt;Assumptions!$N$44),0,1/Assumptions!$N$44*(1-$C$41)))</f>
        <v>0.03</v>
      </c>
      <c r="G41" s="269">
        <f>IF(AND(G6&gt;=Assumptions!$N$44,F6&lt;Assumptions!$N$44),1/Assumptions!$N$44*(1-$C$41)-Depreciation!$D$41,IF(AND(F6&gt;Assumptions!$N$44,G6&lt;Assumptions!$N$44),0,1/Assumptions!$N$44*(1-$C$41)))</f>
        <v>0.03</v>
      </c>
      <c r="H41" s="269">
        <f>IF(AND(H6&gt;=Assumptions!$N$44,G6&lt;Assumptions!$N$44),1/Assumptions!$N$44*(1-$C$41)-Depreciation!$D$41,IF(AND(G6&gt;Assumptions!$N$44,H6&lt;Assumptions!$N$44),0,1/Assumptions!$N$44*(1-$C$41)))</f>
        <v>0.03</v>
      </c>
      <c r="I41" s="269">
        <f>IF(AND(I6&gt;=Assumptions!$N$44,H6&lt;Assumptions!$N$44),1/Assumptions!$N$44*(1-$C$41)-Depreciation!$D$41,IF(AND(H6&gt;Assumptions!$N$44,I6&lt;Assumptions!$N$44),0,1/Assumptions!$N$44*(1-$C$41)))</f>
        <v>0.03</v>
      </c>
      <c r="J41" s="269">
        <f>IF(AND(J6&gt;=Assumptions!$N$44,I6&lt;Assumptions!$N$44),1/Assumptions!$N$44*(1-$C$41)-Depreciation!$D$41,IF(AND(I6&gt;Assumptions!$N$44,J6&lt;Assumptions!$N$44),0,1/Assumptions!$N$44*(1-$C$41)))</f>
        <v>0.03</v>
      </c>
      <c r="K41" s="269">
        <f>IF(AND(K6&gt;=Assumptions!$N$44,J6&lt;Assumptions!$N$44),1/Assumptions!$N$44*(1-$C$41)-Depreciation!$D$41,IF(AND(J6&gt;Assumptions!$N$44,K6&lt;Assumptions!$N$44),0,1/Assumptions!$N$44*(1-$C$41)))</f>
        <v>0.03</v>
      </c>
      <c r="L41" s="269">
        <f>IF(AND(L6&gt;=Assumptions!$N$44,K6&lt;Assumptions!$N$44),1/Assumptions!$N$44*(1-$C$41)-Depreciation!$D$41,IF(AND(K6&gt;Assumptions!$N$44,L6&lt;Assumptions!$N$44),0,1/Assumptions!$N$44*(1-$C$41)))</f>
        <v>0.03</v>
      </c>
      <c r="M41" s="269">
        <f>IF(AND(M6&gt;=Assumptions!$N$44,L6&lt;Assumptions!$N$44),1/Assumptions!$N$44*(1-$C$41)-Depreciation!$D$41,IF(AND(L6&gt;Assumptions!$N$44,M6&lt;Assumptions!$N$44),0,1/Assumptions!$N$44*(1-$C$41)))</f>
        <v>0.03</v>
      </c>
      <c r="N41" s="269">
        <f>IF(AND(N6&gt;=Assumptions!$N$44,M6&lt;Assumptions!$N$44),1/Assumptions!$N$44*(1-$C$41)-Depreciation!$D$41,IF(AND(M6&gt;Assumptions!$N$44,N6&lt;Assumptions!$N$44),0,1/Assumptions!$N$44*(1-$C$41)))</f>
        <v>0.03</v>
      </c>
      <c r="O41" s="269">
        <f>IF(AND(O6&gt;=Assumptions!$N$44,N6&lt;Assumptions!$N$44),1/Assumptions!$N$44*(1-$C$41)-Depreciation!$D$41,IF(AND(N6&gt;Assumptions!$N$44,O6&lt;Assumptions!$N$44),0,1/Assumptions!$N$44*(1-$C$41)))</f>
        <v>0.03</v>
      </c>
      <c r="P41" s="269">
        <f>IF(AND(P6&gt;=Assumptions!$N$44,O6&lt;Assumptions!$N$44),1/Assumptions!$N$44*(1-$C$41)-Depreciation!$D$41,IF(AND(O6&gt;Assumptions!$N$44,P6&lt;Assumptions!$N$44),0,1/Assumptions!$N$44*(1-$C$41)))</f>
        <v>0.03</v>
      </c>
      <c r="Q41" s="269">
        <f>IF(AND(Q6&gt;=Assumptions!$N$44,P6&lt;Assumptions!$N$44),1/Assumptions!$N$44*(1-$C$41)-Depreciation!$D$41,IF(AND(P6&gt;Assumptions!$N$44,Q6&lt;Assumptions!$N$44),0,1/Assumptions!$N$44*(1-$C$41)))</f>
        <v>0.03</v>
      </c>
      <c r="R41" s="269">
        <f>IF(AND(R6&gt;=Assumptions!$N$44,Q6&lt;Assumptions!$N$44),1/Assumptions!$N$44*(1-$C$41)-Depreciation!$D$41,IF(AND(Q6&gt;Assumptions!$N$44,R6&lt;Assumptions!$N$44),0,1/Assumptions!$N$44*(1-$C$41)))</f>
        <v>0.03</v>
      </c>
      <c r="S41" s="269">
        <f>IF(AND(S6&gt;=Assumptions!$N$44,R6&lt;Assumptions!$N$44),1/Assumptions!$N$44*(1-$C$41)-Depreciation!$D$41,IF(AND(R6&gt;Assumptions!$N$44,S6&lt;Assumptions!$N$44),0,1/Assumptions!$N$44*(1-$C$41)))</f>
        <v>0.03</v>
      </c>
      <c r="T41" s="269">
        <f>IF(AND(T6&gt;=Assumptions!$N$44,S6&lt;Assumptions!$N$44),1/Assumptions!$N$44*(1-$C$41)-Depreciation!$D$41,IF(AND(S6&gt;Assumptions!$N$44,T6&lt;Assumptions!$N$44),0,1/Assumptions!$N$44*(1-$C$41)))</f>
        <v>0.03</v>
      </c>
      <c r="U41" s="269">
        <f>IF(AND(U6&gt;=Assumptions!$N$44,T6&lt;Assumptions!$N$44),1/Assumptions!$N$44*(1-$C$41)-Depreciation!$D$41,IF(AND(T6&gt;Assumptions!$N$44,U6&lt;Assumptions!$N$44),0,1/Assumptions!$N$44*(1-$C$41)))</f>
        <v>0.03</v>
      </c>
      <c r="V41" s="269">
        <f>IF(AND(V6&gt;=Assumptions!$N$44,U6&lt;Assumptions!$N$44),1/Assumptions!$N$44*(1-$C$41)-Depreciation!$D$41,IF(AND(U6&gt;Assumptions!$N$44,V6&lt;Assumptions!$N$44),0,1/Assumptions!$N$44*(1-$C$41)))</f>
        <v>0.03</v>
      </c>
      <c r="W41" s="269">
        <f>IF(AND(W6&gt;=Assumptions!$N$44,V6&lt;Assumptions!$N$44),1/Assumptions!$N$44*(1-$C$41)-Depreciation!$D$41,IF(AND(V6&gt;Assumptions!$N$44,W6&lt;Assumptions!$N$44),0,1/Assumptions!$N$44*(1-$C$41)))</f>
        <v>0.03</v>
      </c>
      <c r="X41" s="269">
        <f>IF(AND(X6&gt;=Assumptions!$N$44,W6&lt;Assumptions!$N$44),1/Assumptions!$N$44*(1-$C$41)-Depreciation!$D$41,IF(AND(W6&gt;Assumptions!$N$44,X6&lt;Assumptions!$N$44),0,1/Assumptions!$N$44*(1-$C$41)))</f>
        <v>0.03</v>
      </c>
      <c r="Y41" s="269">
        <f>IF(AND(Y6&gt;=Assumptions!$N$44,X6&lt;Assumptions!$N$44),1/Assumptions!$N$44*(1-$C$41)-Depreciation!$D$41,IF(AND(X6&gt;Assumptions!$N$44,Y6&lt;Assumptions!$N$44),0,1/Assumptions!$N$44*(1-$C$41)))</f>
        <v>0.03</v>
      </c>
      <c r="Z41" s="269">
        <f>IF(AND(Z6&gt;=Assumptions!$N$44,Y6&lt;Assumptions!$N$44),1/Assumptions!$N$44*(1-$C$41)-Depreciation!$D$41,IF(AND(Y6&gt;Assumptions!$N$44,Z6&lt;Assumptions!$N$44),0,1/Assumptions!$N$44*(1-$C$41)))</f>
        <v>0.03</v>
      </c>
      <c r="AA41" s="269">
        <f>IF(AND(AA6&gt;=Assumptions!$N$44,Z6&lt;Assumptions!$N$44),1/Assumptions!$N$44*(1-$C$41)-Depreciation!$D$41,IF(AND(Z6&gt;Assumptions!$N$44,AA6&lt;Assumptions!$N$44),0,1/Assumptions!$N$44*(1-$C$41)))</f>
        <v>0.03</v>
      </c>
      <c r="AB41" s="269">
        <f>IF(AND(AB6&gt;=Assumptions!$N$44,AA6&lt;Assumptions!$N$44),1/Assumptions!$N$44*(1-$C$41)-Depreciation!$D$41,IF(AND(AA6&gt;Assumptions!$N$44,AB6&lt;Assumptions!$N$44),0,1/Assumptions!$N$44*(1-$C$41)))</f>
        <v>0.03</v>
      </c>
      <c r="AC41" s="269">
        <f>IF(AND(AC6&gt;=Assumptions!$N$44,AB6&lt;Assumptions!$N$44),1/Assumptions!$N$44*(1-$C$41)-Depreciation!$D$41,IF(AND(AB6&gt;Assumptions!$N$44,AC6&lt;Assumptions!$N$44),0,1/Assumptions!$N$44*(1-$C$41)))</f>
        <v>0.03</v>
      </c>
      <c r="AD41" s="269">
        <f>IF(AND(AD6&gt;=Assumptions!$N$44,AC6&lt;Assumptions!$N$44),1/Assumptions!$N$44*(1-$C$41)-Depreciation!$D$41,IF(AND(AC6&gt;Assumptions!$N$44,AD6&lt;Assumptions!$N$44),0,1/Assumptions!$N$44*(1-$C$41)))</f>
        <v>0.03</v>
      </c>
      <c r="AE41" s="269">
        <f>IF(AND(AE6&gt;=Assumptions!$N$44,AD6&lt;Assumptions!$N$44),1/Assumptions!$N$44*(1-$C$41)-Depreciation!$D$41,IF(AND(AD6&gt;Assumptions!$N$44,AE6&lt;Assumptions!$N$44),0,1/Assumptions!$N$44*(1-$C$41)))</f>
        <v>0.03</v>
      </c>
      <c r="AF41" s="269">
        <f>IF(AND(AF6&gt;=Assumptions!$N$44,AE6&lt;Assumptions!$N$44),1/Assumptions!$N$44*(1-$C$41)-Depreciation!$D$41,IF(AND(AE6&gt;Assumptions!$N$44,AF6&lt;Assumptions!$N$44),0,1/Assumptions!$N$44*(1-$C$41)))</f>
        <v>0.03</v>
      </c>
      <c r="AG41" s="269">
        <f>IF(AND(AG6&gt;=Assumptions!$N$44,AF6&lt;Assumptions!$N$44),1/Assumptions!$N$44*(1-$C$41)-Depreciation!$D$41,IF(AND(AF6&gt;Assumptions!$N$44,AG6&lt;Assumptions!$N$44),0,1/Assumptions!$N$44*(1-$C$41)))</f>
        <v>0.03</v>
      </c>
      <c r="AH41" s="26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237</v>
      </c>
      <c r="B42" s="31">
        <f>Assumptions!$N$40</f>
        <v>5</v>
      </c>
      <c r="C42" s="32"/>
      <c r="D42" s="269">
        <f>D13</f>
        <v>0.13333333333333333</v>
      </c>
      <c r="E42" s="269">
        <f t="shared" ref="E42:AH42" si="23">E13</f>
        <v>0.2</v>
      </c>
      <c r="F42" s="269">
        <f t="shared" si="23"/>
        <v>0.2</v>
      </c>
      <c r="G42" s="269">
        <f t="shared" si="23"/>
        <v>0.2</v>
      </c>
      <c r="H42" s="269">
        <f t="shared" si="23"/>
        <v>0.2</v>
      </c>
      <c r="I42" s="269">
        <f t="shared" si="23"/>
        <v>6.666666666666668E-2</v>
      </c>
      <c r="J42" s="269">
        <f t="shared" si="23"/>
        <v>0</v>
      </c>
      <c r="K42" s="269">
        <f t="shared" si="23"/>
        <v>0</v>
      </c>
      <c r="L42" s="269">
        <f t="shared" si="23"/>
        <v>0</v>
      </c>
      <c r="M42" s="269">
        <f t="shared" si="23"/>
        <v>0</v>
      </c>
      <c r="N42" s="269">
        <f t="shared" si="23"/>
        <v>0</v>
      </c>
      <c r="O42" s="269">
        <f t="shared" si="23"/>
        <v>0</v>
      </c>
      <c r="P42" s="269">
        <f t="shared" si="23"/>
        <v>0</v>
      </c>
      <c r="Q42" s="269">
        <f t="shared" si="23"/>
        <v>0</v>
      </c>
      <c r="R42" s="269">
        <f t="shared" si="23"/>
        <v>0</v>
      </c>
      <c r="S42" s="269">
        <f t="shared" si="23"/>
        <v>0</v>
      </c>
      <c r="T42" s="269">
        <f t="shared" si="23"/>
        <v>0</v>
      </c>
      <c r="U42" s="269">
        <f t="shared" si="23"/>
        <v>0</v>
      </c>
      <c r="V42" s="269">
        <f t="shared" si="23"/>
        <v>0</v>
      </c>
      <c r="W42" s="269">
        <f t="shared" si="23"/>
        <v>0</v>
      </c>
      <c r="X42" s="269">
        <f t="shared" si="23"/>
        <v>0</v>
      </c>
      <c r="Y42" s="269">
        <f t="shared" si="23"/>
        <v>0</v>
      </c>
      <c r="Z42" s="269">
        <f t="shared" si="23"/>
        <v>0</v>
      </c>
      <c r="AA42" s="269">
        <f t="shared" si="23"/>
        <v>0</v>
      </c>
      <c r="AB42" s="269">
        <f t="shared" si="23"/>
        <v>0</v>
      </c>
      <c r="AC42" s="269">
        <f t="shared" si="23"/>
        <v>0</v>
      </c>
      <c r="AD42" s="269">
        <f t="shared" si="23"/>
        <v>0</v>
      </c>
      <c r="AE42" s="269">
        <f t="shared" si="23"/>
        <v>0</v>
      </c>
      <c r="AF42" s="269">
        <f t="shared" si="23"/>
        <v>0</v>
      </c>
      <c r="AG42" s="269">
        <f t="shared" si="23"/>
        <v>0</v>
      </c>
      <c r="AH42" s="269">
        <f t="shared" si="23"/>
        <v>0</v>
      </c>
    </row>
    <row r="43" spans="1:38" s="10" customFormat="1">
      <c r="A43" s="22" t="s">
        <v>303</v>
      </c>
      <c r="B43" s="34">
        <f>Assumptions!$N$46</f>
        <v>20</v>
      </c>
      <c r="C43" s="24"/>
      <c r="D43" s="269">
        <f>1/Assumptions!$N$46*D6</f>
        <v>3.3333333333333333E-2</v>
      </c>
      <c r="E43" s="269">
        <f>IF(AND(E6&gt;=Assumptions!$N$46, D6&lt;Assumptions!$N$46),1/Assumptions!$N$46-Depreciation!$D$43,IF(E6&lt;Assumptions!$N$46,1/Assumptions!$N$46,0))</f>
        <v>0.05</v>
      </c>
      <c r="F43" s="269">
        <f>IF(AND(F6&gt;=Assumptions!$N$46, E6&lt;Assumptions!$N$46),1/Assumptions!$N$46-Depreciation!$D$43,IF(F6&lt;Assumptions!$N$46,1/Assumptions!$N$46,0))</f>
        <v>0.05</v>
      </c>
      <c r="G43" s="269">
        <f>IF(AND(G6&gt;=Assumptions!$N$46, F6&lt;Assumptions!$N$46),1/Assumptions!$N$46-Depreciation!$D$43,IF(G6&lt;Assumptions!$N$46,1/Assumptions!$N$46,0))</f>
        <v>0.05</v>
      </c>
      <c r="H43" s="269">
        <f>IF(AND(H6&gt;=Assumptions!$N$46, G6&lt;Assumptions!$N$46),1/Assumptions!$N$46-Depreciation!$D$43,IF(H6&lt;Assumptions!$N$46,1/Assumptions!$N$46,0))</f>
        <v>0.05</v>
      </c>
      <c r="I43" s="269">
        <f>IF(AND(I6&gt;=Assumptions!$N$46, H6&lt;Assumptions!$N$46),1/Assumptions!$N$46-Depreciation!$D$43,IF(I6&lt;Assumptions!$N$46,1/Assumptions!$N$46,0))</f>
        <v>0.05</v>
      </c>
      <c r="J43" s="269">
        <f>IF(AND(J6&gt;=Assumptions!$N$46, I6&lt;Assumptions!$N$46),1/Assumptions!$N$46-Depreciation!$D$43,IF(J6&lt;Assumptions!$N$46,1/Assumptions!$N$46,0))</f>
        <v>0.05</v>
      </c>
      <c r="K43" s="269">
        <f>IF(AND(K6&gt;=Assumptions!$N$46, J6&lt;Assumptions!$N$46),1/Assumptions!$N$46-Depreciation!$D$43,IF(K6&lt;Assumptions!$N$46,1/Assumptions!$N$46,0))</f>
        <v>0.05</v>
      </c>
      <c r="L43" s="269">
        <f>IF(AND(L6&gt;=Assumptions!$N$46, K6&lt;Assumptions!$N$46),1/Assumptions!$N$46-Depreciation!$D$43,IF(L6&lt;Assumptions!$N$46,1/Assumptions!$N$46,0))</f>
        <v>0.05</v>
      </c>
      <c r="M43" s="269">
        <f>IF(AND(M6&gt;=Assumptions!$N$46, L6&lt;Assumptions!$N$46),1/Assumptions!$N$46-Depreciation!$D$43,IF(M6&lt;Assumptions!$N$46,1/Assumptions!$N$46,0))</f>
        <v>0.05</v>
      </c>
      <c r="N43" s="269">
        <f>IF(AND(N6&gt;=Assumptions!$N$46, M6&lt;Assumptions!$N$46),1/Assumptions!$N$46-Depreciation!$D$43,IF(N6&lt;Assumptions!$N$46,1/Assumptions!$N$46,0))</f>
        <v>0.05</v>
      </c>
      <c r="O43" s="269">
        <f>IF(AND(O6&gt;=Assumptions!$N$46, N6&lt;Assumptions!$N$46),1/Assumptions!$N$46-Depreciation!$D$43,IF(O6&lt;Assumptions!$N$46,1/Assumptions!$N$46,0))</f>
        <v>0.05</v>
      </c>
      <c r="P43" s="269">
        <f>IF(AND(P6&gt;=Assumptions!$N$46, O6&lt;Assumptions!$N$46),1/Assumptions!$N$46-Depreciation!$D$43,IF(P6&lt;Assumptions!$N$46,1/Assumptions!$N$46,0))</f>
        <v>0.05</v>
      </c>
      <c r="Q43" s="269">
        <f>IF(AND(Q6&gt;=Assumptions!$N$46, P6&lt;Assumptions!$N$46),1/Assumptions!$N$46-Depreciation!$D$43,IF(Q6&lt;Assumptions!$N$46,1/Assumptions!$N$46,0))</f>
        <v>0.05</v>
      </c>
      <c r="R43" s="269">
        <f>IF(AND(R6&gt;=Assumptions!$N$46, Q6&lt;Assumptions!$N$46),1/Assumptions!$N$46-Depreciation!$D$43,IF(R6&lt;Assumptions!$N$46,1/Assumptions!$N$46,0))</f>
        <v>0.05</v>
      </c>
      <c r="S43" s="269">
        <f>IF(AND(S6&gt;=Assumptions!$N$46, R6&lt;Assumptions!$N$46),1/Assumptions!$N$46-Depreciation!$D$43,IF(S6&lt;Assumptions!$N$46,1/Assumptions!$N$46,0))</f>
        <v>0.05</v>
      </c>
      <c r="T43" s="269">
        <f>IF(AND(T6&gt;=Assumptions!$N$46, S6&lt;Assumptions!$N$46),1/Assumptions!$N$46-Depreciation!$D$43,IF(T6&lt;Assumptions!$N$46,1/Assumptions!$N$46,0))</f>
        <v>0.05</v>
      </c>
      <c r="U43" s="269">
        <f>IF(AND(U6&gt;=Assumptions!$N$46, T6&lt;Assumptions!$N$46),1/Assumptions!$N$46-Depreciation!$D$43,IF(U6&lt;Assumptions!$N$46,1/Assumptions!$N$46,0))</f>
        <v>0.05</v>
      </c>
      <c r="V43" s="269">
        <f>IF(AND(V6&gt;=Assumptions!$N$46, U6&lt;Assumptions!$N$46),1/Assumptions!$N$46-Depreciation!$D$43,IF(V6&lt;Assumptions!$N$46,1/Assumptions!$N$46,0))</f>
        <v>0.05</v>
      </c>
      <c r="W43" s="269">
        <f>IF(AND(W6&gt;=Assumptions!$N$46, V6&lt;Assumptions!$N$46),1/Assumptions!$N$46-Depreciation!$D$43,IF(W6&lt;Assumptions!$N$46,1/Assumptions!$N$46,0))</f>
        <v>0.05</v>
      </c>
      <c r="X43" s="269">
        <f>IF(AND(X6&gt;=Assumptions!$N$46, W6&lt;Assumptions!$N$46),1/Assumptions!$N$46-Depreciation!$D$43,IF(X6&lt;Assumptions!$N$46,1/Assumptions!$N$46,0))</f>
        <v>1.666666666666667E-2</v>
      </c>
      <c r="Y43" s="269">
        <f>IF(AND(Y6&gt;=Assumptions!$N$46, X6&lt;Assumptions!$N$46),1/Assumptions!$N$46-Depreciation!$D$43,IF(Y6&lt;Assumptions!$N$46,1/Assumptions!$N$46,0))</f>
        <v>0</v>
      </c>
      <c r="Z43" s="269">
        <f>IF(AND(Z6&gt;=Assumptions!$N$46, Y6&lt;Assumptions!$N$46),1/Assumptions!$N$46-Depreciation!$D$43,IF(Z6&lt;Assumptions!$N$46,1/Assumptions!$N$46,0))</f>
        <v>0</v>
      </c>
      <c r="AA43" s="269">
        <f>IF(AND(AA6&gt;=Assumptions!$N$46, Z6&lt;Assumptions!$N$46),1/Assumptions!$N$46-Depreciation!$D$43,IF(AA6&lt;Assumptions!$N$46,1/Assumptions!$N$46,0))</f>
        <v>0</v>
      </c>
      <c r="AB43" s="269">
        <f>IF(AND(AB6&gt;=Assumptions!$N$46, AA6&lt;Assumptions!$N$46),1/Assumptions!$N$46-Depreciation!$D$43,IF(AB6&lt;Assumptions!$N$46,1/Assumptions!$N$46,0))</f>
        <v>0</v>
      </c>
      <c r="AC43" s="269">
        <f>IF(AND(AC6&gt;=Assumptions!$N$46, AB6&lt;Assumptions!$N$46),1/Assumptions!$N$46-Depreciation!$D$43,IF(AC6&lt;Assumptions!$N$46,1/Assumptions!$N$46,0))</f>
        <v>0</v>
      </c>
      <c r="AD43" s="269">
        <f>IF(AND(AD6&gt;=Assumptions!$N$46, AC6&lt;Assumptions!$N$46),1/Assumptions!$N$46-Depreciation!$D$43,IF(AD6&lt;Assumptions!$N$46,1/Assumptions!$N$46,0))</f>
        <v>0</v>
      </c>
      <c r="AE43" s="269">
        <f>IF(AND(AE6&gt;=Assumptions!$N$46, AD6&lt;Assumptions!$N$46),1/Assumptions!$N$46-Depreciation!$D$43,IF(AE6&lt;Assumptions!$N$46,1/Assumptions!$N$46,0))</f>
        <v>0</v>
      </c>
      <c r="AF43" s="269">
        <f>IF(AND(AF6&gt;=Assumptions!$N$46, AE6&lt;Assumptions!$N$46),1/Assumptions!$N$46-Depreciation!$D$43,IF(AF6&lt;Assumptions!$N$46,1/Assumptions!$N$46,0))</f>
        <v>0</v>
      </c>
      <c r="AG43" s="269">
        <f>IF(AND(AG6&gt;=Assumptions!$N$46, AF6&lt;Assumptions!$N$46),1/Assumptions!$N$46-Depreciation!$D$43,IF(AG6&lt;Assumptions!$N$46,1/Assumptions!$N$46,0))</f>
        <v>0</v>
      </c>
      <c r="AH43" s="26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236</v>
      </c>
      <c r="B45" s="361">
        <f>B16</f>
        <v>138170.34835618577</v>
      </c>
      <c r="C45" s="291"/>
      <c r="D45" s="18">
        <f t="shared" ref="D45:Y45" si="24">D41*$B$45</f>
        <v>2763.4069671237148</v>
      </c>
      <c r="E45" s="18">
        <f t="shared" si="24"/>
        <v>4145.1104506855727</v>
      </c>
      <c r="F45" s="18">
        <f t="shared" si="24"/>
        <v>4145.1104506855727</v>
      </c>
      <c r="G45" s="18">
        <f t="shared" si="24"/>
        <v>4145.1104506855727</v>
      </c>
      <c r="H45" s="18">
        <f t="shared" si="24"/>
        <v>4145.1104506855727</v>
      </c>
      <c r="I45" s="18">
        <f t="shared" si="24"/>
        <v>4145.1104506855727</v>
      </c>
      <c r="J45" s="18">
        <f t="shared" si="24"/>
        <v>4145.1104506855727</v>
      </c>
      <c r="K45" s="18">
        <f t="shared" si="24"/>
        <v>4145.1104506855727</v>
      </c>
      <c r="L45" s="18">
        <f t="shared" si="24"/>
        <v>4145.1104506855727</v>
      </c>
      <c r="M45" s="18">
        <f t="shared" si="24"/>
        <v>4145.1104506855727</v>
      </c>
      <c r="N45" s="18">
        <f t="shared" si="24"/>
        <v>4145.1104506855727</v>
      </c>
      <c r="O45" s="18">
        <f t="shared" si="24"/>
        <v>4145.1104506855727</v>
      </c>
      <c r="P45" s="18">
        <f t="shared" si="24"/>
        <v>4145.1104506855727</v>
      </c>
      <c r="Q45" s="18">
        <f t="shared" si="24"/>
        <v>4145.1104506855727</v>
      </c>
      <c r="R45" s="18">
        <f t="shared" si="24"/>
        <v>4145.1104506855727</v>
      </c>
      <c r="S45" s="18">
        <f t="shared" si="24"/>
        <v>4145.1104506855727</v>
      </c>
      <c r="T45" s="18">
        <f t="shared" si="24"/>
        <v>4145.1104506855727</v>
      </c>
      <c r="U45" s="18">
        <f t="shared" si="24"/>
        <v>4145.1104506855727</v>
      </c>
      <c r="V45" s="18">
        <f t="shared" si="24"/>
        <v>4145.1104506855727</v>
      </c>
      <c r="W45" s="18">
        <f t="shared" si="24"/>
        <v>4145.1104506855727</v>
      </c>
      <c r="X45" s="18">
        <f t="shared" si="24"/>
        <v>4145.1104506855727</v>
      </c>
      <c r="Y45" s="18">
        <f t="shared" si="24"/>
        <v>4145.1104506855727</v>
      </c>
      <c r="Z45" s="18">
        <f t="shared" ref="Z45:AH45" si="25">Z41*$B$45</f>
        <v>4145.1104506855727</v>
      </c>
      <c r="AA45" s="18">
        <f t="shared" si="25"/>
        <v>4145.1104506855727</v>
      </c>
      <c r="AB45" s="18">
        <f t="shared" si="25"/>
        <v>4145.1104506855727</v>
      </c>
      <c r="AC45" s="18">
        <f t="shared" si="25"/>
        <v>4145.1104506855727</v>
      </c>
      <c r="AD45" s="18">
        <f t="shared" si="25"/>
        <v>4145.1104506855727</v>
      </c>
      <c r="AE45" s="18">
        <f t="shared" si="25"/>
        <v>4145.1104506855727</v>
      </c>
      <c r="AF45" s="18">
        <f t="shared" si="25"/>
        <v>4145.1104506855727</v>
      </c>
      <c r="AG45" s="18">
        <f t="shared" si="25"/>
        <v>4145.1104506855727</v>
      </c>
      <c r="AH45" s="18">
        <f t="shared" si="25"/>
        <v>1381.7034835618581</v>
      </c>
      <c r="AI45" s="20"/>
      <c r="AJ45" s="20"/>
      <c r="AK45" s="20"/>
      <c r="AL45" s="20"/>
    </row>
    <row r="46" spans="1:38" s="10" customFormat="1">
      <c r="A46" s="21" t="s">
        <v>237</v>
      </c>
      <c r="B46" s="290">
        <f>B17</f>
        <v>6146.7037999999993</v>
      </c>
      <c r="C46" s="291"/>
      <c r="D46" s="288">
        <f>D42*$B$46</f>
        <v>819.56050666666658</v>
      </c>
      <c r="E46" s="288">
        <f t="shared" ref="E46:AH46" si="26">E42*$B$46</f>
        <v>1229.34076</v>
      </c>
      <c r="F46" s="288">
        <f t="shared" si="26"/>
        <v>1229.34076</v>
      </c>
      <c r="G46" s="288">
        <f t="shared" si="26"/>
        <v>1229.34076</v>
      </c>
      <c r="H46" s="288">
        <f t="shared" si="26"/>
        <v>1229.34076</v>
      </c>
      <c r="I46" s="288">
        <f t="shared" si="26"/>
        <v>409.78025333333335</v>
      </c>
      <c r="J46" s="288">
        <f t="shared" si="26"/>
        <v>0</v>
      </c>
      <c r="K46" s="288">
        <f t="shared" si="26"/>
        <v>0</v>
      </c>
      <c r="L46" s="288">
        <f t="shared" si="26"/>
        <v>0</v>
      </c>
      <c r="M46" s="288">
        <f t="shared" si="26"/>
        <v>0</v>
      </c>
      <c r="N46" s="288">
        <f t="shared" si="26"/>
        <v>0</v>
      </c>
      <c r="O46" s="288">
        <f t="shared" si="26"/>
        <v>0</v>
      </c>
      <c r="P46" s="288">
        <f t="shared" si="26"/>
        <v>0</v>
      </c>
      <c r="Q46" s="288">
        <f t="shared" si="26"/>
        <v>0</v>
      </c>
      <c r="R46" s="288">
        <f t="shared" si="26"/>
        <v>0</v>
      </c>
      <c r="S46" s="288">
        <f t="shared" si="26"/>
        <v>0</v>
      </c>
      <c r="T46" s="288">
        <f t="shared" si="26"/>
        <v>0</v>
      </c>
      <c r="U46" s="288">
        <f t="shared" si="26"/>
        <v>0</v>
      </c>
      <c r="V46" s="288">
        <f t="shared" si="26"/>
        <v>0</v>
      </c>
      <c r="W46" s="288">
        <f t="shared" si="26"/>
        <v>0</v>
      </c>
      <c r="X46" s="288">
        <f t="shared" si="26"/>
        <v>0</v>
      </c>
      <c r="Y46" s="288">
        <f t="shared" si="26"/>
        <v>0</v>
      </c>
      <c r="Z46" s="288">
        <f t="shared" si="26"/>
        <v>0</v>
      </c>
      <c r="AA46" s="288">
        <f t="shared" si="26"/>
        <v>0</v>
      </c>
      <c r="AB46" s="288">
        <f t="shared" si="26"/>
        <v>0</v>
      </c>
      <c r="AC46" s="288">
        <f t="shared" si="26"/>
        <v>0</v>
      </c>
      <c r="AD46" s="288">
        <f t="shared" si="26"/>
        <v>0</v>
      </c>
      <c r="AE46" s="288">
        <f t="shared" si="26"/>
        <v>0</v>
      </c>
      <c r="AF46" s="288">
        <f t="shared" si="26"/>
        <v>0</v>
      </c>
      <c r="AG46" s="288">
        <f t="shared" si="26"/>
        <v>0</v>
      </c>
      <c r="AH46" s="288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303</v>
      </c>
      <c r="B47" s="362">
        <f>B18</f>
        <v>0</v>
      </c>
      <c r="C47" s="291"/>
      <c r="D47" s="363">
        <f t="shared" ref="D47:Y47" si="27">D43*$B$47</f>
        <v>0</v>
      </c>
      <c r="E47" s="363">
        <f t="shared" si="27"/>
        <v>0</v>
      </c>
      <c r="F47" s="363">
        <f t="shared" si="27"/>
        <v>0</v>
      </c>
      <c r="G47" s="363">
        <f t="shared" si="27"/>
        <v>0</v>
      </c>
      <c r="H47" s="363">
        <f t="shared" si="27"/>
        <v>0</v>
      </c>
      <c r="I47" s="363">
        <f t="shared" si="27"/>
        <v>0</v>
      </c>
      <c r="J47" s="363">
        <f t="shared" si="27"/>
        <v>0</v>
      </c>
      <c r="K47" s="363">
        <f t="shared" si="27"/>
        <v>0</v>
      </c>
      <c r="L47" s="363">
        <f t="shared" si="27"/>
        <v>0</v>
      </c>
      <c r="M47" s="363">
        <f t="shared" si="27"/>
        <v>0</v>
      </c>
      <c r="N47" s="363">
        <f t="shared" si="27"/>
        <v>0</v>
      </c>
      <c r="O47" s="363">
        <f t="shared" si="27"/>
        <v>0</v>
      </c>
      <c r="P47" s="363">
        <f t="shared" si="27"/>
        <v>0</v>
      </c>
      <c r="Q47" s="363">
        <f t="shared" si="27"/>
        <v>0</v>
      </c>
      <c r="R47" s="363">
        <f t="shared" si="27"/>
        <v>0</v>
      </c>
      <c r="S47" s="363">
        <f t="shared" si="27"/>
        <v>0</v>
      </c>
      <c r="T47" s="363">
        <f t="shared" si="27"/>
        <v>0</v>
      </c>
      <c r="U47" s="363">
        <f t="shared" si="27"/>
        <v>0</v>
      </c>
      <c r="V47" s="363">
        <f t="shared" si="27"/>
        <v>0</v>
      </c>
      <c r="W47" s="363">
        <f t="shared" si="27"/>
        <v>0</v>
      </c>
      <c r="X47" s="363">
        <f t="shared" si="27"/>
        <v>0</v>
      </c>
      <c r="Y47" s="363">
        <f t="shared" si="27"/>
        <v>0</v>
      </c>
      <c r="Z47" s="363">
        <f t="shared" ref="Z47:AH47" si="28">Z43*$B$47</f>
        <v>0</v>
      </c>
      <c r="AA47" s="363">
        <f t="shared" si="28"/>
        <v>0</v>
      </c>
      <c r="AB47" s="363">
        <f t="shared" si="28"/>
        <v>0</v>
      </c>
      <c r="AC47" s="363">
        <f t="shared" si="28"/>
        <v>0</v>
      </c>
      <c r="AD47" s="363">
        <f t="shared" si="28"/>
        <v>0</v>
      </c>
      <c r="AE47" s="363">
        <f t="shared" si="28"/>
        <v>0</v>
      </c>
      <c r="AF47" s="363">
        <f t="shared" si="28"/>
        <v>0</v>
      </c>
      <c r="AG47" s="363">
        <f t="shared" si="28"/>
        <v>0</v>
      </c>
      <c r="AH47" s="36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144317.05215618576</v>
      </c>
      <c r="C48" s="291"/>
      <c r="D48" s="18">
        <f t="shared" ref="D48:Y48" si="29">SUM(D45:D47)</f>
        <v>3582.9674737903815</v>
      </c>
      <c r="E48" s="18">
        <f t="shared" si="29"/>
        <v>5374.4512106855727</v>
      </c>
      <c r="F48" s="18">
        <f t="shared" si="29"/>
        <v>5374.4512106855727</v>
      </c>
      <c r="G48" s="18">
        <f t="shared" si="29"/>
        <v>5374.4512106855727</v>
      </c>
      <c r="H48" s="18">
        <f t="shared" si="29"/>
        <v>5374.4512106855727</v>
      </c>
      <c r="I48" s="18">
        <f t="shared" si="29"/>
        <v>4554.890704018906</v>
      </c>
      <c r="J48" s="18">
        <f t="shared" si="29"/>
        <v>4145.1104506855727</v>
      </c>
      <c r="K48" s="18">
        <f t="shared" si="29"/>
        <v>4145.1104506855727</v>
      </c>
      <c r="L48" s="18">
        <f t="shared" si="29"/>
        <v>4145.1104506855727</v>
      </c>
      <c r="M48" s="18">
        <f t="shared" si="29"/>
        <v>4145.1104506855727</v>
      </c>
      <c r="N48" s="18">
        <f t="shared" si="29"/>
        <v>4145.1104506855727</v>
      </c>
      <c r="O48" s="18">
        <f t="shared" si="29"/>
        <v>4145.1104506855727</v>
      </c>
      <c r="P48" s="18">
        <f t="shared" si="29"/>
        <v>4145.1104506855727</v>
      </c>
      <c r="Q48" s="18">
        <f t="shared" si="29"/>
        <v>4145.1104506855727</v>
      </c>
      <c r="R48" s="18">
        <f t="shared" si="29"/>
        <v>4145.1104506855727</v>
      </c>
      <c r="S48" s="18">
        <f t="shared" si="29"/>
        <v>4145.1104506855727</v>
      </c>
      <c r="T48" s="18">
        <f t="shared" si="29"/>
        <v>4145.1104506855727</v>
      </c>
      <c r="U48" s="18">
        <f t="shared" si="29"/>
        <v>4145.1104506855727</v>
      </c>
      <c r="V48" s="18">
        <f t="shared" si="29"/>
        <v>4145.1104506855727</v>
      </c>
      <c r="W48" s="18">
        <f t="shared" si="29"/>
        <v>4145.1104506855727</v>
      </c>
      <c r="X48" s="18">
        <f t="shared" si="29"/>
        <v>4145.1104506855727</v>
      </c>
      <c r="Y48" s="18">
        <f t="shared" si="29"/>
        <v>4145.1104506855727</v>
      </c>
      <c r="Z48" s="18">
        <f t="shared" ref="Z48:AH48" si="30">SUM(Z45:Z47)</f>
        <v>4145.1104506855727</v>
      </c>
      <c r="AA48" s="18">
        <f t="shared" si="30"/>
        <v>4145.1104506855727</v>
      </c>
      <c r="AB48" s="18">
        <f t="shared" si="30"/>
        <v>4145.1104506855727</v>
      </c>
      <c r="AC48" s="18">
        <f t="shared" si="30"/>
        <v>4145.1104506855727</v>
      </c>
      <c r="AD48" s="18">
        <f t="shared" si="30"/>
        <v>4145.1104506855727</v>
      </c>
      <c r="AE48" s="18">
        <f t="shared" si="30"/>
        <v>4145.1104506855727</v>
      </c>
      <c r="AF48" s="18">
        <f t="shared" si="30"/>
        <v>4145.1104506855727</v>
      </c>
      <c r="AG48" s="18">
        <f t="shared" si="30"/>
        <v>4145.1104506855727</v>
      </c>
      <c r="AH48" s="18">
        <f t="shared" si="30"/>
        <v>1381.7034835618581</v>
      </c>
      <c r="AI48" s="20"/>
      <c r="AJ48" s="20"/>
      <c r="AK48" s="20"/>
      <c r="AL48" s="20"/>
    </row>
    <row r="49" spans="1:38">
      <c r="A49" s="22"/>
      <c r="B49" s="18"/>
      <c r="C49" s="36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3" t="s">
        <v>66</v>
      </c>
      <c r="B50" s="367">
        <f>B48</f>
        <v>144317.05215618576</v>
      </c>
      <c r="C50" s="366"/>
      <c r="D50" s="292">
        <f>B48-D48</f>
        <v>140734.08468239539</v>
      </c>
      <c r="E50" s="292">
        <f>D50-E48</f>
        <v>135359.63347170982</v>
      </c>
      <c r="F50" s="292">
        <f t="shared" ref="F50:Y50" si="31">E50-F48</f>
        <v>129985.18226102425</v>
      </c>
      <c r="G50" s="292">
        <f t="shared" si="31"/>
        <v>124610.73105033868</v>
      </c>
      <c r="H50" s="292">
        <f t="shared" si="31"/>
        <v>119236.27983965311</v>
      </c>
      <c r="I50" s="292">
        <f t="shared" si="31"/>
        <v>114681.38913563421</v>
      </c>
      <c r="J50" s="292">
        <f t="shared" si="31"/>
        <v>110536.27868494863</v>
      </c>
      <c r="K50" s="292">
        <f t="shared" si="31"/>
        <v>106391.16823426305</v>
      </c>
      <c r="L50" s="292">
        <f t="shared" si="31"/>
        <v>102246.05778357747</v>
      </c>
      <c r="M50" s="292">
        <f t="shared" si="31"/>
        <v>98100.947332891898</v>
      </c>
      <c r="N50" s="292">
        <f t="shared" si="31"/>
        <v>93955.83688220632</v>
      </c>
      <c r="O50" s="292">
        <f t="shared" si="31"/>
        <v>89810.726431520743</v>
      </c>
      <c r="P50" s="292">
        <f t="shared" si="31"/>
        <v>85665.615980835166</v>
      </c>
      <c r="Q50" s="292">
        <f t="shared" si="31"/>
        <v>81520.505530149589</v>
      </c>
      <c r="R50" s="292">
        <f t="shared" si="31"/>
        <v>77375.395079464011</v>
      </c>
      <c r="S50" s="292">
        <f t="shared" si="31"/>
        <v>73230.284628778434</v>
      </c>
      <c r="T50" s="292">
        <f t="shared" si="31"/>
        <v>69085.174178092857</v>
      </c>
      <c r="U50" s="292">
        <f t="shared" si="31"/>
        <v>64940.063727407287</v>
      </c>
      <c r="V50" s="292">
        <f t="shared" si="31"/>
        <v>60794.953276721717</v>
      </c>
      <c r="W50" s="292">
        <f t="shared" si="31"/>
        <v>56649.842826036147</v>
      </c>
      <c r="X50" s="292">
        <f t="shared" si="31"/>
        <v>52504.732375350577</v>
      </c>
      <c r="Y50" s="292">
        <f t="shared" si="31"/>
        <v>48359.621924665007</v>
      </c>
      <c r="Z50" s="292">
        <f t="shared" ref="Z50:AH50" si="32">Y50-Z48</f>
        <v>44214.511473979437</v>
      </c>
      <c r="AA50" s="292">
        <f t="shared" si="32"/>
        <v>40069.401023293867</v>
      </c>
      <c r="AB50" s="292">
        <f t="shared" si="32"/>
        <v>35924.290572608297</v>
      </c>
      <c r="AC50" s="292">
        <f t="shared" si="32"/>
        <v>31779.180121922724</v>
      </c>
      <c r="AD50" s="292">
        <f t="shared" si="32"/>
        <v>27634.06967123715</v>
      </c>
      <c r="AE50" s="292">
        <f t="shared" si="32"/>
        <v>23488.959220551576</v>
      </c>
      <c r="AF50" s="292">
        <f t="shared" si="32"/>
        <v>19343.848769866003</v>
      </c>
      <c r="AG50" s="292">
        <f t="shared" si="32"/>
        <v>15198.738319180429</v>
      </c>
      <c r="AH50" s="292">
        <f t="shared" si="32"/>
        <v>13817.034835618571</v>
      </c>
      <c r="AI50" s="234"/>
      <c r="AJ50" s="234"/>
      <c r="AK50" s="234"/>
      <c r="AL50" s="234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13" zoomScale="75" zoomScaleNormal="75" workbookViewId="0">
      <selection activeCell="B24" sqref="B24"/>
    </sheetView>
  </sheetViews>
  <sheetFormatPr defaultRowHeight="12.75"/>
  <cols>
    <col min="1" max="1" width="51.7109375" style="12" customWidth="1"/>
    <col min="2" max="2" width="15.140625" style="12" customWidth="1"/>
    <col min="3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5" t="str">
        <f>Assumptions!A3</f>
        <v>PROJECT NAME: Homestead, Florida</v>
      </c>
    </row>
    <row r="4" spans="1:32" ht="18.75">
      <c r="A4" s="61" t="s">
        <v>94</v>
      </c>
      <c r="B4" s="7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8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8"/>
      <c r="Y5" s="88"/>
    </row>
    <row r="6" spans="1:32">
      <c r="A6" s="125"/>
      <c r="B6" s="210">
        <f>'Price_Technical Assumption'!D7</f>
        <v>0.66666666666666663</v>
      </c>
      <c r="C6" s="210">
        <f>'Price_Technical Assumption'!E7</f>
        <v>1.6666666666666665</v>
      </c>
      <c r="D6" s="210">
        <f>'Price_Technical Assumption'!F7</f>
        <v>2.6666666666666665</v>
      </c>
      <c r="E6" s="210">
        <f>'Price_Technical Assumption'!G7</f>
        <v>3.6666666666666665</v>
      </c>
      <c r="F6" s="210">
        <f>'Price_Technical Assumption'!H7</f>
        <v>4.6666666666666661</v>
      </c>
      <c r="G6" s="210">
        <f>'Price_Technical Assumption'!I7</f>
        <v>5.6666666666666661</v>
      </c>
      <c r="H6" s="210">
        <f>'Price_Technical Assumption'!J7</f>
        <v>6.6666666666666661</v>
      </c>
      <c r="I6" s="210">
        <f>'Price_Technical Assumption'!K7</f>
        <v>7.6666666666666661</v>
      </c>
      <c r="J6" s="210">
        <f>'Price_Technical Assumption'!L7</f>
        <v>8.6666666666666661</v>
      </c>
      <c r="K6" s="210">
        <f>'Price_Technical Assumption'!M7</f>
        <v>9.6666666666666661</v>
      </c>
      <c r="L6" s="210">
        <f>'Price_Technical Assumption'!N7</f>
        <v>10.666666666666666</v>
      </c>
      <c r="M6" s="210">
        <f>'Price_Technical Assumption'!O7</f>
        <v>11.666666666666666</v>
      </c>
      <c r="N6" s="210">
        <f>'Price_Technical Assumption'!P7</f>
        <v>12.666666666666666</v>
      </c>
      <c r="O6" s="210">
        <f>'Price_Technical Assumption'!Q7</f>
        <v>13.666666666666666</v>
      </c>
      <c r="P6" s="210">
        <f>'Price_Technical Assumption'!R7</f>
        <v>14.666666666666666</v>
      </c>
      <c r="Q6" s="210">
        <f>'Price_Technical Assumption'!S7</f>
        <v>15.666666666666666</v>
      </c>
      <c r="R6" s="210">
        <f>'Price_Technical Assumption'!T7</f>
        <v>16.666666666666664</v>
      </c>
      <c r="S6" s="210">
        <f>'Price_Technical Assumption'!U7</f>
        <v>17.666666666666664</v>
      </c>
      <c r="T6" s="210">
        <f>'Price_Technical Assumption'!V7</f>
        <v>18.666666666666664</v>
      </c>
      <c r="U6" s="210">
        <f>'Price_Technical Assumption'!W7</f>
        <v>19.666666666666664</v>
      </c>
      <c r="V6" s="210">
        <f>'Price_Technical Assumption'!X7</f>
        <v>20.666666666666664</v>
      </c>
      <c r="W6" s="210">
        <f>'Price_Technical Assumption'!Y7</f>
        <v>21.666666666666664</v>
      </c>
      <c r="X6" s="210">
        <f>'Price_Technical Assumption'!Z7</f>
        <v>22.666666666666664</v>
      </c>
      <c r="Y6" s="210">
        <f>'Price_Technical Assumption'!AA7</f>
        <v>23.666666666666664</v>
      </c>
      <c r="Z6" s="210">
        <f>'Price_Technical Assumption'!AB7</f>
        <v>24.666666666666664</v>
      </c>
      <c r="AA6" s="210">
        <f>'Price_Technical Assumption'!AC7</f>
        <v>25.666666666666664</v>
      </c>
      <c r="AB6" s="210">
        <f>'Price_Technical Assumption'!AD7</f>
        <v>26.666666666666664</v>
      </c>
      <c r="AC6" s="210">
        <f>'Price_Technical Assumption'!AE7</f>
        <v>27.666666666666664</v>
      </c>
      <c r="AD6" s="210">
        <f>'Price_Technical Assumption'!AF7</f>
        <v>28.666666666666664</v>
      </c>
      <c r="AE6" s="210">
        <f>'Price_Technical Assumption'!AG7</f>
        <v>29.666666666666664</v>
      </c>
      <c r="AF6" s="210">
        <f>'Price_Technical Assumption'!AH7</f>
        <v>30.666666666666664</v>
      </c>
    </row>
    <row r="7" spans="1:32" ht="13.5" thickBot="1">
      <c r="A7" s="120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5"/>
      <c r="B8" s="201">
        <f>Depreciation!D8</f>
        <v>37256</v>
      </c>
      <c r="C8" s="201">
        <f>Depreciation!E8</f>
        <v>37621</v>
      </c>
      <c r="D8" s="201">
        <f>Depreciation!F8</f>
        <v>37986</v>
      </c>
      <c r="E8" s="201">
        <f>Depreciation!G8</f>
        <v>38352</v>
      </c>
      <c r="F8" s="201">
        <f>Depreciation!H8</f>
        <v>38717</v>
      </c>
      <c r="G8" s="201">
        <f>Depreciation!I8</f>
        <v>39082</v>
      </c>
      <c r="H8" s="201">
        <f>Depreciation!J8</f>
        <v>39447</v>
      </c>
      <c r="I8" s="201">
        <f>Depreciation!K8</f>
        <v>39813</v>
      </c>
      <c r="J8" s="201">
        <f>Depreciation!L8</f>
        <v>40178</v>
      </c>
      <c r="K8" s="201">
        <f>Depreciation!M8</f>
        <v>40543</v>
      </c>
      <c r="L8" s="201">
        <f>Depreciation!N8</f>
        <v>40908</v>
      </c>
      <c r="M8" s="201">
        <f>Depreciation!O8</f>
        <v>41274</v>
      </c>
      <c r="N8" s="201">
        <f>Depreciation!P8</f>
        <v>41639</v>
      </c>
      <c r="O8" s="201">
        <f>Depreciation!Q8</f>
        <v>42004</v>
      </c>
      <c r="P8" s="201">
        <f>Depreciation!R8</f>
        <v>42369</v>
      </c>
      <c r="Q8" s="201">
        <f>Depreciation!S8</f>
        <v>42735</v>
      </c>
      <c r="R8" s="201">
        <f>Depreciation!T8</f>
        <v>43100</v>
      </c>
      <c r="S8" s="201">
        <f>Depreciation!U8</f>
        <v>43465</v>
      </c>
      <c r="T8" s="201">
        <f>Depreciation!V8</f>
        <v>43830</v>
      </c>
      <c r="U8" s="201">
        <f>Depreciation!W8</f>
        <v>44196</v>
      </c>
      <c r="V8" s="201">
        <f>Depreciation!X8</f>
        <v>44561</v>
      </c>
      <c r="W8" s="201">
        <f>Depreciation!Y8</f>
        <v>44926</v>
      </c>
      <c r="X8" s="201">
        <f>Depreciation!Z8</f>
        <v>45291</v>
      </c>
      <c r="Y8" s="201">
        <f>Depreciation!AA8</f>
        <v>45657</v>
      </c>
      <c r="Z8" s="201">
        <f>Depreciation!AB8</f>
        <v>46022</v>
      </c>
      <c r="AA8" s="201">
        <f>Depreciation!AC8</f>
        <v>46387</v>
      </c>
      <c r="AB8" s="201">
        <f>Depreciation!AD8</f>
        <v>46752</v>
      </c>
      <c r="AC8" s="201">
        <f>Depreciation!AE8</f>
        <v>47118</v>
      </c>
      <c r="AD8" s="201">
        <f>Depreciation!AF8</f>
        <v>47483</v>
      </c>
      <c r="AE8" s="201">
        <f>Depreciation!AG8</f>
        <v>47848</v>
      </c>
      <c r="AF8" s="201">
        <f>Depreciation!AH8</f>
        <v>48213</v>
      </c>
    </row>
    <row r="9" spans="1:32">
      <c r="A9" s="126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198</v>
      </c>
      <c r="B10" s="19">
        <f>IS!C40</f>
        <v>1927.4329087122032</v>
      </c>
      <c r="C10" s="19">
        <f>IS!D40</f>
        <v>3175.0464242508933</v>
      </c>
      <c r="D10" s="19">
        <f>IS!E40</f>
        <v>3234.7158049105137</v>
      </c>
      <c r="E10" s="19">
        <f>IS!F40</f>
        <v>3299.8115422163055</v>
      </c>
      <c r="F10" s="19">
        <f>IS!G40</f>
        <v>3370.7384711335062</v>
      </c>
      <c r="G10" s="19">
        <f>IS!H40</f>
        <v>4267.4907715415766</v>
      </c>
      <c r="H10" s="19">
        <f>IS!I40</f>
        <v>4761.1922235742113</v>
      </c>
      <c r="I10" s="19">
        <f>IS!J40</f>
        <v>4852.3404051663838</v>
      </c>
      <c r="J10" s="19">
        <f>IS!K40</f>
        <v>4951.2485084336067</v>
      </c>
      <c r="K10" s="19">
        <f>IS!L40</f>
        <v>5058.4873188724041</v>
      </c>
      <c r="L10" s="19">
        <f>IS!M40</f>
        <v>5174.6681287836464</v>
      </c>
      <c r="M10" s="19">
        <f>IS!N40</f>
        <v>5300.4455837852383</v>
      </c>
      <c r="N10" s="19">
        <f>IS!O40</f>
        <v>5436.5207288014344</v>
      </c>
      <c r="O10" s="19">
        <f>IS!P40</f>
        <v>5583.6442674965492</v>
      </c>
      <c r="P10" s="19">
        <f>IS!Q40</f>
        <v>5742.6200500986579</v>
      </c>
      <c r="Q10" s="19">
        <f>IS!R40</f>
        <v>5914.3088056052211</v>
      </c>
      <c r="R10" s="19">
        <f>IS!S40</f>
        <v>6099.6321354819975</v>
      </c>
      <c r="S10" s="19">
        <f>IS!T40</f>
        <v>6299.5767871645976</v>
      </c>
      <c r="T10" s="19">
        <f>IS!U40</f>
        <v>6515.1992269537113</v>
      </c>
      <c r="U10" s="19">
        <f>IS!V40</f>
        <v>6747.6305332665743</v>
      </c>
      <c r="V10" s="19">
        <f>IS!W40</f>
        <v>6998.0816326746208</v>
      </c>
      <c r="W10" s="19">
        <f>IS!X40</f>
        <v>7267.8489027275746</v>
      </c>
      <c r="X10" s="19">
        <f>IS!Y40</f>
        <v>7558.3201672443101</v>
      </c>
      <c r="Y10" s="19">
        <f>IS!Z40</f>
        <v>7870.9811115484918</v>
      </c>
      <c r="Z10" s="19">
        <f>IS!AA40</f>
        <v>8207.4221470506673</v>
      </c>
      <c r="AA10" s="19">
        <f>IS!AB40</f>
        <v>8569.3457566366287</v>
      </c>
      <c r="AB10" s="19">
        <f>IS!AC40</f>
        <v>8958.5743545242149</v>
      </c>
      <c r="AC10" s="19">
        <f>IS!AD40</f>
        <v>9377.0586966071533</v>
      </c>
      <c r="AD10" s="19">
        <f>IS!AE40</f>
        <v>9826.8868798259791</v>
      </c>
      <c r="AE10" s="19">
        <f>IS!AF40</f>
        <v>10310.293971804009</v>
      </c>
      <c r="AF10" s="19">
        <f>IS!AG40</f>
        <v>1262.4692209692146</v>
      </c>
    </row>
    <row r="11" spans="1:32">
      <c r="A11" s="21" t="s">
        <v>68</v>
      </c>
      <c r="B11" s="19">
        <f>IS!C34</f>
        <v>3582.9674737903815</v>
      </c>
      <c r="C11" s="19">
        <f>IS!D34</f>
        <v>5374.4512106855727</v>
      </c>
      <c r="D11" s="19">
        <f>IS!E34</f>
        <v>5374.4512106855727</v>
      </c>
      <c r="E11" s="19">
        <f>IS!F34</f>
        <v>5374.4512106855727</v>
      </c>
      <c r="F11" s="19">
        <f>IS!G34</f>
        <v>5374.4512106855727</v>
      </c>
      <c r="G11" s="19">
        <f>IS!H34</f>
        <v>4554.890704018906</v>
      </c>
      <c r="H11" s="19">
        <f>IS!I34</f>
        <v>4145.1104506855727</v>
      </c>
      <c r="I11" s="19">
        <f>IS!J34</f>
        <v>4145.1104506855727</v>
      </c>
      <c r="J11" s="19">
        <f>IS!K34</f>
        <v>4145.1104506855727</v>
      </c>
      <c r="K11" s="19">
        <f>IS!L34</f>
        <v>4145.1104506855727</v>
      </c>
      <c r="L11" s="19">
        <f>IS!M34</f>
        <v>4145.1104506855727</v>
      </c>
      <c r="M11" s="19">
        <f>IS!N34</f>
        <v>4145.1104506855727</v>
      </c>
      <c r="N11" s="19">
        <f>IS!O34</f>
        <v>4145.1104506855727</v>
      </c>
      <c r="O11" s="19">
        <f>IS!P34</f>
        <v>4145.1104506855727</v>
      </c>
      <c r="P11" s="19">
        <f>IS!Q34</f>
        <v>4145.1104506855727</v>
      </c>
      <c r="Q11" s="19">
        <f>IS!R34</f>
        <v>4145.1104506855727</v>
      </c>
      <c r="R11" s="19">
        <f>IS!S34</f>
        <v>4145.1104506855727</v>
      </c>
      <c r="S11" s="19">
        <f>IS!T34</f>
        <v>4145.1104506855727</v>
      </c>
      <c r="T11" s="19">
        <f>IS!U34</f>
        <v>4145.1104506855727</v>
      </c>
      <c r="U11" s="19">
        <f>IS!V34</f>
        <v>4145.1104506855727</v>
      </c>
      <c r="V11" s="19">
        <f>IS!W34</f>
        <v>4145.1104506855727</v>
      </c>
      <c r="W11" s="19">
        <f>IS!X34</f>
        <v>4145.1104506855727</v>
      </c>
      <c r="X11" s="19">
        <f>IS!Y34</f>
        <v>4145.1104506855727</v>
      </c>
      <c r="Y11" s="19">
        <f>IS!Z34</f>
        <v>4145.1104506855727</v>
      </c>
      <c r="Z11" s="19">
        <f>IS!AA34</f>
        <v>4145.1104506855727</v>
      </c>
      <c r="AA11" s="19">
        <f>IS!AB34</f>
        <v>4145.1104506855727</v>
      </c>
      <c r="AB11" s="19">
        <f>IS!AC34</f>
        <v>4145.1104506855727</v>
      </c>
      <c r="AC11" s="19">
        <f>IS!AD34</f>
        <v>4145.1104506855727</v>
      </c>
      <c r="AD11" s="19">
        <f>IS!AE34</f>
        <v>4145.1104506855727</v>
      </c>
      <c r="AE11" s="19">
        <f>IS!AF34</f>
        <v>4145.1104506855727</v>
      </c>
      <c r="AF11" s="19">
        <f>IS!AG34</f>
        <v>1381.7034835618581</v>
      </c>
    </row>
    <row r="12" spans="1:32" ht="15">
      <c r="A12" s="21" t="s">
        <v>69</v>
      </c>
      <c r="B12" s="128">
        <f>-Depreciation!D34</f>
        <v>-7728.077924475956</v>
      </c>
      <c r="C12" s="128">
        <f>-Depreciation!E34</f>
        <v>-14355.523853837647</v>
      </c>
      <c r="D12" s="128">
        <f>-Depreciation!F34</f>
        <v>-13042.905544453886</v>
      </c>
      <c r="E12" s="128">
        <f>-Depreciation!G34</f>
        <v>-11868.457583426305</v>
      </c>
      <c r="F12" s="128">
        <f>-Depreciation!H34</f>
        <v>-10804.545901083675</v>
      </c>
      <c r="G12" s="128">
        <f>-Depreciation!I34</f>
        <v>-9017.7929559237054</v>
      </c>
      <c r="H12" s="128">
        <f>-Depreciation!J34</f>
        <v>-8152.0505530149603</v>
      </c>
      <c r="I12" s="128">
        <f>-Depreciation!K34</f>
        <v>-8165.8675878505792</v>
      </c>
      <c r="J12" s="128">
        <f>-Depreciation!L34</f>
        <v>-8152.0505530149603</v>
      </c>
      <c r="K12" s="128">
        <f>-Depreciation!M34</f>
        <v>-8165.8675878505792</v>
      </c>
      <c r="L12" s="128">
        <f>-Depreciation!N34</f>
        <v>-8152.0505530149603</v>
      </c>
      <c r="M12" s="128">
        <f>-Depreciation!O34</f>
        <v>-8165.8675878505792</v>
      </c>
      <c r="N12" s="128">
        <f>-Depreciation!P34</f>
        <v>-8152.0505530149603</v>
      </c>
      <c r="O12" s="128">
        <f>-Depreciation!Q34</f>
        <v>-8165.8675878505792</v>
      </c>
      <c r="P12" s="128">
        <f>-Depreciation!R34</f>
        <v>-8152.0505530149603</v>
      </c>
      <c r="Q12" s="128">
        <f>-Depreciation!S34</f>
        <v>-4076.0252765074802</v>
      </c>
      <c r="R12" s="128">
        <f>-Depreciation!T34</f>
        <v>0</v>
      </c>
      <c r="S12" s="128">
        <f>-Depreciation!U34</f>
        <v>0</v>
      </c>
      <c r="T12" s="128">
        <f>-Depreciation!V34</f>
        <v>0</v>
      </c>
      <c r="U12" s="128">
        <f>-Depreciation!W34</f>
        <v>0</v>
      </c>
      <c r="V12" s="128">
        <f>-Depreciation!X34</f>
        <v>0</v>
      </c>
      <c r="W12" s="128">
        <f>-Depreciation!Y34</f>
        <v>0</v>
      </c>
      <c r="X12" s="128">
        <f>-Depreciation!Z34</f>
        <v>0</v>
      </c>
      <c r="Y12" s="128">
        <f>-Depreciation!AA34</f>
        <v>0</v>
      </c>
      <c r="Z12" s="128">
        <f>-Depreciation!AB34</f>
        <v>0</v>
      </c>
      <c r="AA12" s="128">
        <f>-Depreciation!AC34</f>
        <v>0</v>
      </c>
      <c r="AB12" s="128">
        <f>-Depreciation!AD34</f>
        <v>0</v>
      </c>
      <c r="AC12" s="128">
        <f>-Depreciation!AE34</f>
        <v>0</v>
      </c>
      <c r="AD12" s="128">
        <f>-Depreciation!AF34</f>
        <v>0</v>
      </c>
      <c r="AE12" s="128">
        <f>-Depreciation!AG34</f>
        <v>0</v>
      </c>
      <c r="AF12" s="128">
        <f>-Depreciation!AH34</f>
        <v>0</v>
      </c>
    </row>
    <row r="13" spans="1:32">
      <c r="A13" s="127" t="s">
        <v>70</v>
      </c>
      <c r="B13" s="23">
        <f>SUM(B10:B12)</f>
        <v>-2217.6775419733713</v>
      </c>
      <c r="C13" s="23">
        <f t="shared" ref="C13:W13" si="0">SUM(C10:C12)</f>
        <v>-5806.026218901181</v>
      </c>
      <c r="D13" s="23">
        <f t="shared" si="0"/>
        <v>-4433.7385288578007</v>
      </c>
      <c r="E13" s="23">
        <f t="shared" si="0"/>
        <v>-3194.1948305244259</v>
      </c>
      <c r="F13" s="23">
        <f t="shared" si="0"/>
        <v>-2059.356219264595</v>
      </c>
      <c r="G13" s="23">
        <f t="shared" si="0"/>
        <v>-195.41148036322193</v>
      </c>
      <c r="H13" s="23">
        <f t="shared" si="0"/>
        <v>754.25212124482277</v>
      </c>
      <c r="I13" s="23">
        <f t="shared" si="0"/>
        <v>831.58326800137638</v>
      </c>
      <c r="J13" s="23">
        <f t="shared" si="0"/>
        <v>944.3084061042191</v>
      </c>
      <c r="K13" s="23">
        <f t="shared" si="0"/>
        <v>1037.7301817073976</v>
      </c>
      <c r="L13" s="23">
        <f t="shared" si="0"/>
        <v>1167.7280264542587</v>
      </c>
      <c r="M13" s="23">
        <f t="shared" si="0"/>
        <v>1279.6884466202309</v>
      </c>
      <c r="N13" s="23">
        <f t="shared" si="0"/>
        <v>1429.5806264720468</v>
      </c>
      <c r="O13" s="23">
        <f t="shared" si="0"/>
        <v>1562.8871303315418</v>
      </c>
      <c r="P13" s="23">
        <f t="shared" si="0"/>
        <v>1735.6799477692693</v>
      </c>
      <c r="Q13" s="23">
        <f t="shared" si="0"/>
        <v>5983.3939797833136</v>
      </c>
      <c r="R13" s="23">
        <f t="shared" si="0"/>
        <v>10244.742586167569</v>
      </c>
      <c r="S13" s="23">
        <f t="shared" si="0"/>
        <v>10444.68723785017</v>
      </c>
      <c r="T13" s="23">
        <f t="shared" si="0"/>
        <v>10660.309677639285</v>
      </c>
      <c r="U13" s="23">
        <f t="shared" si="0"/>
        <v>10892.740983952146</v>
      </c>
      <c r="V13" s="23">
        <f t="shared" si="0"/>
        <v>11143.192083360194</v>
      </c>
      <c r="W13" s="23">
        <f t="shared" si="0"/>
        <v>11412.959353413147</v>
      </c>
      <c r="X13" s="23">
        <f t="shared" ref="X13:AF13" si="1">SUM(X10:X12)</f>
        <v>11703.430617929884</v>
      </c>
      <c r="Y13" s="23">
        <f t="shared" si="1"/>
        <v>12016.091562234065</v>
      </c>
      <c r="Z13" s="23">
        <f t="shared" si="1"/>
        <v>12352.532597736241</v>
      </c>
      <c r="AA13" s="23">
        <f t="shared" si="1"/>
        <v>12714.4562073222</v>
      </c>
      <c r="AB13" s="23">
        <f t="shared" si="1"/>
        <v>13103.684805209788</v>
      </c>
      <c r="AC13" s="23">
        <f t="shared" si="1"/>
        <v>13522.169147292727</v>
      </c>
      <c r="AD13" s="23">
        <f t="shared" si="1"/>
        <v>13971.997330511553</v>
      </c>
      <c r="AE13" s="23">
        <f t="shared" si="1"/>
        <v>14455.404422489581</v>
      </c>
      <c r="AF13" s="23">
        <f t="shared" si="1"/>
        <v>2644.1727045310727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29">
        <f>Assumptions!$N$51</f>
        <v>7.0000000000000007E-2</v>
      </c>
      <c r="C15" s="129">
        <f>Assumptions!$N$51</f>
        <v>7.0000000000000007E-2</v>
      </c>
      <c r="D15" s="129">
        <f>Assumptions!$N$51</f>
        <v>7.0000000000000007E-2</v>
      </c>
      <c r="E15" s="129">
        <f>Assumptions!$N$51</f>
        <v>7.0000000000000007E-2</v>
      </c>
      <c r="F15" s="129">
        <f>Assumptions!$N$51</f>
        <v>7.0000000000000007E-2</v>
      </c>
      <c r="G15" s="129">
        <f>Assumptions!$N$51</f>
        <v>7.0000000000000007E-2</v>
      </c>
      <c r="H15" s="129">
        <f>Assumptions!$N$51</f>
        <v>7.0000000000000007E-2</v>
      </c>
      <c r="I15" s="129">
        <f>Assumptions!$N$51</f>
        <v>7.0000000000000007E-2</v>
      </c>
      <c r="J15" s="129">
        <f>Assumptions!$N$51</f>
        <v>7.0000000000000007E-2</v>
      </c>
      <c r="K15" s="129">
        <f>Assumptions!$N$51</f>
        <v>7.0000000000000007E-2</v>
      </c>
      <c r="L15" s="129">
        <f>Assumptions!$N$51</f>
        <v>7.0000000000000007E-2</v>
      </c>
      <c r="M15" s="129">
        <f>Assumptions!$N$51</f>
        <v>7.0000000000000007E-2</v>
      </c>
      <c r="N15" s="129">
        <f>Assumptions!$N$51</f>
        <v>7.0000000000000007E-2</v>
      </c>
      <c r="O15" s="129">
        <f>Assumptions!$N$51</f>
        <v>7.0000000000000007E-2</v>
      </c>
      <c r="P15" s="129">
        <f>Assumptions!$N$51</f>
        <v>7.0000000000000007E-2</v>
      </c>
      <c r="Q15" s="129">
        <f>Assumptions!$N$51</f>
        <v>7.0000000000000007E-2</v>
      </c>
      <c r="R15" s="129">
        <f>Assumptions!$N$51</f>
        <v>7.0000000000000007E-2</v>
      </c>
      <c r="S15" s="129">
        <f>Assumptions!$N$51</f>
        <v>7.0000000000000007E-2</v>
      </c>
      <c r="T15" s="129">
        <f>Assumptions!$N$51</f>
        <v>7.0000000000000007E-2</v>
      </c>
      <c r="U15" s="129">
        <f>Assumptions!$N$51</f>
        <v>7.0000000000000007E-2</v>
      </c>
      <c r="V15" s="129">
        <f>Assumptions!$N$51</f>
        <v>7.0000000000000007E-2</v>
      </c>
      <c r="W15" s="129">
        <f>Assumptions!$N$51</f>
        <v>7.0000000000000007E-2</v>
      </c>
      <c r="X15" s="129">
        <f>Assumptions!$N$51</f>
        <v>7.0000000000000007E-2</v>
      </c>
      <c r="Y15" s="129">
        <f>Assumptions!$N$51</f>
        <v>7.0000000000000007E-2</v>
      </c>
      <c r="Z15" s="129">
        <f>Assumptions!$N$51</f>
        <v>7.0000000000000007E-2</v>
      </c>
      <c r="AA15" s="129">
        <f>Assumptions!$N$51</f>
        <v>7.0000000000000007E-2</v>
      </c>
      <c r="AB15" s="129">
        <f>Assumptions!$N$51</f>
        <v>7.0000000000000007E-2</v>
      </c>
      <c r="AC15" s="129">
        <f>Assumptions!$N$51</f>
        <v>7.0000000000000007E-2</v>
      </c>
      <c r="AD15" s="129">
        <f>Assumptions!$N$51</f>
        <v>7.0000000000000007E-2</v>
      </c>
      <c r="AE15" s="129">
        <f>Assumptions!$N$51</f>
        <v>7.0000000000000007E-2</v>
      </c>
      <c r="AF15" s="129">
        <f>Assumptions!$N$51</f>
        <v>7.0000000000000007E-2</v>
      </c>
    </row>
    <row r="16" spans="1:32">
      <c r="A16" s="21" t="s">
        <v>71</v>
      </c>
      <c r="B16" s="19">
        <f t="shared" ref="B16:AF16" si="2">B13*B15</f>
        <v>-155.23742793813599</v>
      </c>
      <c r="C16" s="19">
        <f t="shared" si="2"/>
        <v>-406.42183532308269</v>
      </c>
      <c r="D16" s="19">
        <f t="shared" si="2"/>
        <v>-310.36169702004605</v>
      </c>
      <c r="E16" s="19">
        <f t="shared" si="2"/>
        <v>-223.59363813670984</v>
      </c>
      <c r="F16" s="19">
        <f t="shared" si="2"/>
        <v>-144.15493534852166</v>
      </c>
      <c r="G16" s="19">
        <f t="shared" si="2"/>
        <v>-13.678803625425536</v>
      </c>
      <c r="H16" s="19">
        <f t="shared" si="2"/>
        <v>52.7976484871376</v>
      </c>
      <c r="I16" s="19">
        <f t="shared" si="2"/>
        <v>58.210828760096355</v>
      </c>
      <c r="J16" s="19">
        <f t="shared" si="2"/>
        <v>66.10158842729534</v>
      </c>
      <c r="K16" s="19">
        <f t="shared" si="2"/>
        <v>72.641112719517835</v>
      </c>
      <c r="L16" s="19">
        <f t="shared" si="2"/>
        <v>81.740961851798119</v>
      </c>
      <c r="M16" s="19">
        <f t="shared" si="2"/>
        <v>89.578191263416173</v>
      </c>
      <c r="N16" s="19">
        <f t="shared" si="2"/>
        <v>100.07064385304328</v>
      </c>
      <c r="O16" s="19">
        <f t="shared" si="2"/>
        <v>109.40209912320793</v>
      </c>
      <c r="P16" s="19">
        <f t="shared" si="2"/>
        <v>121.49759634384887</v>
      </c>
      <c r="Q16" s="19">
        <f t="shared" si="2"/>
        <v>418.83757858483199</v>
      </c>
      <c r="R16" s="19">
        <f t="shared" si="2"/>
        <v>717.13198103172988</v>
      </c>
      <c r="S16" s="19">
        <f t="shared" si="2"/>
        <v>731.12810664951201</v>
      </c>
      <c r="T16" s="19">
        <f t="shared" si="2"/>
        <v>746.22167743475006</v>
      </c>
      <c r="U16" s="19">
        <f t="shared" si="2"/>
        <v>762.4918688766503</v>
      </c>
      <c r="V16" s="19">
        <f t="shared" si="2"/>
        <v>780.02344583521369</v>
      </c>
      <c r="W16" s="19">
        <f t="shared" si="2"/>
        <v>798.90715473892044</v>
      </c>
      <c r="X16" s="19">
        <f t="shared" si="2"/>
        <v>819.24014325509199</v>
      </c>
      <c r="Y16" s="19">
        <f t="shared" si="2"/>
        <v>841.12640935638467</v>
      </c>
      <c r="Z16" s="19">
        <f t="shared" si="2"/>
        <v>864.67728184153691</v>
      </c>
      <c r="AA16" s="19">
        <f t="shared" si="2"/>
        <v>890.01193451255415</v>
      </c>
      <c r="AB16" s="19">
        <f t="shared" si="2"/>
        <v>917.25793636468529</v>
      </c>
      <c r="AC16" s="19">
        <f t="shared" si="2"/>
        <v>946.551840310491</v>
      </c>
      <c r="AD16" s="19">
        <f t="shared" si="2"/>
        <v>978.0398131358088</v>
      </c>
      <c r="AE16" s="19">
        <f t="shared" si="2"/>
        <v>1011.8783095742707</v>
      </c>
      <c r="AF16" s="19">
        <f t="shared" si="2"/>
        <v>185.09208931717509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155.23742793813599</v>
      </c>
      <c r="D18" s="19">
        <f t="shared" ref="D18:W18" si="3">C22</f>
        <v>561.65926326121871</v>
      </c>
      <c r="E18" s="19">
        <f t="shared" si="3"/>
        <v>872.02096028126471</v>
      </c>
      <c r="F18" s="19">
        <f t="shared" si="3"/>
        <v>1095.6145984179745</v>
      </c>
      <c r="G18" s="19">
        <f t="shared" si="3"/>
        <v>1239.7695337664961</v>
      </c>
      <c r="H18" s="19">
        <f t="shared" si="3"/>
        <v>1253.4483373919218</v>
      </c>
      <c r="I18" s="19">
        <f t="shared" si="3"/>
        <v>1200.6506889047841</v>
      </c>
      <c r="J18" s="19">
        <f t="shared" si="3"/>
        <v>1142.4398601446878</v>
      </c>
      <c r="K18" s="19">
        <f t="shared" si="3"/>
        <v>1032.1093210264903</v>
      </c>
      <c r="L18" s="19">
        <f t="shared" si="3"/>
        <v>774.38538934932103</v>
      </c>
      <c r="M18" s="19">
        <f t="shared" si="3"/>
        <v>692.64442749752288</v>
      </c>
      <c r="N18" s="19">
        <f t="shared" si="3"/>
        <v>603.06623623410667</v>
      </c>
      <c r="O18" s="19">
        <f t="shared" si="3"/>
        <v>502.99559238106337</v>
      </c>
      <c r="P18" s="19">
        <f>O22</f>
        <v>393.59349325785547</v>
      </c>
      <c r="Q18" s="19">
        <f t="shared" si="3"/>
        <v>272.09589691400663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7">
        <f>IF(B16&lt;0,-B16,0)</f>
        <v>155.23742793813599</v>
      </c>
      <c r="C19" s="137">
        <f t="shared" ref="C19:W19" si="5">IF(C16&lt;0,-C16,0)</f>
        <v>406.42183532308269</v>
      </c>
      <c r="D19" s="137">
        <f t="shared" si="5"/>
        <v>310.36169702004605</v>
      </c>
      <c r="E19" s="137">
        <f t="shared" si="5"/>
        <v>223.59363813670984</v>
      </c>
      <c r="F19" s="137">
        <f t="shared" si="5"/>
        <v>144.15493534852166</v>
      </c>
      <c r="G19" s="137">
        <f t="shared" si="5"/>
        <v>13.678803625425536</v>
      </c>
      <c r="H19" s="137">
        <f t="shared" si="5"/>
        <v>0</v>
      </c>
      <c r="I19" s="137">
        <f t="shared" si="5"/>
        <v>0</v>
      </c>
      <c r="J19" s="137">
        <f t="shared" si="5"/>
        <v>0</v>
      </c>
      <c r="K19" s="137">
        <f t="shared" si="5"/>
        <v>0</v>
      </c>
      <c r="L19" s="137">
        <f t="shared" si="5"/>
        <v>0</v>
      </c>
      <c r="M19" s="137">
        <f t="shared" si="5"/>
        <v>0</v>
      </c>
      <c r="N19" s="137">
        <f t="shared" si="5"/>
        <v>0</v>
      </c>
      <c r="O19" s="137">
        <f t="shared" si="5"/>
        <v>0</v>
      </c>
      <c r="P19" s="137">
        <f t="shared" si="5"/>
        <v>0</v>
      </c>
      <c r="Q19" s="137">
        <f t="shared" si="5"/>
        <v>0</v>
      </c>
      <c r="R19" s="137">
        <f t="shared" si="5"/>
        <v>0</v>
      </c>
      <c r="S19" s="137">
        <f t="shared" si="5"/>
        <v>0</v>
      </c>
      <c r="T19" s="137">
        <f t="shared" si="5"/>
        <v>0</v>
      </c>
      <c r="U19" s="137">
        <f t="shared" si="5"/>
        <v>0</v>
      </c>
      <c r="V19" s="137">
        <f t="shared" si="5"/>
        <v>0</v>
      </c>
      <c r="W19" s="137">
        <f t="shared" si="5"/>
        <v>0</v>
      </c>
      <c r="X19" s="137">
        <f t="shared" ref="X19:AF19" si="6">IF(X16&lt;0,-X16,0)</f>
        <v>0</v>
      </c>
      <c r="Y19" s="137">
        <f t="shared" si="6"/>
        <v>0</v>
      </c>
      <c r="Z19" s="137">
        <f t="shared" si="6"/>
        <v>0</v>
      </c>
      <c r="AA19" s="137">
        <f t="shared" si="6"/>
        <v>0</v>
      </c>
      <c r="AB19" s="137">
        <f t="shared" si="6"/>
        <v>0</v>
      </c>
      <c r="AC19" s="137">
        <f t="shared" si="6"/>
        <v>0</v>
      </c>
      <c r="AD19" s="137">
        <f t="shared" si="6"/>
        <v>0</v>
      </c>
      <c r="AE19" s="137">
        <f t="shared" si="6"/>
        <v>0</v>
      </c>
      <c r="AF19" s="137">
        <f t="shared" si="6"/>
        <v>0</v>
      </c>
    </row>
    <row r="20" spans="1:32">
      <c r="A20" s="13" t="s">
        <v>275</v>
      </c>
      <c r="B20" s="449">
        <v>0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1">
        <v>0</v>
      </c>
      <c r="J20" s="452">
        <f>IF(-SUM(B21:I21, B20:I20)&gt;B19,0,-B19-SUM(B21:I21,B20:I20))</f>
        <v>-44.228950690902039</v>
      </c>
      <c r="K20" s="452">
        <f t="shared" ref="K20:AF20" si="7">IF(-SUM(C21:J21, C20:J20)&gt;C19,0,-C19-SUM(C21:J21,C20:J20))</f>
        <v>-185.08281895765134</v>
      </c>
      <c r="L20" s="452">
        <f t="shared" si="7"/>
        <v>0</v>
      </c>
      <c r="M20" s="452">
        <f t="shared" si="7"/>
        <v>0</v>
      </c>
      <c r="N20" s="452">
        <f t="shared" si="7"/>
        <v>0</v>
      </c>
      <c r="O20" s="452">
        <f t="shared" si="7"/>
        <v>0</v>
      </c>
      <c r="P20" s="452">
        <f t="shared" si="7"/>
        <v>0</v>
      </c>
      <c r="Q20" s="452">
        <f t="shared" si="7"/>
        <v>0</v>
      </c>
      <c r="R20" s="452">
        <f t="shared" si="7"/>
        <v>0</v>
      </c>
      <c r="S20" s="452">
        <f t="shared" si="7"/>
        <v>0</v>
      </c>
      <c r="T20" s="452">
        <f t="shared" si="7"/>
        <v>0</v>
      </c>
      <c r="U20" s="452">
        <f t="shared" si="7"/>
        <v>0</v>
      </c>
      <c r="V20" s="452">
        <f t="shared" si="7"/>
        <v>0</v>
      </c>
      <c r="W20" s="452">
        <f t="shared" si="7"/>
        <v>0</v>
      </c>
      <c r="X20" s="452">
        <f t="shared" si="7"/>
        <v>0</v>
      </c>
      <c r="Y20" s="452">
        <f t="shared" si="7"/>
        <v>0</v>
      </c>
      <c r="Z20" s="452">
        <f t="shared" si="7"/>
        <v>0</v>
      </c>
      <c r="AA20" s="452">
        <f t="shared" si="7"/>
        <v>0</v>
      </c>
      <c r="AB20" s="452">
        <f t="shared" si="7"/>
        <v>0</v>
      </c>
      <c r="AC20" s="452">
        <f t="shared" si="7"/>
        <v>0</v>
      </c>
      <c r="AD20" s="452">
        <f t="shared" si="7"/>
        <v>0</v>
      </c>
      <c r="AE20" s="452">
        <f t="shared" si="7"/>
        <v>0</v>
      </c>
      <c r="AF20" s="452">
        <f t="shared" si="7"/>
        <v>0</v>
      </c>
    </row>
    <row r="21" spans="1:32">
      <c r="A21" s="13" t="s">
        <v>274</v>
      </c>
      <c r="B21" s="130">
        <f>IF(B16&lt;0,0,IF(B18&gt;B16,-B16,-B18))</f>
        <v>0</v>
      </c>
      <c r="C21" s="130">
        <f t="shared" ref="C21:V21" si="8">IF(C16&lt;0,0,IF(C18&gt;C16,-C16,-C18))</f>
        <v>0</v>
      </c>
      <c r="D21" s="130">
        <f t="shared" si="8"/>
        <v>0</v>
      </c>
      <c r="E21" s="130">
        <f t="shared" si="8"/>
        <v>0</v>
      </c>
      <c r="F21" s="130">
        <f t="shared" si="8"/>
        <v>0</v>
      </c>
      <c r="G21" s="130">
        <f t="shared" si="8"/>
        <v>0</v>
      </c>
      <c r="H21" s="130">
        <f t="shared" si="8"/>
        <v>-52.7976484871376</v>
      </c>
      <c r="I21" s="130">
        <f t="shared" si="8"/>
        <v>-58.210828760096355</v>
      </c>
      <c r="J21" s="130">
        <f t="shared" si="8"/>
        <v>-66.10158842729534</v>
      </c>
      <c r="K21" s="130">
        <f t="shared" si="8"/>
        <v>-72.641112719517835</v>
      </c>
      <c r="L21" s="130">
        <f t="shared" si="8"/>
        <v>-81.740961851798119</v>
      </c>
      <c r="M21" s="130">
        <f t="shared" si="8"/>
        <v>-89.578191263416173</v>
      </c>
      <c r="N21" s="130">
        <f t="shared" si="8"/>
        <v>-100.07064385304328</v>
      </c>
      <c r="O21" s="130">
        <f t="shared" si="8"/>
        <v>-109.40209912320793</v>
      </c>
      <c r="P21" s="130">
        <f t="shared" si="8"/>
        <v>-121.49759634384887</v>
      </c>
      <c r="Q21" s="130">
        <f t="shared" si="8"/>
        <v>-272.09589691400663</v>
      </c>
      <c r="R21" s="130">
        <f t="shared" si="8"/>
        <v>0</v>
      </c>
      <c r="S21" s="130">
        <f t="shared" si="8"/>
        <v>0</v>
      </c>
      <c r="T21" s="130">
        <f t="shared" si="8"/>
        <v>0</v>
      </c>
      <c r="U21" s="130">
        <f t="shared" si="8"/>
        <v>0</v>
      </c>
      <c r="V21" s="130">
        <f t="shared" si="8"/>
        <v>0</v>
      </c>
      <c r="W21" s="130">
        <f>IF(W16&lt;0,0,IF(W18&gt;W16,-W16,-W18))</f>
        <v>0</v>
      </c>
      <c r="X21" s="130">
        <f t="shared" ref="X21:AF21" si="9">IF(X16&lt;0,0,IF(X18&gt;X16,-X16,-X18))</f>
        <v>0</v>
      </c>
      <c r="Y21" s="130">
        <f t="shared" si="9"/>
        <v>0</v>
      </c>
      <c r="Z21" s="130">
        <f t="shared" si="9"/>
        <v>0</v>
      </c>
      <c r="AA21" s="130">
        <f t="shared" si="9"/>
        <v>0</v>
      </c>
      <c r="AB21" s="130">
        <f t="shared" si="9"/>
        <v>0</v>
      </c>
      <c r="AC21" s="130">
        <f t="shared" si="9"/>
        <v>0</v>
      </c>
      <c r="AD21" s="130">
        <f t="shared" si="9"/>
        <v>0</v>
      </c>
      <c r="AE21" s="130">
        <f t="shared" si="9"/>
        <v>0</v>
      </c>
      <c r="AF21" s="130">
        <f t="shared" si="9"/>
        <v>0</v>
      </c>
    </row>
    <row r="22" spans="1:32">
      <c r="A22" s="13" t="s">
        <v>74</v>
      </c>
      <c r="B22" s="130">
        <f t="shared" ref="B22:AF22" si="10">SUM(B18:B21)</f>
        <v>155.23742793813599</v>
      </c>
      <c r="C22" s="130">
        <f t="shared" si="10"/>
        <v>561.65926326121871</v>
      </c>
      <c r="D22" s="130">
        <f t="shared" si="10"/>
        <v>872.02096028126471</v>
      </c>
      <c r="E22" s="130">
        <f t="shared" si="10"/>
        <v>1095.6145984179745</v>
      </c>
      <c r="F22" s="130">
        <f t="shared" si="10"/>
        <v>1239.7695337664961</v>
      </c>
      <c r="G22" s="130">
        <f t="shared" si="10"/>
        <v>1253.4483373919218</v>
      </c>
      <c r="H22" s="130">
        <f t="shared" si="10"/>
        <v>1200.6506889047841</v>
      </c>
      <c r="I22" s="130">
        <f t="shared" si="10"/>
        <v>1142.4398601446878</v>
      </c>
      <c r="J22" s="130">
        <f t="shared" si="10"/>
        <v>1032.1093210264903</v>
      </c>
      <c r="K22" s="130">
        <f t="shared" si="10"/>
        <v>774.38538934932103</v>
      </c>
      <c r="L22" s="130">
        <f t="shared" si="10"/>
        <v>692.64442749752288</v>
      </c>
      <c r="M22" s="130">
        <f t="shared" si="10"/>
        <v>603.06623623410667</v>
      </c>
      <c r="N22" s="130">
        <f t="shared" si="10"/>
        <v>502.99559238106337</v>
      </c>
      <c r="O22" s="130">
        <f t="shared" si="10"/>
        <v>393.59349325785547</v>
      </c>
      <c r="P22" s="130">
        <f t="shared" si="10"/>
        <v>272.09589691400663</v>
      </c>
      <c r="Q22" s="130">
        <f t="shared" si="10"/>
        <v>0</v>
      </c>
      <c r="R22" s="130">
        <f t="shared" si="10"/>
        <v>0</v>
      </c>
      <c r="S22" s="130">
        <f t="shared" si="10"/>
        <v>0</v>
      </c>
      <c r="T22" s="130">
        <f t="shared" si="10"/>
        <v>0</v>
      </c>
      <c r="U22" s="130">
        <f t="shared" si="10"/>
        <v>0</v>
      </c>
      <c r="V22" s="130">
        <f t="shared" si="10"/>
        <v>0</v>
      </c>
      <c r="W22" s="130">
        <f t="shared" si="10"/>
        <v>0</v>
      </c>
      <c r="X22" s="130">
        <f t="shared" si="10"/>
        <v>0</v>
      </c>
      <c r="Y22" s="130">
        <f t="shared" si="10"/>
        <v>0</v>
      </c>
      <c r="Z22" s="130">
        <f t="shared" si="10"/>
        <v>0</v>
      </c>
      <c r="AA22" s="130">
        <f t="shared" si="10"/>
        <v>0</v>
      </c>
      <c r="AB22" s="130">
        <f t="shared" si="10"/>
        <v>0</v>
      </c>
      <c r="AC22" s="130">
        <f t="shared" si="10"/>
        <v>0</v>
      </c>
      <c r="AD22" s="130">
        <f t="shared" si="10"/>
        <v>0</v>
      </c>
      <c r="AE22" s="130">
        <f t="shared" si="10"/>
        <v>0</v>
      </c>
      <c r="AF22" s="130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200</v>
      </c>
      <c r="B24" s="134">
        <f>IF(B13&lt;0,0,B21+B16)</f>
        <v>0</v>
      </c>
      <c r="C24" s="134">
        <f t="shared" ref="C24:AF24" si="11">IF(C13&lt;0,0,C21+C16)</f>
        <v>0</v>
      </c>
      <c r="D24" s="134">
        <f t="shared" si="11"/>
        <v>0</v>
      </c>
      <c r="E24" s="134">
        <f t="shared" si="11"/>
        <v>0</v>
      </c>
      <c r="F24" s="134">
        <f t="shared" si="11"/>
        <v>0</v>
      </c>
      <c r="G24" s="134">
        <f t="shared" si="11"/>
        <v>0</v>
      </c>
      <c r="H24" s="134">
        <f t="shared" si="11"/>
        <v>0</v>
      </c>
      <c r="I24" s="134">
        <f t="shared" si="11"/>
        <v>0</v>
      </c>
      <c r="J24" s="134">
        <f t="shared" si="11"/>
        <v>0</v>
      </c>
      <c r="K24" s="134">
        <f t="shared" si="11"/>
        <v>0</v>
      </c>
      <c r="L24" s="134">
        <f t="shared" si="11"/>
        <v>0</v>
      </c>
      <c r="M24" s="134">
        <f t="shared" si="11"/>
        <v>0</v>
      </c>
      <c r="N24" s="134">
        <f t="shared" si="11"/>
        <v>0</v>
      </c>
      <c r="O24" s="134">
        <f t="shared" si="11"/>
        <v>0</v>
      </c>
      <c r="P24" s="134">
        <f t="shared" si="11"/>
        <v>0</v>
      </c>
      <c r="Q24" s="134">
        <f t="shared" si="11"/>
        <v>146.74168167082536</v>
      </c>
      <c r="R24" s="134">
        <f t="shared" si="11"/>
        <v>717.13198103172988</v>
      </c>
      <c r="S24" s="134">
        <f t="shared" si="11"/>
        <v>731.12810664951201</v>
      </c>
      <c r="T24" s="134">
        <f t="shared" si="11"/>
        <v>746.22167743475006</v>
      </c>
      <c r="U24" s="134">
        <f t="shared" si="11"/>
        <v>762.4918688766503</v>
      </c>
      <c r="V24" s="134">
        <f t="shared" si="11"/>
        <v>780.02344583521369</v>
      </c>
      <c r="W24" s="134">
        <f t="shared" si="11"/>
        <v>798.90715473892044</v>
      </c>
      <c r="X24" s="134">
        <f t="shared" si="11"/>
        <v>819.24014325509199</v>
      </c>
      <c r="Y24" s="134">
        <f t="shared" si="11"/>
        <v>841.12640935638467</v>
      </c>
      <c r="Z24" s="134">
        <f t="shared" si="11"/>
        <v>864.67728184153691</v>
      </c>
      <c r="AA24" s="134">
        <f t="shared" si="11"/>
        <v>890.01193451255415</v>
      </c>
      <c r="AB24" s="134">
        <f t="shared" si="11"/>
        <v>917.25793636468529</v>
      </c>
      <c r="AC24" s="134">
        <f t="shared" si="11"/>
        <v>946.551840310491</v>
      </c>
      <c r="AD24" s="134">
        <f t="shared" si="11"/>
        <v>978.0398131358088</v>
      </c>
      <c r="AE24" s="134">
        <f t="shared" si="11"/>
        <v>1011.8783095742707</v>
      </c>
      <c r="AF24" s="134">
        <f t="shared" si="11"/>
        <v>185.09208931717509</v>
      </c>
    </row>
    <row r="25" spans="1:32">
      <c r="A25" s="43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6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-2217.6775419733713</v>
      </c>
      <c r="C28" s="19">
        <f t="shared" ref="C28:AF28" si="12">C13</f>
        <v>-5806.026218901181</v>
      </c>
      <c r="D28" s="19">
        <f t="shared" si="12"/>
        <v>-4433.7385288578007</v>
      </c>
      <c r="E28" s="19">
        <f t="shared" si="12"/>
        <v>-3194.1948305244259</v>
      </c>
      <c r="F28" s="19">
        <f t="shared" si="12"/>
        <v>-2059.356219264595</v>
      </c>
      <c r="G28" s="19">
        <f t="shared" si="12"/>
        <v>-195.41148036322193</v>
      </c>
      <c r="H28" s="19">
        <f t="shared" si="12"/>
        <v>754.25212124482277</v>
      </c>
      <c r="I28" s="19">
        <f t="shared" si="12"/>
        <v>831.58326800137638</v>
      </c>
      <c r="J28" s="19">
        <f t="shared" si="12"/>
        <v>944.3084061042191</v>
      </c>
      <c r="K28" s="19">
        <f t="shared" si="12"/>
        <v>1037.7301817073976</v>
      </c>
      <c r="L28" s="19">
        <f t="shared" si="12"/>
        <v>1167.7280264542587</v>
      </c>
      <c r="M28" s="19">
        <f t="shared" si="12"/>
        <v>1279.6884466202309</v>
      </c>
      <c r="N28" s="19">
        <f t="shared" si="12"/>
        <v>1429.5806264720468</v>
      </c>
      <c r="O28" s="19">
        <f t="shared" si="12"/>
        <v>1562.8871303315418</v>
      </c>
      <c r="P28" s="19">
        <f t="shared" si="12"/>
        <v>1735.6799477692693</v>
      </c>
      <c r="Q28" s="19">
        <f t="shared" si="12"/>
        <v>5983.3939797833136</v>
      </c>
      <c r="R28" s="19">
        <f t="shared" si="12"/>
        <v>10244.742586167569</v>
      </c>
      <c r="S28" s="19">
        <f t="shared" si="12"/>
        <v>10444.68723785017</v>
      </c>
      <c r="T28" s="19">
        <f t="shared" si="12"/>
        <v>10660.309677639285</v>
      </c>
      <c r="U28" s="19">
        <f t="shared" si="12"/>
        <v>10892.740983952146</v>
      </c>
      <c r="V28" s="19">
        <f t="shared" si="12"/>
        <v>11143.192083360194</v>
      </c>
      <c r="W28" s="19">
        <f t="shared" si="12"/>
        <v>11412.959353413147</v>
      </c>
      <c r="X28" s="19">
        <f t="shared" si="12"/>
        <v>11703.430617929884</v>
      </c>
      <c r="Y28" s="19">
        <f t="shared" si="12"/>
        <v>12016.091562234065</v>
      </c>
      <c r="Z28" s="19">
        <f t="shared" si="12"/>
        <v>12352.532597736241</v>
      </c>
      <c r="AA28" s="19">
        <f t="shared" si="12"/>
        <v>12714.4562073222</v>
      </c>
      <c r="AB28" s="19">
        <f t="shared" si="12"/>
        <v>13103.684805209788</v>
      </c>
      <c r="AC28" s="19">
        <f t="shared" si="12"/>
        <v>13522.169147292727</v>
      </c>
      <c r="AD28" s="19">
        <f t="shared" si="12"/>
        <v>13971.997330511553</v>
      </c>
      <c r="AE28" s="19">
        <f t="shared" si="12"/>
        <v>14455.404422489581</v>
      </c>
      <c r="AF28" s="19">
        <f t="shared" si="12"/>
        <v>2644.1727045310727</v>
      </c>
    </row>
    <row r="29" spans="1:32" ht="15">
      <c r="A29" s="21" t="s">
        <v>76</v>
      </c>
      <c r="B29" s="132">
        <f>-B24</f>
        <v>0</v>
      </c>
      <c r="C29" s="132">
        <f t="shared" ref="C29:AF29" si="13">-C24</f>
        <v>0</v>
      </c>
      <c r="D29" s="132">
        <f t="shared" si="13"/>
        <v>0</v>
      </c>
      <c r="E29" s="132">
        <f t="shared" si="13"/>
        <v>0</v>
      </c>
      <c r="F29" s="132">
        <f t="shared" si="13"/>
        <v>0</v>
      </c>
      <c r="G29" s="132">
        <f t="shared" si="13"/>
        <v>0</v>
      </c>
      <c r="H29" s="132">
        <f t="shared" si="13"/>
        <v>0</v>
      </c>
      <c r="I29" s="132">
        <f t="shared" si="13"/>
        <v>0</v>
      </c>
      <c r="J29" s="132">
        <f t="shared" si="13"/>
        <v>0</v>
      </c>
      <c r="K29" s="132">
        <f t="shared" si="13"/>
        <v>0</v>
      </c>
      <c r="L29" s="132">
        <f t="shared" si="13"/>
        <v>0</v>
      </c>
      <c r="M29" s="132">
        <f t="shared" si="13"/>
        <v>0</v>
      </c>
      <c r="N29" s="132">
        <f t="shared" si="13"/>
        <v>0</v>
      </c>
      <c r="O29" s="132">
        <f t="shared" si="13"/>
        <v>0</v>
      </c>
      <c r="P29" s="132">
        <f t="shared" si="13"/>
        <v>0</v>
      </c>
      <c r="Q29" s="132">
        <f t="shared" si="13"/>
        <v>-146.74168167082536</v>
      </c>
      <c r="R29" s="132">
        <f t="shared" si="13"/>
        <v>-717.13198103172988</v>
      </c>
      <c r="S29" s="132">
        <f t="shared" si="13"/>
        <v>-731.12810664951201</v>
      </c>
      <c r="T29" s="132">
        <f t="shared" si="13"/>
        <v>-746.22167743475006</v>
      </c>
      <c r="U29" s="132">
        <f t="shared" si="13"/>
        <v>-762.4918688766503</v>
      </c>
      <c r="V29" s="132">
        <f t="shared" si="13"/>
        <v>-780.02344583521369</v>
      </c>
      <c r="W29" s="132">
        <f t="shared" si="13"/>
        <v>-798.90715473892044</v>
      </c>
      <c r="X29" s="132">
        <f t="shared" si="13"/>
        <v>-819.24014325509199</v>
      </c>
      <c r="Y29" s="132">
        <f t="shared" si="13"/>
        <v>-841.12640935638467</v>
      </c>
      <c r="Z29" s="132">
        <f t="shared" si="13"/>
        <v>-864.67728184153691</v>
      </c>
      <c r="AA29" s="132">
        <f t="shared" si="13"/>
        <v>-890.01193451255415</v>
      </c>
      <c r="AB29" s="132">
        <f t="shared" si="13"/>
        <v>-917.25793636468529</v>
      </c>
      <c r="AC29" s="132">
        <f t="shared" si="13"/>
        <v>-946.551840310491</v>
      </c>
      <c r="AD29" s="132">
        <f t="shared" si="13"/>
        <v>-978.0398131358088</v>
      </c>
      <c r="AE29" s="132">
        <f t="shared" si="13"/>
        <v>-1011.8783095742707</v>
      </c>
      <c r="AF29" s="132">
        <f t="shared" si="13"/>
        <v>-185.09208931717509</v>
      </c>
    </row>
    <row r="30" spans="1:32">
      <c r="A30" s="127" t="s">
        <v>199</v>
      </c>
      <c r="B30" s="44">
        <f t="shared" ref="B30:AF30" si="14">SUM(B28:B29)</f>
        <v>-2217.6775419733713</v>
      </c>
      <c r="C30" s="44">
        <f t="shared" si="14"/>
        <v>-5806.026218901181</v>
      </c>
      <c r="D30" s="44">
        <f t="shared" si="14"/>
        <v>-4433.7385288578007</v>
      </c>
      <c r="E30" s="44">
        <f t="shared" si="14"/>
        <v>-3194.1948305244259</v>
      </c>
      <c r="F30" s="44">
        <f t="shared" si="14"/>
        <v>-2059.356219264595</v>
      </c>
      <c r="G30" s="44">
        <f t="shared" si="14"/>
        <v>-195.41148036322193</v>
      </c>
      <c r="H30" s="44">
        <f t="shared" si="14"/>
        <v>754.25212124482277</v>
      </c>
      <c r="I30" s="44">
        <f t="shared" si="14"/>
        <v>831.58326800137638</v>
      </c>
      <c r="J30" s="44">
        <f t="shared" si="14"/>
        <v>944.3084061042191</v>
      </c>
      <c r="K30" s="44">
        <f t="shared" si="14"/>
        <v>1037.7301817073976</v>
      </c>
      <c r="L30" s="44">
        <f t="shared" si="14"/>
        <v>1167.7280264542587</v>
      </c>
      <c r="M30" s="44">
        <f t="shared" si="14"/>
        <v>1279.6884466202309</v>
      </c>
      <c r="N30" s="44">
        <f t="shared" si="14"/>
        <v>1429.5806264720468</v>
      </c>
      <c r="O30" s="44">
        <f t="shared" si="14"/>
        <v>1562.8871303315418</v>
      </c>
      <c r="P30" s="44">
        <f t="shared" si="14"/>
        <v>1735.6799477692693</v>
      </c>
      <c r="Q30" s="44">
        <f t="shared" si="14"/>
        <v>5836.6522981124881</v>
      </c>
      <c r="R30" s="44">
        <f t="shared" si="14"/>
        <v>9527.6106051358402</v>
      </c>
      <c r="S30" s="44">
        <f t="shared" si="14"/>
        <v>9713.5591312006582</v>
      </c>
      <c r="T30" s="44">
        <f t="shared" si="14"/>
        <v>9914.0880002045342</v>
      </c>
      <c r="U30" s="44">
        <f t="shared" si="14"/>
        <v>10130.249115075496</v>
      </c>
      <c r="V30" s="44">
        <f t="shared" si="14"/>
        <v>10363.168637524981</v>
      </c>
      <c r="W30" s="44">
        <f t="shared" si="14"/>
        <v>10614.052198674226</v>
      </c>
      <c r="X30" s="44">
        <f t="shared" si="14"/>
        <v>10884.190474674791</v>
      </c>
      <c r="Y30" s="44">
        <f t="shared" si="14"/>
        <v>11174.965152877681</v>
      </c>
      <c r="Z30" s="44">
        <f t="shared" si="14"/>
        <v>11487.855315894703</v>
      </c>
      <c r="AA30" s="44">
        <f t="shared" si="14"/>
        <v>11824.444272809646</v>
      </c>
      <c r="AB30" s="44">
        <f t="shared" si="14"/>
        <v>12186.426868845103</v>
      </c>
      <c r="AC30" s="44">
        <f t="shared" si="14"/>
        <v>12575.617306982236</v>
      </c>
      <c r="AD30" s="44">
        <f t="shared" si="14"/>
        <v>12993.957517375744</v>
      </c>
      <c r="AE30" s="44">
        <f t="shared" si="14"/>
        <v>13443.52611291531</v>
      </c>
      <c r="AF30" s="44">
        <f t="shared" si="14"/>
        <v>2459.0806152138975</v>
      </c>
    </row>
    <row r="31" spans="1:32">
      <c r="A31" s="127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3">
        <f>Assumptions!$N$50</f>
        <v>0.35</v>
      </c>
      <c r="C32" s="133">
        <f>Assumptions!$N$50</f>
        <v>0.35</v>
      </c>
      <c r="D32" s="133">
        <f>Assumptions!$N$50</f>
        <v>0.35</v>
      </c>
      <c r="E32" s="133">
        <f>Assumptions!$N$50</f>
        <v>0.35</v>
      </c>
      <c r="F32" s="133">
        <f>Assumptions!$N$50</f>
        <v>0.35</v>
      </c>
      <c r="G32" s="133">
        <f>Assumptions!$N$50</f>
        <v>0.35</v>
      </c>
      <c r="H32" s="133">
        <f>Assumptions!$N$50</f>
        <v>0.35</v>
      </c>
      <c r="I32" s="133">
        <f>Assumptions!$N$50</f>
        <v>0.35</v>
      </c>
      <c r="J32" s="133">
        <f>Assumptions!$N$50</f>
        <v>0.35</v>
      </c>
      <c r="K32" s="133">
        <f>Assumptions!$N$50</f>
        <v>0.35</v>
      </c>
      <c r="L32" s="133">
        <f>Assumptions!$N$50</f>
        <v>0.35</v>
      </c>
      <c r="M32" s="133">
        <f>Assumptions!$N$50</f>
        <v>0.35</v>
      </c>
      <c r="N32" s="133">
        <f>Assumptions!$N$50</f>
        <v>0.35</v>
      </c>
      <c r="O32" s="133">
        <f>Assumptions!$N$50</f>
        <v>0.35</v>
      </c>
      <c r="P32" s="133">
        <f>Assumptions!$N$50</f>
        <v>0.35</v>
      </c>
      <c r="Q32" s="133">
        <f>Assumptions!$N$50</f>
        <v>0.35</v>
      </c>
      <c r="R32" s="133">
        <f>Assumptions!$N$50</f>
        <v>0.35</v>
      </c>
      <c r="S32" s="133">
        <f>Assumptions!$N$50</f>
        <v>0.35</v>
      </c>
      <c r="T32" s="133">
        <f>Assumptions!$N$50</f>
        <v>0.35</v>
      </c>
      <c r="U32" s="133">
        <f>Assumptions!$N$50</f>
        <v>0.35</v>
      </c>
      <c r="V32" s="133">
        <f>Assumptions!$N$50</f>
        <v>0.35</v>
      </c>
      <c r="W32" s="133">
        <f>Assumptions!$N$50</f>
        <v>0.35</v>
      </c>
      <c r="X32" s="133">
        <f>Assumptions!$N$50</f>
        <v>0.35</v>
      </c>
      <c r="Y32" s="133">
        <f>Assumptions!$N$50</f>
        <v>0.35</v>
      </c>
      <c r="Z32" s="133">
        <f>Assumptions!$N$50</f>
        <v>0.35</v>
      </c>
      <c r="AA32" s="133">
        <f>Assumptions!$N$50</f>
        <v>0.35</v>
      </c>
      <c r="AB32" s="133">
        <f>Assumptions!$N$50</f>
        <v>0.35</v>
      </c>
      <c r="AC32" s="133">
        <f>Assumptions!$N$50</f>
        <v>0.35</v>
      </c>
      <c r="AD32" s="133">
        <f>Assumptions!$N$50</f>
        <v>0.35</v>
      </c>
      <c r="AE32" s="133">
        <f>Assumptions!$N$50</f>
        <v>0.35</v>
      </c>
      <c r="AF32" s="133">
        <f>Assumptions!$N$50</f>
        <v>0.35</v>
      </c>
    </row>
    <row r="33" spans="1:32">
      <c r="A33" s="21" t="s">
        <v>78</v>
      </c>
      <c r="B33" s="19">
        <f>B30*B32</f>
        <v>-776.18713969067994</v>
      </c>
      <c r="C33" s="19">
        <f t="shared" ref="C33:W33" si="15">C30*C32</f>
        <v>-2032.1091766154132</v>
      </c>
      <c r="D33" s="19">
        <f t="shared" si="15"/>
        <v>-1551.8084851002302</v>
      </c>
      <c r="E33" s="19">
        <f t="shared" si="15"/>
        <v>-1117.968190683549</v>
      </c>
      <c r="F33" s="19">
        <f t="shared" si="15"/>
        <v>-720.77467674260822</v>
      </c>
      <c r="G33" s="19">
        <f t="shared" si="15"/>
        <v>-68.394018127127666</v>
      </c>
      <c r="H33" s="19">
        <f t="shared" si="15"/>
        <v>263.98824243568794</v>
      </c>
      <c r="I33" s="19">
        <f t="shared" si="15"/>
        <v>291.05414380048171</v>
      </c>
      <c r="J33" s="19">
        <f t="shared" si="15"/>
        <v>330.50794213647669</v>
      </c>
      <c r="K33" s="19">
        <f t="shared" si="15"/>
        <v>363.20556359758916</v>
      </c>
      <c r="L33" s="19">
        <f t="shared" si="15"/>
        <v>408.70480925899051</v>
      </c>
      <c r="M33" s="19">
        <f t="shared" si="15"/>
        <v>447.89095631708079</v>
      </c>
      <c r="N33" s="19">
        <f t="shared" si="15"/>
        <v>500.35321926521635</v>
      </c>
      <c r="O33" s="19">
        <f t="shared" si="15"/>
        <v>547.01049561603963</v>
      </c>
      <c r="P33" s="19">
        <f t="shared" si="15"/>
        <v>607.4879817192442</v>
      </c>
      <c r="Q33" s="19">
        <f t="shared" si="15"/>
        <v>2042.8283043393708</v>
      </c>
      <c r="R33" s="19">
        <f t="shared" si="15"/>
        <v>3334.6637117975438</v>
      </c>
      <c r="S33" s="19">
        <f t="shared" si="15"/>
        <v>3399.74569592023</v>
      </c>
      <c r="T33" s="19">
        <f t="shared" si="15"/>
        <v>3469.9308000715869</v>
      </c>
      <c r="U33" s="19">
        <f t="shared" si="15"/>
        <v>3545.5871902764234</v>
      </c>
      <c r="V33" s="19">
        <f t="shared" si="15"/>
        <v>3627.109023133743</v>
      </c>
      <c r="W33" s="19">
        <f t="shared" si="15"/>
        <v>3714.9182695359787</v>
      </c>
      <c r="X33" s="19">
        <f t="shared" ref="X33:AF33" si="16">X30*X32</f>
        <v>3809.4666661361766</v>
      </c>
      <c r="Y33" s="19">
        <f t="shared" si="16"/>
        <v>3911.2378035071883</v>
      </c>
      <c r="Z33" s="19">
        <f t="shared" si="16"/>
        <v>4020.7493605631457</v>
      </c>
      <c r="AA33" s="19">
        <f t="shared" si="16"/>
        <v>4138.555495483376</v>
      </c>
      <c r="AB33" s="19">
        <f t="shared" si="16"/>
        <v>4265.2494040957854</v>
      </c>
      <c r="AC33" s="19">
        <f t="shared" si="16"/>
        <v>4401.4660574437821</v>
      </c>
      <c r="AD33" s="19">
        <f t="shared" si="16"/>
        <v>4547.8851310815098</v>
      </c>
      <c r="AE33" s="19">
        <f t="shared" si="16"/>
        <v>4705.2341395203584</v>
      </c>
      <c r="AF33" s="19">
        <f t="shared" si="16"/>
        <v>860.67821532486414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776.18713969067994</v>
      </c>
      <c r="D35" s="19">
        <f t="shared" si="17"/>
        <v>2808.2963163060931</v>
      </c>
      <c r="E35" s="19">
        <f t="shared" si="17"/>
        <v>4360.1048014063235</v>
      </c>
      <c r="F35" s="19">
        <f t="shared" si="17"/>
        <v>5478.0729920898721</v>
      </c>
      <c r="G35" s="19">
        <f t="shared" si="17"/>
        <v>6198.8476688324799</v>
      </c>
      <c r="H35" s="19">
        <f t="shared" si="17"/>
        <v>6267.2416869596073</v>
      </c>
      <c r="I35" s="19">
        <f t="shared" si="17"/>
        <v>6003.2534445239189</v>
      </c>
      <c r="J35" s="19">
        <f t="shared" si="17"/>
        <v>5712.1993007234369</v>
      </c>
      <c r="K35" s="19">
        <f t="shared" si="17"/>
        <v>5381.6913585869606</v>
      </c>
      <c r="L35" s="19">
        <f t="shared" si="17"/>
        <v>5018.4857949893712</v>
      </c>
      <c r="M35" s="19">
        <f t="shared" si="17"/>
        <v>4609.780985730381</v>
      </c>
      <c r="N35" s="19">
        <f t="shared" si="17"/>
        <v>4161.8900294133</v>
      </c>
      <c r="O35" s="19">
        <f t="shared" si="17"/>
        <v>3661.5368101480835</v>
      </c>
      <c r="P35" s="19">
        <f t="shared" si="17"/>
        <v>3114.5263145320441</v>
      </c>
      <c r="Q35" s="19">
        <f t="shared" si="17"/>
        <v>2507.0383328128</v>
      </c>
      <c r="R35" s="19">
        <f t="shared" si="17"/>
        <v>464.21002847342925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7">
        <f>IF(B33&lt;0,-B33,0)</f>
        <v>776.18713969067994</v>
      </c>
      <c r="C36" s="137">
        <f t="shared" ref="C36:AF36" si="19">IF(C33&lt;0,-C33,0)</f>
        <v>2032.1091766154132</v>
      </c>
      <c r="D36" s="137">
        <f t="shared" si="19"/>
        <v>1551.8084851002302</v>
      </c>
      <c r="E36" s="137">
        <f t="shared" si="19"/>
        <v>1117.968190683549</v>
      </c>
      <c r="F36" s="137">
        <f t="shared" si="19"/>
        <v>720.77467674260822</v>
      </c>
      <c r="G36" s="137">
        <f t="shared" si="19"/>
        <v>68.394018127127666</v>
      </c>
      <c r="H36" s="137">
        <f t="shared" si="19"/>
        <v>0</v>
      </c>
      <c r="I36" s="137">
        <f t="shared" si="19"/>
        <v>0</v>
      </c>
      <c r="J36" s="137">
        <f t="shared" si="19"/>
        <v>0</v>
      </c>
      <c r="K36" s="137">
        <f t="shared" si="19"/>
        <v>0</v>
      </c>
      <c r="L36" s="137">
        <f t="shared" si="19"/>
        <v>0</v>
      </c>
      <c r="M36" s="137">
        <f t="shared" si="19"/>
        <v>0</v>
      </c>
      <c r="N36" s="137">
        <f t="shared" si="19"/>
        <v>0</v>
      </c>
      <c r="O36" s="137">
        <f t="shared" si="19"/>
        <v>0</v>
      </c>
      <c r="P36" s="137">
        <f t="shared" si="19"/>
        <v>0</v>
      </c>
      <c r="Q36" s="137">
        <f t="shared" si="19"/>
        <v>0</v>
      </c>
      <c r="R36" s="137">
        <f t="shared" si="19"/>
        <v>0</v>
      </c>
      <c r="S36" s="137">
        <f t="shared" si="19"/>
        <v>0</v>
      </c>
      <c r="T36" s="137">
        <f t="shared" si="19"/>
        <v>0</v>
      </c>
      <c r="U36" s="137">
        <f t="shared" si="19"/>
        <v>0</v>
      </c>
      <c r="V36" s="137">
        <f t="shared" si="19"/>
        <v>0</v>
      </c>
      <c r="W36" s="137">
        <f t="shared" si="19"/>
        <v>0</v>
      </c>
      <c r="X36" s="137">
        <f t="shared" si="19"/>
        <v>0</v>
      </c>
      <c r="Y36" s="137">
        <f t="shared" si="19"/>
        <v>0</v>
      </c>
      <c r="Z36" s="137">
        <f t="shared" si="19"/>
        <v>0</v>
      </c>
      <c r="AA36" s="137">
        <f t="shared" si="19"/>
        <v>0</v>
      </c>
      <c r="AB36" s="137">
        <f t="shared" si="19"/>
        <v>0</v>
      </c>
      <c r="AC36" s="137">
        <f t="shared" si="19"/>
        <v>0</v>
      </c>
      <c r="AD36" s="137">
        <f t="shared" si="19"/>
        <v>0</v>
      </c>
      <c r="AE36" s="137">
        <f t="shared" si="19"/>
        <v>0</v>
      </c>
      <c r="AF36" s="137">
        <f t="shared" si="19"/>
        <v>0</v>
      </c>
    </row>
    <row r="37" spans="1:32">
      <c r="A37" s="13" t="s">
        <v>275</v>
      </c>
      <c r="B37" s="449">
        <v>0</v>
      </c>
      <c r="C37" s="450">
        <v>0</v>
      </c>
      <c r="D37" s="450">
        <v>0</v>
      </c>
      <c r="E37" s="450">
        <v>0</v>
      </c>
      <c r="F37" s="450">
        <v>0</v>
      </c>
      <c r="G37" s="450">
        <v>0</v>
      </c>
      <c r="H37" s="450">
        <v>0</v>
      </c>
      <c r="I37" s="450">
        <v>0</v>
      </c>
      <c r="J37" s="450">
        <v>0</v>
      </c>
      <c r="K37" s="450">
        <v>0</v>
      </c>
      <c r="L37" s="450">
        <v>0</v>
      </c>
      <c r="M37" s="450">
        <v>0</v>
      </c>
      <c r="N37" s="450">
        <v>0</v>
      </c>
      <c r="O37" s="450">
        <v>0</v>
      </c>
      <c r="P37" s="451">
        <v>0</v>
      </c>
      <c r="Q37" s="452">
        <f>IF(-SUM(B38:P38, B37:P37)&gt;B36,0,-B36-SUM(B38:P38,B37:P37))</f>
        <v>0</v>
      </c>
      <c r="R37" s="452">
        <f t="shared" ref="R37:AF37" si="20">IF(-SUM(C38:Q38, C37:Q37)&gt;C36,0,-C36-SUM(C38:Q38,C37:Q37))</f>
        <v>0</v>
      </c>
      <c r="S37" s="452">
        <f t="shared" si="20"/>
        <v>0</v>
      </c>
      <c r="T37" s="452">
        <f t="shared" si="20"/>
        <v>0</v>
      </c>
      <c r="U37" s="452">
        <f t="shared" si="20"/>
        <v>0</v>
      </c>
      <c r="V37" s="452">
        <f t="shared" si="20"/>
        <v>0</v>
      </c>
      <c r="W37" s="452">
        <f t="shared" si="20"/>
        <v>0</v>
      </c>
      <c r="X37" s="452">
        <f t="shared" si="20"/>
        <v>0</v>
      </c>
      <c r="Y37" s="452">
        <f t="shared" si="20"/>
        <v>0</v>
      </c>
      <c r="Z37" s="452">
        <f t="shared" si="20"/>
        <v>0</v>
      </c>
      <c r="AA37" s="452">
        <f t="shared" si="20"/>
        <v>0</v>
      </c>
      <c r="AB37" s="452">
        <f t="shared" si="20"/>
        <v>0</v>
      </c>
      <c r="AC37" s="452">
        <f t="shared" si="20"/>
        <v>0</v>
      </c>
      <c r="AD37" s="452">
        <f t="shared" si="20"/>
        <v>0</v>
      </c>
      <c r="AE37" s="452">
        <f t="shared" si="20"/>
        <v>0</v>
      </c>
      <c r="AF37" s="452">
        <f t="shared" si="20"/>
        <v>0</v>
      </c>
    </row>
    <row r="38" spans="1:32">
      <c r="A38" s="13" t="s">
        <v>276</v>
      </c>
      <c r="B38" s="130">
        <f>IF(B33&lt;0,0,IF(B35&gt;B33,-B33,-B35))</f>
        <v>0</v>
      </c>
      <c r="C38" s="130">
        <f t="shared" ref="C38:V38" si="21">IF(C33&lt;0,0,IF(C35&gt;C33,-C33,-C35))</f>
        <v>0</v>
      </c>
      <c r="D38" s="130">
        <f t="shared" si="21"/>
        <v>0</v>
      </c>
      <c r="E38" s="130">
        <f t="shared" si="21"/>
        <v>0</v>
      </c>
      <c r="F38" s="130">
        <f t="shared" si="21"/>
        <v>0</v>
      </c>
      <c r="G38" s="130">
        <f t="shared" si="21"/>
        <v>0</v>
      </c>
      <c r="H38" s="130">
        <f t="shared" si="21"/>
        <v>-263.98824243568794</v>
      </c>
      <c r="I38" s="130">
        <f t="shared" si="21"/>
        <v>-291.05414380048171</v>
      </c>
      <c r="J38" s="130">
        <f t="shared" si="21"/>
        <v>-330.50794213647669</v>
      </c>
      <c r="K38" s="130">
        <f t="shared" si="21"/>
        <v>-363.20556359758916</v>
      </c>
      <c r="L38" s="130">
        <f t="shared" si="21"/>
        <v>-408.70480925899051</v>
      </c>
      <c r="M38" s="130">
        <f t="shared" si="21"/>
        <v>-447.89095631708079</v>
      </c>
      <c r="N38" s="130">
        <f t="shared" si="21"/>
        <v>-500.35321926521635</v>
      </c>
      <c r="O38" s="130">
        <f t="shared" si="21"/>
        <v>-547.01049561603963</v>
      </c>
      <c r="P38" s="130">
        <f t="shared" si="21"/>
        <v>-607.4879817192442</v>
      </c>
      <c r="Q38" s="130">
        <f t="shared" si="21"/>
        <v>-2042.8283043393708</v>
      </c>
      <c r="R38" s="130">
        <f t="shared" si="21"/>
        <v>-464.21002847342925</v>
      </c>
      <c r="S38" s="130">
        <f t="shared" si="21"/>
        <v>0</v>
      </c>
      <c r="T38" s="130">
        <f t="shared" si="21"/>
        <v>0</v>
      </c>
      <c r="U38" s="130">
        <f t="shared" si="21"/>
        <v>0</v>
      </c>
      <c r="V38" s="130">
        <f t="shared" si="21"/>
        <v>0</v>
      </c>
      <c r="W38" s="130">
        <f>IF(W33&lt;0,0,IF(W35&gt;W33,-W33,-W35))</f>
        <v>0</v>
      </c>
      <c r="X38" s="130">
        <f t="shared" ref="X38:AF38" si="22">IF(X33&lt;0,0,IF(X35&gt;X33,-X33,-X35))</f>
        <v>0</v>
      </c>
      <c r="Y38" s="130">
        <f t="shared" si="22"/>
        <v>0</v>
      </c>
      <c r="Z38" s="130">
        <f t="shared" si="22"/>
        <v>0</v>
      </c>
      <c r="AA38" s="130">
        <f t="shared" si="22"/>
        <v>0</v>
      </c>
      <c r="AB38" s="130">
        <f t="shared" si="22"/>
        <v>0</v>
      </c>
      <c r="AC38" s="130">
        <f t="shared" si="22"/>
        <v>0</v>
      </c>
      <c r="AD38" s="130">
        <f t="shared" si="22"/>
        <v>0</v>
      </c>
      <c r="AE38" s="130">
        <f t="shared" si="22"/>
        <v>0</v>
      </c>
      <c r="AF38" s="130">
        <f t="shared" si="22"/>
        <v>0</v>
      </c>
    </row>
    <row r="39" spans="1:32">
      <c r="A39" s="13" t="s">
        <v>74</v>
      </c>
      <c r="B39" s="130">
        <f t="shared" ref="B39:AF39" si="23">SUM(B35:B38)</f>
        <v>776.18713969067994</v>
      </c>
      <c r="C39" s="130">
        <f t="shared" si="23"/>
        <v>2808.2963163060931</v>
      </c>
      <c r="D39" s="130">
        <f t="shared" si="23"/>
        <v>4360.1048014063235</v>
      </c>
      <c r="E39" s="130">
        <f t="shared" si="23"/>
        <v>5478.0729920898721</v>
      </c>
      <c r="F39" s="130">
        <f t="shared" si="23"/>
        <v>6198.8476688324799</v>
      </c>
      <c r="G39" s="130">
        <f t="shared" si="23"/>
        <v>6267.2416869596073</v>
      </c>
      <c r="H39" s="130">
        <f t="shared" si="23"/>
        <v>6003.2534445239189</v>
      </c>
      <c r="I39" s="130">
        <f t="shared" si="23"/>
        <v>5712.1993007234369</v>
      </c>
      <c r="J39" s="130">
        <f t="shared" si="23"/>
        <v>5381.6913585869606</v>
      </c>
      <c r="K39" s="130">
        <f t="shared" si="23"/>
        <v>5018.4857949893712</v>
      </c>
      <c r="L39" s="130">
        <f t="shared" si="23"/>
        <v>4609.780985730381</v>
      </c>
      <c r="M39" s="130">
        <f t="shared" si="23"/>
        <v>4161.8900294133</v>
      </c>
      <c r="N39" s="130">
        <f t="shared" si="23"/>
        <v>3661.5368101480835</v>
      </c>
      <c r="O39" s="130">
        <f t="shared" si="23"/>
        <v>3114.5263145320441</v>
      </c>
      <c r="P39" s="130">
        <f t="shared" si="23"/>
        <v>2507.0383328128</v>
      </c>
      <c r="Q39" s="130">
        <f t="shared" si="23"/>
        <v>464.21002847342925</v>
      </c>
      <c r="R39" s="130">
        <f t="shared" si="23"/>
        <v>0</v>
      </c>
      <c r="S39" s="130">
        <f t="shared" si="23"/>
        <v>0</v>
      </c>
      <c r="T39" s="130">
        <f t="shared" si="23"/>
        <v>0</v>
      </c>
      <c r="U39" s="130">
        <f t="shared" si="23"/>
        <v>0</v>
      </c>
      <c r="V39" s="130">
        <f t="shared" si="23"/>
        <v>0</v>
      </c>
      <c r="W39" s="130">
        <f t="shared" si="23"/>
        <v>0</v>
      </c>
      <c r="X39" s="130">
        <f t="shared" si="23"/>
        <v>0</v>
      </c>
      <c r="Y39" s="130">
        <f t="shared" si="23"/>
        <v>0</v>
      </c>
      <c r="Z39" s="130">
        <f t="shared" si="23"/>
        <v>0</v>
      </c>
      <c r="AA39" s="130">
        <f t="shared" si="23"/>
        <v>0</v>
      </c>
      <c r="AB39" s="130">
        <f t="shared" si="23"/>
        <v>0</v>
      </c>
      <c r="AC39" s="130">
        <f t="shared" si="23"/>
        <v>0</v>
      </c>
      <c r="AD39" s="130">
        <f t="shared" si="23"/>
        <v>0</v>
      </c>
      <c r="AE39" s="130">
        <f t="shared" si="23"/>
        <v>0</v>
      </c>
      <c r="AF39" s="130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200</v>
      </c>
      <c r="B41" s="134">
        <f>IF(B30&lt;0,0,B38+B33)</f>
        <v>0</v>
      </c>
      <c r="C41" s="134">
        <f t="shared" ref="C41:AF41" si="24">IF(C30&lt;0,0,C38+C33)</f>
        <v>0</v>
      </c>
      <c r="D41" s="134">
        <f t="shared" si="24"/>
        <v>0</v>
      </c>
      <c r="E41" s="134">
        <f t="shared" si="24"/>
        <v>0</v>
      </c>
      <c r="F41" s="134">
        <f t="shared" si="24"/>
        <v>0</v>
      </c>
      <c r="G41" s="134">
        <f t="shared" si="24"/>
        <v>0</v>
      </c>
      <c r="H41" s="134">
        <f t="shared" si="24"/>
        <v>0</v>
      </c>
      <c r="I41" s="134">
        <f t="shared" si="24"/>
        <v>0</v>
      </c>
      <c r="J41" s="134">
        <f t="shared" si="24"/>
        <v>0</v>
      </c>
      <c r="K41" s="134">
        <f t="shared" si="24"/>
        <v>0</v>
      </c>
      <c r="L41" s="134">
        <f t="shared" si="24"/>
        <v>0</v>
      </c>
      <c r="M41" s="134">
        <f t="shared" si="24"/>
        <v>0</v>
      </c>
      <c r="N41" s="134">
        <f t="shared" si="24"/>
        <v>0</v>
      </c>
      <c r="O41" s="134">
        <f t="shared" si="24"/>
        <v>0</v>
      </c>
      <c r="P41" s="134">
        <f t="shared" si="24"/>
        <v>0</v>
      </c>
      <c r="Q41" s="134">
        <f t="shared" si="24"/>
        <v>0</v>
      </c>
      <c r="R41" s="134">
        <f t="shared" si="24"/>
        <v>2870.4536833241145</v>
      </c>
      <c r="S41" s="134">
        <f t="shared" si="24"/>
        <v>3399.74569592023</v>
      </c>
      <c r="T41" s="134">
        <f t="shared" si="24"/>
        <v>3469.9308000715869</v>
      </c>
      <c r="U41" s="134">
        <f t="shared" si="24"/>
        <v>3545.5871902764234</v>
      </c>
      <c r="V41" s="134">
        <f t="shared" si="24"/>
        <v>3627.109023133743</v>
      </c>
      <c r="W41" s="134">
        <f t="shared" si="24"/>
        <v>3714.9182695359787</v>
      </c>
      <c r="X41" s="134">
        <f t="shared" si="24"/>
        <v>3809.4666661361766</v>
      </c>
      <c r="Y41" s="134">
        <f t="shared" si="24"/>
        <v>3911.2378035071883</v>
      </c>
      <c r="Z41" s="134">
        <f t="shared" si="24"/>
        <v>4020.7493605631457</v>
      </c>
      <c r="AA41" s="134">
        <f t="shared" si="24"/>
        <v>4138.555495483376</v>
      </c>
      <c r="AB41" s="134">
        <f t="shared" si="24"/>
        <v>4265.2494040957854</v>
      </c>
      <c r="AC41" s="134">
        <f t="shared" si="24"/>
        <v>4401.4660574437821</v>
      </c>
      <c r="AD41" s="134">
        <f t="shared" si="24"/>
        <v>4547.8851310815098</v>
      </c>
      <c r="AE41" s="134">
        <f t="shared" si="24"/>
        <v>4705.2341395203584</v>
      </c>
      <c r="AF41" s="134">
        <f t="shared" si="24"/>
        <v>860.67821532486414</v>
      </c>
    </row>
    <row r="42" spans="1:32">
      <c r="A42" s="43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89"/>
      <c r="Y42" s="89"/>
    </row>
    <row r="43" spans="1:32">
      <c r="A43" s="627" t="s">
        <v>148</v>
      </c>
      <c r="B43" s="57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1"/>
      <c r="Y43" s="631"/>
      <c r="Z43" s="632"/>
      <c r="AA43" s="632"/>
      <c r="AB43" s="632"/>
      <c r="AC43" s="632"/>
      <c r="AD43" s="632"/>
      <c r="AE43" s="632"/>
      <c r="AF43" s="633"/>
    </row>
    <row r="44" spans="1:32">
      <c r="A44" s="628"/>
      <c r="B44" s="13"/>
      <c r="C44" s="620"/>
      <c r="D44" s="620"/>
      <c r="E44" s="620"/>
      <c r="F44" s="620"/>
      <c r="G44" s="620"/>
      <c r="H44" s="620"/>
      <c r="I44" s="620"/>
      <c r="J44" s="620"/>
      <c r="K44" s="620"/>
      <c r="L44" s="620"/>
      <c r="M44" s="620"/>
      <c r="N44" s="620"/>
      <c r="O44" s="620"/>
      <c r="P44" s="620"/>
      <c r="Q44" s="620"/>
      <c r="R44" s="620"/>
      <c r="S44" s="620"/>
      <c r="T44" s="620"/>
      <c r="U44" s="620"/>
      <c r="V44" s="620"/>
      <c r="W44" s="620"/>
      <c r="X44" s="620"/>
      <c r="Y44" s="620"/>
      <c r="Z44" s="620"/>
      <c r="AA44" s="620"/>
      <c r="AB44" s="620"/>
      <c r="AC44" s="620"/>
      <c r="AD44" s="620"/>
      <c r="AE44" s="620"/>
      <c r="AF44" s="634"/>
    </row>
    <row r="45" spans="1:32">
      <c r="A45" s="628" t="s">
        <v>596</v>
      </c>
      <c r="B45" s="620">
        <f>B33+B24</f>
        <v>-776.18713969067994</v>
      </c>
      <c r="C45" s="620">
        <f t="shared" ref="C45:AF45" si="25">C33+C24</f>
        <v>-2032.1091766154132</v>
      </c>
      <c r="D45" s="620">
        <f t="shared" si="25"/>
        <v>-1551.8084851002302</v>
      </c>
      <c r="E45" s="620">
        <f t="shared" si="25"/>
        <v>-1117.968190683549</v>
      </c>
      <c r="F45" s="620">
        <f t="shared" si="25"/>
        <v>-720.77467674260822</v>
      </c>
      <c r="G45" s="620">
        <f t="shared" si="25"/>
        <v>-68.394018127127666</v>
      </c>
      <c r="H45" s="620">
        <f t="shared" si="25"/>
        <v>263.98824243568794</v>
      </c>
      <c r="I45" s="620">
        <f t="shared" si="25"/>
        <v>291.05414380048171</v>
      </c>
      <c r="J45" s="620">
        <f t="shared" si="25"/>
        <v>330.50794213647669</v>
      </c>
      <c r="K45" s="620">
        <f t="shared" si="25"/>
        <v>363.20556359758916</v>
      </c>
      <c r="L45" s="620">
        <f t="shared" si="25"/>
        <v>408.70480925899051</v>
      </c>
      <c r="M45" s="620">
        <f t="shared" si="25"/>
        <v>447.89095631708079</v>
      </c>
      <c r="N45" s="620">
        <f t="shared" si="25"/>
        <v>500.35321926521635</v>
      </c>
      <c r="O45" s="620">
        <f t="shared" si="25"/>
        <v>547.01049561603963</v>
      </c>
      <c r="P45" s="620">
        <f t="shared" si="25"/>
        <v>607.4879817192442</v>
      </c>
      <c r="Q45" s="620">
        <f t="shared" si="25"/>
        <v>2189.5699860101963</v>
      </c>
      <c r="R45" s="620">
        <f t="shared" si="25"/>
        <v>4051.7956928292738</v>
      </c>
      <c r="S45" s="620">
        <f t="shared" si="25"/>
        <v>4130.8738025697421</v>
      </c>
      <c r="T45" s="620">
        <f t="shared" si="25"/>
        <v>4216.1524775063372</v>
      </c>
      <c r="U45" s="620">
        <f t="shared" si="25"/>
        <v>4308.079059153074</v>
      </c>
      <c r="V45" s="620">
        <f t="shared" si="25"/>
        <v>4407.1324689689563</v>
      </c>
      <c r="W45" s="620">
        <f t="shared" si="25"/>
        <v>4513.825424274899</v>
      </c>
      <c r="X45" s="620">
        <f t="shared" si="25"/>
        <v>4628.7068093912685</v>
      </c>
      <c r="Y45" s="620">
        <f t="shared" si="25"/>
        <v>4752.3642128635729</v>
      </c>
      <c r="Z45" s="620">
        <f t="shared" si="25"/>
        <v>4885.4266424046828</v>
      </c>
      <c r="AA45" s="620">
        <f t="shared" si="25"/>
        <v>5028.5674299959301</v>
      </c>
      <c r="AB45" s="620">
        <f t="shared" si="25"/>
        <v>5182.5073404604709</v>
      </c>
      <c r="AC45" s="620">
        <f t="shared" si="25"/>
        <v>5348.0178977542728</v>
      </c>
      <c r="AD45" s="620">
        <f t="shared" si="25"/>
        <v>5525.9249442173186</v>
      </c>
      <c r="AE45" s="620">
        <f t="shared" si="25"/>
        <v>5717.1124490946295</v>
      </c>
      <c r="AF45" s="634">
        <f t="shared" si="25"/>
        <v>1045.7703046420393</v>
      </c>
    </row>
    <row r="46" spans="1:32">
      <c r="A46" s="628" t="s">
        <v>597</v>
      </c>
      <c r="B46" s="607">
        <f>-(IS!C42+IS!C43)</f>
        <v>762.29971539567634</v>
      </c>
      <c r="C46" s="607">
        <f>-(IS!D42+IS!D43)</f>
        <v>1255.7308607912282</v>
      </c>
      <c r="D46" s="607">
        <f>-(IS!E42+IS!E43)</f>
        <v>1279.3301008421081</v>
      </c>
      <c r="E46" s="607">
        <f>-(IS!F42+IS!F43)</f>
        <v>1305.0754649465487</v>
      </c>
      <c r="F46" s="607">
        <f>-(IS!G42+IS!G43)</f>
        <v>1333.1270653333017</v>
      </c>
      <c r="G46" s="607">
        <f>-(IS!H42+IS!H43)</f>
        <v>1687.7926001446936</v>
      </c>
      <c r="H46" s="607">
        <f>-(IS!I42+IS!I43)</f>
        <v>1883.0515244236005</v>
      </c>
      <c r="I46" s="607">
        <f>-(IS!J42+IS!J43)</f>
        <v>1919.1006302433047</v>
      </c>
      <c r="J46" s="607">
        <f>-(IS!K42+IS!K43)</f>
        <v>1958.2187850854914</v>
      </c>
      <c r="K46" s="607">
        <f>-(IS!L42+IS!L43)</f>
        <v>2000.6317346140358</v>
      </c>
      <c r="L46" s="607">
        <f>-(IS!M42+IS!M43)</f>
        <v>2046.5812449339321</v>
      </c>
      <c r="M46" s="607">
        <f>-(IS!N42+IS!N43)</f>
        <v>2096.3262283870617</v>
      </c>
      <c r="N46" s="607">
        <f>-(IS!O42+IS!O43)</f>
        <v>2150.1439482409673</v>
      </c>
      <c r="O46" s="607">
        <f>-(IS!P42+IS!P43)</f>
        <v>2208.3313077948851</v>
      </c>
      <c r="P46" s="607">
        <f>-(IS!Q42+IS!Q43)</f>
        <v>2271.206229814019</v>
      </c>
      <c r="Q46" s="607">
        <f>-(IS!R42+IS!R43)</f>
        <v>2339.1091326168648</v>
      </c>
      <c r="R46" s="607">
        <f>-(IS!S42+IS!S43)</f>
        <v>2412.4045095831298</v>
      </c>
      <c r="S46" s="607">
        <f>-(IS!T42+IS!T43)</f>
        <v>2491.4826193235981</v>
      </c>
      <c r="T46" s="607">
        <f>-(IS!U42+IS!U43)</f>
        <v>2576.7612942601927</v>
      </c>
      <c r="U46" s="607">
        <f>-(IS!V42+IS!V43)</f>
        <v>2668.68787590693</v>
      </c>
      <c r="V46" s="607">
        <f>-(IS!W42+IS!W43)</f>
        <v>2767.7412857228123</v>
      </c>
      <c r="W46" s="607">
        <f>-(IS!X42+IS!X43)</f>
        <v>2874.4342410287559</v>
      </c>
      <c r="X46" s="607">
        <f>-(IS!Y42+IS!Y43)</f>
        <v>2989.315626145125</v>
      </c>
      <c r="Y46" s="607">
        <f>-(IS!Z42+IS!Z43)</f>
        <v>3112.9730296174284</v>
      </c>
      <c r="Z46" s="607">
        <f>-(IS!AA42+IS!AA43)</f>
        <v>3246.0354591585387</v>
      </c>
      <c r="AA46" s="607">
        <f>-(IS!AB42+IS!AB43)</f>
        <v>3389.1762467497865</v>
      </c>
      <c r="AB46" s="607">
        <f>-(IS!AC42+IS!AC43)</f>
        <v>3543.1161572143269</v>
      </c>
      <c r="AC46" s="607">
        <f>-(IS!AD42+IS!AD43)</f>
        <v>3708.6267145081288</v>
      </c>
      <c r="AD46" s="607">
        <f>-(IS!AE42+IS!AE43)</f>
        <v>3886.5337609711742</v>
      </c>
      <c r="AE46" s="607">
        <f>-(IS!AF42+IS!AF43)</f>
        <v>4077.721265848485</v>
      </c>
      <c r="AF46" s="635">
        <f>-(IS!AG42+IS!AG43)</f>
        <v>499.30657689332435</v>
      </c>
    </row>
    <row r="47" spans="1:32">
      <c r="A47" s="628" t="s">
        <v>598</v>
      </c>
      <c r="B47" s="607">
        <f>B45-B46</f>
        <v>-1538.4868550863562</v>
      </c>
      <c r="C47" s="607">
        <f t="shared" ref="C47:J47" si="26">C45-C46</f>
        <v>-3287.8400374066414</v>
      </c>
      <c r="D47" s="607">
        <f t="shared" si="26"/>
        <v>-2831.1385859423381</v>
      </c>
      <c r="E47" s="607">
        <f t="shared" si="26"/>
        <v>-2423.0436556300974</v>
      </c>
      <c r="F47" s="607">
        <f t="shared" si="26"/>
        <v>-2053.9017420759101</v>
      </c>
      <c r="G47" s="607">
        <f t="shared" si="26"/>
        <v>-1756.1866182718213</v>
      </c>
      <c r="H47" s="607">
        <f t="shared" si="26"/>
        <v>-1619.0632819879127</v>
      </c>
      <c r="I47" s="607">
        <f t="shared" si="26"/>
        <v>-1628.0464864428232</v>
      </c>
      <c r="J47" s="607">
        <f t="shared" si="26"/>
        <v>-1627.7108429490147</v>
      </c>
      <c r="K47" s="607">
        <f t="shared" ref="K47:AF47" si="27">K45-K46</f>
        <v>-1637.4261710164467</v>
      </c>
      <c r="L47" s="607">
        <f t="shared" si="27"/>
        <v>-1637.8764356749416</v>
      </c>
      <c r="M47" s="607">
        <f t="shared" si="27"/>
        <v>-1648.435272069981</v>
      </c>
      <c r="N47" s="607">
        <f t="shared" si="27"/>
        <v>-1649.7907289757509</v>
      </c>
      <c r="O47" s="607">
        <f t="shared" si="27"/>
        <v>-1661.3208121788455</v>
      </c>
      <c r="P47" s="607">
        <f t="shared" si="27"/>
        <v>-1663.7182480947749</v>
      </c>
      <c r="Q47" s="607">
        <f t="shared" si="27"/>
        <v>-149.53914660666851</v>
      </c>
      <c r="R47" s="607">
        <f t="shared" si="27"/>
        <v>1639.391183246144</v>
      </c>
      <c r="S47" s="607">
        <f t="shared" si="27"/>
        <v>1639.391183246144</v>
      </c>
      <c r="T47" s="607">
        <f t="shared" si="27"/>
        <v>1639.3911832461445</v>
      </c>
      <c r="U47" s="607">
        <f t="shared" si="27"/>
        <v>1639.391183246144</v>
      </c>
      <c r="V47" s="607">
        <f t="shared" si="27"/>
        <v>1639.391183246144</v>
      </c>
      <c r="W47" s="607">
        <f t="shared" si="27"/>
        <v>1639.3911832461431</v>
      </c>
      <c r="X47" s="607">
        <f t="shared" si="27"/>
        <v>1639.3911832461436</v>
      </c>
      <c r="Y47" s="607">
        <f t="shared" si="27"/>
        <v>1639.3911832461445</v>
      </c>
      <c r="Z47" s="607">
        <f t="shared" si="27"/>
        <v>1639.391183246144</v>
      </c>
      <c r="AA47" s="607">
        <f t="shared" si="27"/>
        <v>1639.3911832461436</v>
      </c>
      <c r="AB47" s="607">
        <f t="shared" si="27"/>
        <v>1639.391183246144</v>
      </c>
      <c r="AC47" s="607">
        <f t="shared" si="27"/>
        <v>1639.391183246144</v>
      </c>
      <c r="AD47" s="607">
        <f t="shared" si="27"/>
        <v>1639.3911832461445</v>
      </c>
      <c r="AE47" s="607">
        <f t="shared" si="27"/>
        <v>1639.3911832461445</v>
      </c>
      <c r="AF47" s="635">
        <f t="shared" si="27"/>
        <v>546.46372774871497</v>
      </c>
    </row>
    <row r="48" spans="1:32">
      <c r="A48" s="628"/>
      <c r="B48" s="607"/>
      <c r="C48" s="607"/>
      <c r="D48" s="607"/>
      <c r="E48" s="607"/>
      <c r="F48" s="607"/>
      <c r="G48" s="607"/>
      <c r="H48" s="607"/>
      <c r="I48" s="607"/>
      <c r="J48" s="607"/>
      <c r="K48" s="607"/>
      <c r="L48" s="607"/>
      <c r="M48" s="607"/>
      <c r="N48" s="607"/>
      <c r="O48" s="607"/>
      <c r="P48" s="607"/>
      <c r="Q48" s="607"/>
      <c r="R48" s="607"/>
      <c r="S48" s="607"/>
      <c r="T48" s="607"/>
      <c r="U48" s="607"/>
      <c r="V48" s="607"/>
      <c r="W48" s="607"/>
      <c r="X48" s="358"/>
      <c r="Y48" s="358"/>
      <c r="Z48" s="358"/>
      <c r="AA48" s="358"/>
      <c r="AB48" s="358"/>
      <c r="AC48" s="358"/>
      <c r="AD48" s="358"/>
      <c r="AE48" s="358"/>
      <c r="AF48" s="636"/>
    </row>
    <row r="49" spans="1:32">
      <c r="A49" s="629" t="s">
        <v>599</v>
      </c>
      <c r="B49" s="613">
        <f>B47</f>
        <v>-1538.4868550863562</v>
      </c>
      <c r="C49" s="613">
        <f>B49+C47</f>
        <v>-4826.326892492998</v>
      </c>
      <c r="D49" s="613">
        <f t="shared" ref="D49:AF49" si="28">C49+D47</f>
        <v>-7657.4654784353361</v>
      </c>
      <c r="E49" s="613">
        <f t="shared" si="28"/>
        <v>-10080.509134065433</v>
      </c>
      <c r="F49" s="613">
        <f t="shared" si="28"/>
        <v>-12134.410876141343</v>
      </c>
      <c r="G49" s="613">
        <f t="shared" si="28"/>
        <v>-13890.597494413163</v>
      </c>
      <c r="H49" s="613">
        <f t="shared" si="28"/>
        <v>-15509.660776401075</v>
      </c>
      <c r="I49" s="613">
        <f t="shared" si="28"/>
        <v>-17137.707262843898</v>
      </c>
      <c r="J49" s="613">
        <f t="shared" si="28"/>
        <v>-18765.418105792913</v>
      </c>
      <c r="K49" s="613">
        <f t="shared" si="28"/>
        <v>-20402.844276809359</v>
      </c>
      <c r="L49" s="613">
        <f t="shared" si="28"/>
        <v>-22040.720712484301</v>
      </c>
      <c r="M49" s="613">
        <f t="shared" si="28"/>
        <v>-23689.155984554283</v>
      </c>
      <c r="N49" s="613">
        <f t="shared" si="28"/>
        <v>-25338.946713530033</v>
      </c>
      <c r="O49" s="613">
        <f t="shared" si="28"/>
        <v>-27000.267525708878</v>
      </c>
      <c r="P49" s="613">
        <f t="shared" si="28"/>
        <v>-28663.985773803652</v>
      </c>
      <c r="Q49" s="613">
        <f t="shared" si="28"/>
        <v>-28813.52492041032</v>
      </c>
      <c r="R49" s="613">
        <f t="shared" si="28"/>
        <v>-27174.133737164175</v>
      </c>
      <c r="S49" s="613">
        <f t="shared" si="28"/>
        <v>-25534.742553918029</v>
      </c>
      <c r="T49" s="613">
        <f t="shared" si="28"/>
        <v>-23895.351370671884</v>
      </c>
      <c r="U49" s="613">
        <f t="shared" si="28"/>
        <v>-22255.960187425739</v>
      </c>
      <c r="V49" s="613">
        <f t="shared" si="28"/>
        <v>-20616.569004179593</v>
      </c>
      <c r="W49" s="613">
        <f t="shared" si="28"/>
        <v>-18977.177820933452</v>
      </c>
      <c r="X49" s="613">
        <f t="shared" si="28"/>
        <v>-17337.786637687306</v>
      </c>
      <c r="Y49" s="613">
        <f t="shared" si="28"/>
        <v>-15698.395454441161</v>
      </c>
      <c r="Z49" s="613">
        <f t="shared" si="28"/>
        <v>-14059.004271195017</v>
      </c>
      <c r="AA49" s="613">
        <f t="shared" si="28"/>
        <v>-12419.613087948874</v>
      </c>
      <c r="AB49" s="613">
        <f t="shared" si="28"/>
        <v>-10780.22190470273</v>
      </c>
      <c r="AC49" s="613">
        <f t="shared" si="28"/>
        <v>-9140.8307214565866</v>
      </c>
      <c r="AD49" s="613">
        <f t="shared" si="28"/>
        <v>-7501.4395382104422</v>
      </c>
      <c r="AE49" s="613">
        <f t="shared" si="28"/>
        <v>-5862.0483549642977</v>
      </c>
      <c r="AF49" s="637">
        <f t="shared" si="28"/>
        <v>-5315.5846272155832</v>
      </c>
    </row>
    <row r="50" spans="1:32">
      <c r="X50" s="6"/>
      <c r="Y50" s="6"/>
    </row>
    <row r="51" spans="1:32">
      <c r="X51" s="6"/>
      <c r="Y51" s="6"/>
    </row>
    <row r="52" spans="1:32">
      <c r="X52" s="6"/>
      <c r="Y52" s="6"/>
    </row>
    <row r="53" spans="1:32">
      <c r="X53" s="6"/>
      <c r="Y53" s="6"/>
    </row>
    <row r="54" spans="1:32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5" t="str">
        <f>Assumptions!A3</f>
        <v>PROJECT NAME: Homestead, Florida</v>
      </c>
    </row>
    <row r="4" spans="1:25" ht="18.75">
      <c r="A4" s="61" t="s">
        <v>179</v>
      </c>
      <c r="B4" s="211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8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8"/>
      <c r="Y5" s="88"/>
    </row>
    <row r="6" spans="1:25">
      <c r="A6" s="63" t="s">
        <v>336</v>
      </c>
      <c r="B6" s="227"/>
      <c r="C6" s="428">
        <f>Assumptions!C26</f>
        <v>6927.7870000000003</v>
      </c>
      <c r="D6" s="228"/>
      <c r="E6" s="228"/>
      <c r="F6" s="228"/>
      <c r="G6" s="228"/>
      <c r="H6" s="228"/>
      <c r="I6" s="229"/>
      <c r="J6" s="228"/>
      <c r="K6" s="228"/>
      <c r="L6" s="228"/>
      <c r="M6" s="228"/>
      <c r="N6" s="228"/>
      <c r="O6" s="229"/>
      <c r="P6" s="228"/>
      <c r="Q6" s="228"/>
      <c r="R6" s="228"/>
      <c r="S6" s="228"/>
      <c r="T6" s="228"/>
      <c r="U6" s="229"/>
      <c r="V6" s="228"/>
      <c r="W6" s="228"/>
      <c r="X6" s="231"/>
      <c r="Y6" s="231"/>
    </row>
    <row r="7" spans="1:25">
      <c r="A7" s="63" t="s">
        <v>186</v>
      </c>
      <c r="B7" s="227"/>
      <c r="C7" s="436">
        <f>Assumptions!H16</f>
        <v>7</v>
      </c>
      <c r="D7" s="228"/>
      <c r="E7" s="228"/>
      <c r="F7" s="228"/>
      <c r="G7" s="228"/>
      <c r="H7" s="228"/>
      <c r="I7" s="229"/>
      <c r="J7" s="228"/>
      <c r="K7" s="228"/>
      <c r="L7" s="228"/>
      <c r="M7" s="228"/>
      <c r="N7" s="228"/>
      <c r="O7" s="229"/>
      <c r="P7" s="228"/>
      <c r="Q7" s="228"/>
      <c r="R7" s="228"/>
      <c r="S7" s="228"/>
      <c r="T7" s="228"/>
      <c r="U7" s="229"/>
      <c r="V7" s="228"/>
      <c r="W7" s="228"/>
      <c r="X7" s="231"/>
      <c r="Y7" s="231"/>
    </row>
    <row r="8" spans="1:25">
      <c r="A8" s="63" t="s">
        <v>184</v>
      </c>
      <c r="B8" s="227"/>
      <c r="C8" s="508">
        <f>Assumptions!H39</f>
        <v>6.9999999999999993E-2</v>
      </c>
      <c r="D8" s="236">
        <f>C8/360</f>
        <v>1.9444444444444443E-4</v>
      </c>
      <c r="E8" s="228"/>
      <c r="F8" s="228"/>
      <c r="G8" s="228"/>
      <c r="H8" s="228"/>
      <c r="I8" s="229"/>
      <c r="J8" s="228"/>
      <c r="K8" s="228"/>
      <c r="L8" s="228"/>
      <c r="M8" s="228"/>
      <c r="N8" s="228"/>
      <c r="O8" s="229"/>
      <c r="P8" s="228"/>
      <c r="Q8" s="228"/>
      <c r="R8" s="228"/>
      <c r="S8" s="228"/>
      <c r="T8" s="228"/>
      <c r="U8" s="229"/>
      <c r="V8" s="228"/>
      <c r="W8" s="228"/>
      <c r="X8" s="231"/>
      <c r="Y8" s="231"/>
    </row>
    <row r="9" spans="1:25">
      <c r="A9" s="63"/>
      <c r="B9" s="227"/>
      <c r="C9" s="235" t="s">
        <v>185</v>
      </c>
      <c r="D9" s="235" t="s">
        <v>218</v>
      </c>
      <c r="E9" s="228"/>
      <c r="F9" s="228"/>
      <c r="G9" s="228"/>
      <c r="H9" s="228"/>
      <c r="I9" s="229"/>
      <c r="J9" s="228"/>
      <c r="K9" s="228"/>
      <c r="L9" s="228"/>
      <c r="M9" s="228"/>
      <c r="N9" s="228"/>
      <c r="O9" s="229"/>
      <c r="P9" s="228"/>
      <c r="Q9" s="228"/>
      <c r="R9" s="228"/>
      <c r="S9" s="228"/>
      <c r="T9" s="228"/>
      <c r="U9" s="229"/>
      <c r="V9" s="228"/>
      <c r="W9" s="228"/>
      <c r="X9" s="231"/>
      <c r="Y9" s="231"/>
    </row>
    <row r="10" spans="1:25">
      <c r="A10" s="63"/>
      <c r="B10" s="227"/>
      <c r="C10" s="235"/>
      <c r="D10" s="235"/>
      <c r="E10" s="228"/>
      <c r="F10" s="228"/>
      <c r="G10" s="228"/>
      <c r="H10" s="228"/>
      <c r="I10" s="229"/>
      <c r="J10" s="228"/>
      <c r="K10" s="228"/>
      <c r="L10" s="228"/>
      <c r="M10" s="228"/>
      <c r="N10" s="228"/>
      <c r="O10" s="229"/>
      <c r="P10" s="228"/>
      <c r="Q10" s="228"/>
      <c r="R10" s="228"/>
      <c r="S10" s="228"/>
      <c r="T10" s="228"/>
      <c r="U10" s="229"/>
      <c r="V10" s="228"/>
      <c r="W10" s="228"/>
      <c r="X10" s="231"/>
      <c r="Y10" s="231"/>
    </row>
    <row r="11" spans="1:25">
      <c r="A11" s="63"/>
      <c r="B11" s="227"/>
      <c r="C11" s="235"/>
      <c r="D11" s="235"/>
      <c r="E11" s="228"/>
      <c r="F11" s="228"/>
      <c r="G11" s="228"/>
      <c r="H11" s="228"/>
      <c r="I11" s="229"/>
      <c r="J11" s="228"/>
      <c r="K11" s="228"/>
      <c r="L11" s="228"/>
      <c r="M11" s="228"/>
      <c r="N11" s="228"/>
      <c r="O11" s="229"/>
      <c r="P11" s="228"/>
      <c r="Q11" s="228"/>
      <c r="R11" s="228"/>
      <c r="S11" s="228"/>
      <c r="T11" s="228"/>
      <c r="U11" s="229"/>
      <c r="V11" s="228"/>
      <c r="W11" s="228"/>
      <c r="X11" s="231"/>
      <c r="Y11" s="231"/>
    </row>
    <row r="12" spans="1:25">
      <c r="A12" s="5"/>
      <c r="B12" s="224"/>
      <c r="C12" s="224"/>
      <c r="D12" s="225" t="s">
        <v>173</v>
      </c>
      <c r="E12" s="223" t="s">
        <v>180</v>
      </c>
      <c r="F12" s="224"/>
      <c r="G12" s="224"/>
      <c r="H12" s="224"/>
      <c r="I12" s="224"/>
      <c r="J12" s="219"/>
    </row>
    <row r="13" spans="1:25">
      <c r="A13" s="223" t="s">
        <v>170</v>
      </c>
      <c r="B13" s="5"/>
      <c r="C13" s="5"/>
      <c r="D13" s="225" t="s">
        <v>181</v>
      </c>
      <c r="E13" s="225" t="s">
        <v>174</v>
      </c>
      <c r="F13" s="225" t="s">
        <v>175</v>
      </c>
      <c r="G13" s="230" t="s">
        <v>176</v>
      </c>
      <c r="H13" s="225" t="s">
        <v>177</v>
      </c>
      <c r="I13" s="225" t="s">
        <v>178</v>
      </c>
      <c r="J13" s="66"/>
    </row>
    <row r="14" spans="1:25">
      <c r="A14" s="220" t="s">
        <v>171</v>
      </c>
      <c r="B14" s="220" t="s">
        <v>127</v>
      </c>
      <c r="C14" s="220" t="s">
        <v>172</v>
      </c>
      <c r="D14" s="220" t="s">
        <v>183</v>
      </c>
      <c r="E14" s="220" t="s">
        <v>183</v>
      </c>
      <c r="F14" s="220" t="s">
        <v>183</v>
      </c>
      <c r="G14" s="220" t="s">
        <v>183</v>
      </c>
      <c r="H14" s="220" t="s">
        <v>183</v>
      </c>
      <c r="I14" s="220" t="s">
        <v>183</v>
      </c>
      <c r="J14" s="66"/>
    </row>
    <row r="15" spans="1:25">
      <c r="A15" s="221">
        <v>1</v>
      </c>
      <c r="B15" s="222">
        <v>36617</v>
      </c>
      <c r="C15" s="259">
        <f>HLOOKUP(Assumptions!$H$12,IDC!$H$40:$L$56,2+F42)</f>
        <v>0.17</v>
      </c>
      <c r="D15" s="232">
        <f>D59*Assumptions!H12</f>
        <v>85562.69764399025</v>
      </c>
      <c r="E15" s="233">
        <f t="shared" ref="E15:E33" si="0">C15*$C$6</f>
        <v>1177.7237900000002</v>
      </c>
      <c r="F15" s="233">
        <f t="shared" ref="F15:F33" si="1">+E15+D15</f>
        <v>86740.421433990254</v>
      </c>
      <c r="G15" s="233">
        <f>F15+H15</f>
        <v>86740.421433990254</v>
      </c>
      <c r="H15" s="233">
        <v>0</v>
      </c>
      <c r="I15" s="233">
        <v>0</v>
      </c>
      <c r="K15" s="426"/>
    </row>
    <row r="16" spans="1:25">
      <c r="A16" s="221">
        <f t="shared" ref="A16:A33" si="2">A15+1</f>
        <v>2</v>
      </c>
      <c r="B16" s="222">
        <v>36647</v>
      </c>
      <c r="C16" s="259">
        <f>HLOOKUP(Assumptions!$H$12,IDC!$H$40:$L$56,2+F43)</f>
        <v>0.12</v>
      </c>
      <c r="D16" s="232">
        <v>0</v>
      </c>
      <c r="E16" s="233">
        <f t="shared" si="0"/>
        <v>831.33443999999997</v>
      </c>
      <c r="F16" s="233">
        <f t="shared" si="1"/>
        <v>831.33443999999997</v>
      </c>
      <c r="G16" s="233">
        <f t="shared" ref="G16:G33" si="3">F16+G15+H16</f>
        <v>88077.741665688533</v>
      </c>
      <c r="H16" s="233">
        <f>IF(A16&gt;$C$7+1,0,G15*(B16-B15)*$D$8)</f>
        <v>505.98579169827639</v>
      </c>
      <c r="I16" s="233">
        <f>IF(A16&lt;=$C$7+1,H16+I15,I15)</f>
        <v>505.98579169827639</v>
      </c>
      <c r="K16" s="426"/>
    </row>
    <row r="17" spans="1:11">
      <c r="A17" s="221">
        <f t="shared" si="2"/>
        <v>3</v>
      </c>
      <c r="B17" s="222">
        <v>36678</v>
      </c>
      <c r="C17" s="259">
        <f>HLOOKUP(Assumptions!$H$12,IDC!$H$40:$L$56,2+F44)</f>
        <v>0.12</v>
      </c>
      <c r="D17" s="232">
        <v>0</v>
      </c>
      <c r="E17" s="233">
        <f t="shared" si="0"/>
        <v>831.33443999999997</v>
      </c>
      <c r="F17" s="233">
        <f t="shared" si="1"/>
        <v>831.33443999999997</v>
      </c>
      <c r="G17" s="233">
        <f t="shared" si="3"/>
        <v>89439.989159617835</v>
      </c>
      <c r="H17" s="233">
        <f t="shared" ref="H17:H33" si="4">IF(A17&gt;$C$7+1,0,G16*(B17-B16)*$D$8)</f>
        <v>530.91305392928916</v>
      </c>
      <c r="I17" s="233">
        <f t="shared" ref="I17:I33" si="5">IF(A17&lt;=$C$7+1,H17+I16,I16)</f>
        <v>1036.8988456275656</v>
      </c>
      <c r="K17" s="426"/>
    </row>
    <row r="18" spans="1:11">
      <c r="A18" s="221">
        <f t="shared" si="2"/>
        <v>4</v>
      </c>
      <c r="B18" s="222">
        <v>36708</v>
      </c>
      <c r="C18" s="259">
        <f>HLOOKUP(Assumptions!$H$12,IDC!$H$40:$L$56,2+F45)</f>
        <v>0.14000000000000001</v>
      </c>
      <c r="D18" s="232">
        <v>0</v>
      </c>
      <c r="E18" s="233">
        <f t="shared" si="0"/>
        <v>969.8901800000001</v>
      </c>
      <c r="F18" s="233">
        <f t="shared" si="1"/>
        <v>969.8901800000001</v>
      </c>
      <c r="G18" s="233">
        <f t="shared" si="3"/>
        <v>90931.612609715608</v>
      </c>
      <c r="H18" s="233">
        <f t="shared" si="4"/>
        <v>521.73327009777074</v>
      </c>
      <c r="I18" s="233">
        <f t="shared" si="5"/>
        <v>1558.6321157253365</v>
      </c>
      <c r="K18" s="426"/>
    </row>
    <row r="19" spans="1:11">
      <c r="A19" s="221">
        <f t="shared" si="2"/>
        <v>5</v>
      </c>
      <c r="B19" s="222">
        <v>36739</v>
      </c>
      <c r="C19" s="259">
        <f>HLOOKUP(Assumptions!$H$12,IDC!$H$40:$L$56,2+F46)</f>
        <v>0.13</v>
      </c>
      <c r="D19" s="232">
        <v>0</v>
      </c>
      <c r="E19" s="233">
        <f t="shared" si="0"/>
        <v>900.61231000000009</v>
      </c>
      <c r="F19" s="233">
        <f t="shared" si="1"/>
        <v>900.61231000000009</v>
      </c>
      <c r="G19" s="233">
        <f t="shared" si="3"/>
        <v>92380.340473501943</v>
      </c>
      <c r="H19" s="233">
        <f t="shared" si="4"/>
        <v>548.11555378634125</v>
      </c>
      <c r="I19" s="233">
        <f t="shared" si="5"/>
        <v>2106.7476695116775</v>
      </c>
      <c r="K19" s="426"/>
    </row>
    <row r="20" spans="1:11">
      <c r="A20" s="221">
        <f t="shared" si="2"/>
        <v>6</v>
      </c>
      <c r="B20" s="222">
        <v>36770</v>
      </c>
      <c r="C20" s="259">
        <f>HLOOKUP(Assumptions!$H$12,IDC!$H$40:$L$56,2+F47)</f>
        <v>0.12</v>
      </c>
      <c r="D20" s="232">
        <v>0</v>
      </c>
      <c r="E20" s="233">
        <f t="shared" si="0"/>
        <v>831.33443999999997</v>
      </c>
      <c r="F20" s="233">
        <f t="shared" si="1"/>
        <v>831.33443999999997</v>
      </c>
      <c r="G20" s="233">
        <f t="shared" si="3"/>
        <v>93768.523076911675</v>
      </c>
      <c r="H20" s="233">
        <f t="shared" si="4"/>
        <v>556.84816340971997</v>
      </c>
      <c r="I20" s="233">
        <f t="shared" si="5"/>
        <v>2663.5958329213972</v>
      </c>
      <c r="K20" s="426"/>
    </row>
    <row r="21" spans="1:11">
      <c r="A21" s="221">
        <f t="shared" si="2"/>
        <v>7</v>
      </c>
      <c r="B21" s="222">
        <v>36800</v>
      </c>
      <c r="C21" s="259">
        <f>HLOOKUP(Assumptions!$H$12,IDC!$H$40:$L$56,2+F48)</f>
        <v>0.1</v>
      </c>
      <c r="D21" s="232">
        <v>0</v>
      </c>
      <c r="E21" s="233">
        <f t="shared" si="0"/>
        <v>692.77870000000007</v>
      </c>
      <c r="F21" s="233">
        <f t="shared" si="1"/>
        <v>692.77870000000007</v>
      </c>
      <c r="G21" s="233">
        <f t="shared" si="3"/>
        <v>95008.28482819366</v>
      </c>
      <c r="H21" s="233">
        <f t="shared" si="4"/>
        <v>546.98305128198479</v>
      </c>
      <c r="I21" s="233">
        <f t="shared" si="5"/>
        <v>3210.5788842033821</v>
      </c>
      <c r="K21" s="426"/>
    </row>
    <row r="22" spans="1:11">
      <c r="A22" s="221">
        <f t="shared" si="2"/>
        <v>8</v>
      </c>
      <c r="B22" s="222">
        <v>36831</v>
      </c>
      <c r="C22" s="259">
        <f>HLOOKUP(Assumptions!$H$12,IDC!$H$40:$L$56,2+F49)</f>
        <v>0.1</v>
      </c>
      <c r="D22" s="232">
        <v>0</v>
      </c>
      <c r="E22" s="233">
        <f t="shared" si="0"/>
        <v>692.77870000000007</v>
      </c>
      <c r="F22" s="233">
        <f t="shared" si="1"/>
        <v>692.77870000000007</v>
      </c>
      <c r="G22" s="233">
        <f t="shared" si="3"/>
        <v>96273.752356185825</v>
      </c>
      <c r="H22" s="233">
        <f t="shared" si="4"/>
        <v>572.68882799216738</v>
      </c>
      <c r="I22" s="233">
        <f t="shared" si="5"/>
        <v>3783.2677121955494</v>
      </c>
      <c r="K22" s="426"/>
    </row>
    <row r="23" spans="1:11">
      <c r="A23" s="221">
        <f t="shared" si="2"/>
        <v>9</v>
      </c>
      <c r="B23" s="222">
        <v>36861</v>
      </c>
      <c r="C23" s="259">
        <f>HLOOKUP(Assumptions!$H$12,IDC!$H$40:$L$56,2+F50)</f>
        <v>0</v>
      </c>
      <c r="D23" s="232">
        <v>0</v>
      </c>
      <c r="E23" s="233">
        <f t="shared" si="0"/>
        <v>0</v>
      </c>
      <c r="F23" s="233">
        <f t="shared" si="1"/>
        <v>0</v>
      </c>
      <c r="G23" s="233">
        <f t="shared" si="3"/>
        <v>96273.752356185825</v>
      </c>
      <c r="H23" s="233">
        <f t="shared" si="4"/>
        <v>0</v>
      </c>
      <c r="I23" s="233">
        <f t="shared" si="5"/>
        <v>3783.2677121955494</v>
      </c>
      <c r="K23" s="426"/>
    </row>
    <row r="24" spans="1:11">
      <c r="A24" s="221">
        <f t="shared" si="2"/>
        <v>10</v>
      </c>
      <c r="B24" s="222">
        <v>36892</v>
      </c>
      <c r="C24" s="259">
        <f>HLOOKUP(Assumptions!$H$12,IDC!$H$40:$L$56,2+F51)</f>
        <v>0</v>
      </c>
      <c r="D24" s="232">
        <v>0</v>
      </c>
      <c r="E24" s="233">
        <f t="shared" si="0"/>
        <v>0</v>
      </c>
      <c r="F24" s="233">
        <f t="shared" si="1"/>
        <v>0</v>
      </c>
      <c r="G24" s="233">
        <f t="shared" si="3"/>
        <v>96273.752356185825</v>
      </c>
      <c r="H24" s="233">
        <f t="shared" si="4"/>
        <v>0</v>
      </c>
      <c r="I24" s="233">
        <f t="shared" si="5"/>
        <v>3783.2677121955494</v>
      </c>
      <c r="K24" s="426"/>
    </row>
    <row r="25" spans="1:11">
      <c r="A25" s="221">
        <f t="shared" si="2"/>
        <v>11</v>
      </c>
      <c r="B25" s="222">
        <v>36923</v>
      </c>
      <c r="C25" s="259">
        <f>HLOOKUP(Assumptions!$H$12,IDC!$H$40:$L$56,2+F52)</f>
        <v>0</v>
      </c>
      <c r="D25" s="232">
        <v>0</v>
      </c>
      <c r="E25" s="233">
        <f t="shared" si="0"/>
        <v>0</v>
      </c>
      <c r="F25" s="233">
        <f t="shared" si="1"/>
        <v>0</v>
      </c>
      <c r="G25" s="233">
        <f t="shared" si="3"/>
        <v>96273.752356185825</v>
      </c>
      <c r="H25" s="233">
        <f t="shared" si="4"/>
        <v>0</v>
      </c>
      <c r="I25" s="233">
        <f t="shared" si="5"/>
        <v>3783.2677121955494</v>
      </c>
      <c r="K25" s="426"/>
    </row>
    <row r="26" spans="1:11">
      <c r="A26" s="221">
        <f t="shared" si="2"/>
        <v>12</v>
      </c>
      <c r="B26" s="222">
        <v>36951</v>
      </c>
      <c r="C26" s="259">
        <f>HLOOKUP(Assumptions!$H$12,IDC!$H$40:$L$56,2+F53)</f>
        <v>0</v>
      </c>
      <c r="D26" s="232">
        <v>0</v>
      </c>
      <c r="E26" s="233">
        <f t="shared" si="0"/>
        <v>0</v>
      </c>
      <c r="F26" s="233">
        <f t="shared" si="1"/>
        <v>0</v>
      </c>
      <c r="G26" s="233">
        <f t="shared" si="3"/>
        <v>96273.752356185825</v>
      </c>
      <c r="H26" s="233">
        <f t="shared" si="4"/>
        <v>0</v>
      </c>
      <c r="I26" s="233">
        <f t="shared" si="5"/>
        <v>3783.2677121955494</v>
      </c>
      <c r="K26" s="426"/>
    </row>
    <row r="27" spans="1:11">
      <c r="A27" s="221">
        <f t="shared" si="2"/>
        <v>13</v>
      </c>
      <c r="B27" s="222">
        <v>36982</v>
      </c>
      <c r="C27" s="259">
        <f>HLOOKUP(Assumptions!$H$12,IDC!$H$40:$L$56,2+F54)</f>
        <v>0</v>
      </c>
      <c r="D27" s="232">
        <v>0</v>
      </c>
      <c r="E27" s="233">
        <f t="shared" si="0"/>
        <v>0</v>
      </c>
      <c r="F27" s="233">
        <f t="shared" si="1"/>
        <v>0</v>
      </c>
      <c r="G27" s="233">
        <f t="shared" si="3"/>
        <v>96273.752356185825</v>
      </c>
      <c r="H27" s="233">
        <f t="shared" si="4"/>
        <v>0</v>
      </c>
      <c r="I27" s="233">
        <f t="shared" si="5"/>
        <v>3783.2677121955494</v>
      </c>
      <c r="K27" s="426"/>
    </row>
    <row r="28" spans="1:11">
      <c r="A28" s="221">
        <f t="shared" si="2"/>
        <v>14</v>
      </c>
      <c r="B28" s="222">
        <v>37012</v>
      </c>
      <c r="C28" s="259">
        <f>HLOOKUP(Assumptions!$H$12,IDC!$H$40:$L$56,2+F55)</f>
        <v>0</v>
      </c>
      <c r="D28" s="232">
        <v>0</v>
      </c>
      <c r="E28" s="233">
        <f t="shared" si="0"/>
        <v>0</v>
      </c>
      <c r="F28" s="233">
        <f t="shared" si="1"/>
        <v>0</v>
      </c>
      <c r="G28" s="233">
        <f t="shared" si="3"/>
        <v>96273.752356185825</v>
      </c>
      <c r="H28" s="233">
        <f t="shared" si="4"/>
        <v>0</v>
      </c>
      <c r="I28" s="233">
        <f t="shared" si="5"/>
        <v>3783.2677121955494</v>
      </c>
      <c r="K28" s="426"/>
    </row>
    <row r="29" spans="1:11">
      <c r="A29" s="221">
        <f t="shared" si="2"/>
        <v>15</v>
      </c>
      <c r="B29" s="222">
        <v>37043</v>
      </c>
      <c r="C29" s="259">
        <f>HLOOKUP(Assumptions!$H$12,IDC!$H$40:$L$56,2+F56)</f>
        <v>0</v>
      </c>
      <c r="D29" s="232">
        <v>0</v>
      </c>
      <c r="E29" s="233">
        <f t="shared" si="0"/>
        <v>0</v>
      </c>
      <c r="F29" s="233">
        <f t="shared" si="1"/>
        <v>0</v>
      </c>
      <c r="G29" s="233">
        <f t="shared" si="3"/>
        <v>96273.752356185825</v>
      </c>
      <c r="H29" s="233">
        <f t="shared" si="4"/>
        <v>0</v>
      </c>
      <c r="I29" s="233">
        <f t="shared" si="5"/>
        <v>3783.2677121955494</v>
      </c>
      <c r="K29" s="426"/>
    </row>
    <row r="30" spans="1:11">
      <c r="A30" s="221">
        <f t="shared" si="2"/>
        <v>16</v>
      </c>
      <c r="B30" s="222">
        <v>37073</v>
      </c>
      <c r="C30" s="259">
        <v>0</v>
      </c>
      <c r="D30" s="232">
        <v>0</v>
      </c>
      <c r="E30" s="233">
        <f t="shared" si="0"/>
        <v>0</v>
      </c>
      <c r="F30" s="233">
        <f t="shared" si="1"/>
        <v>0</v>
      </c>
      <c r="G30" s="233">
        <f t="shared" si="3"/>
        <v>96273.752356185825</v>
      </c>
      <c r="H30" s="233">
        <f t="shared" si="4"/>
        <v>0</v>
      </c>
      <c r="I30" s="233">
        <f t="shared" si="5"/>
        <v>3783.2677121955494</v>
      </c>
      <c r="K30" s="426"/>
    </row>
    <row r="31" spans="1:11">
      <c r="A31" s="221">
        <f t="shared" si="2"/>
        <v>17</v>
      </c>
      <c r="B31" s="222">
        <v>37104</v>
      </c>
      <c r="C31" s="259">
        <v>0</v>
      </c>
      <c r="D31" s="232">
        <v>0</v>
      </c>
      <c r="E31" s="233">
        <f t="shared" si="0"/>
        <v>0</v>
      </c>
      <c r="F31" s="233">
        <f t="shared" si="1"/>
        <v>0</v>
      </c>
      <c r="G31" s="233">
        <f t="shared" si="3"/>
        <v>96273.752356185825</v>
      </c>
      <c r="H31" s="233">
        <f t="shared" si="4"/>
        <v>0</v>
      </c>
      <c r="I31" s="233">
        <f t="shared" si="5"/>
        <v>3783.2677121955494</v>
      </c>
      <c r="K31" s="426"/>
    </row>
    <row r="32" spans="1:11">
      <c r="A32" s="221">
        <f t="shared" si="2"/>
        <v>18</v>
      </c>
      <c r="B32" s="222">
        <v>37135</v>
      </c>
      <c r="C32" s="259">
        <v>0</v>
      </c>
      <c r="D32" s="232">
        <v>0</v>
      </c>
      <c r="E32" s="233">
        <f t="shared" si="0"/>
        <v>0</v>
      </c>
      <c r="F32" s="233">
        <f t="shared" si="1"/>
        <v>0</v>
      </c>
      <c r="G32" s="233">
        <f t="shared" si="3"/>
        <v>96273.752356185825</v>
      </c>
      <c r="H32" s="233">
        <f t="shared" si="4"/>
        <v>0</v>
      </c>
      <c r="I32" s="233">
        <f t="shared" si="5"/>
        <v>3783.2677121955494</v>
      </c>
      <c r="K32" s="426"/>
    </row>
    <row r="33" spans="1:12">
      <c r="A33" s="221">
        <f t="shared" si="2"/>
        <v>19</v>
      </c>
      <c r="B33" s="222">
        <v>37165</v>
      </c>
      <c r="C33" s="425">
        <v>0</v>
      </c>
      <c r="D33" s="237">
        <v>0</v>
      </c>
      <c r="E33" s="238">
        <f t="shared" si="0"/>
        <v>0</v>
      </c>
      <c r="F33" s="238">
        <f t="shared" si="1"/>
        <v>0</v>
      </c>
      <c r="G33" s="238">
        <f t="shared" si="3"/>
        <v>96273.752356185825</v>
      </c>
      <c r="H33" s="238">
        <f t="shared" si="4"/>
        <v>0</v>
      </c>
      <c r="I33" s="238">
        <f t="shared" si="5"/>
        <v>3783.2677121955494</v>
      </c>
      <c r="K33" s="426"/>
    </row>
    <row r="34" spans="1:12">
      <c r="C34" s="226">
        <f>SUM(C15:C33)</f>
        <v>1</v>
      </c>
      <c r="D34" s="234">
        <f>SUM(D15:D33)</f>
        <v>85562.69764399025</v>
      </c>
      <c r="E34" s="234">
        <f>SUM(E15:E33)</f>
        <v>6927.7870000000003</v>
      </c>
      <c r="F34" s="234">
        <f>SUM(F15:F33)</f>
        <v>92490.484643990261</v>
      </c>
      <c r="G34" s="18"/>
      <c r="H34" s="234">
        <f>SUM(H15:H33)</f>
        <v>3783.2677121955494</v>
      </c>
      <c r="I34" s="234"/>
    </row>
    <row r="38" spans="1:12" ht="18.75">
      <c r="A38" s="61" t="s">
        <v>215</v>
      </c>
      <c r="B38" s="274"/>
      <c r="F38"/>
      <c r="G38"/>
      <c r="H38"/>
      <c r="I38"/>
      <c r="J38"/>
      <c r="K38"/>
      <c r="L38"/>
    </row>
    <row r="39" spans="1:12" ht="13.5" thickBot="1">
      <c r="F39" s="391" t="s">
        <v>407</v>
      </c>
    </row>
    <row r="40" spans="1:12">
      <c r="F40" s="408"/>
      <c r="G40" s="405" t="s">
        <v>322</v>
      </c>
      <c r="H40" s="405">
        <v>2</v>
      </c>
      <c r="I40" s="405">
        <v>3</v>
      </c>
      <c r="J40" s="405">
        <v>4</v>
      </c>
      <c r="K40" s="516">
        <v>5</v>
      </c>
      <c r="L40" s="406">
        <v>6</v>
      </c>
    </row>
    <row r="41" spans="1:12" ht="13.5" thickBot="1">
      <c r="A41" s="223" t="s">
        <v>323</v>
      </c>
      <c r="B41" s="223" t="s">
        <v>325</v>
      </c>
      <c r="C41" s="223" t="s">
        <v>327</v>
      </c>
      <c r="D41" s="223" t="s">
        <v>214</v>
      </c>
      <c r="F41" s="409" t="s">
        <v>171</v>
      </c>
      <c r="G41" s="407" t="s">
        <v>332</v>
      </c>
      <c r="H41" s="518">
        <v>6</v>
      </c>
      <c r="I41" s="518">
        <v>6.5</v>
      </c>
      <c r="J41" s="518">
        <v>7</v>
      </c>
      <c r="K41" s="519">
        <v>7.5</v>
      </c>
      <c r="L41" s="520">
        <v>8</v>
      </c>
    </row>
    <row r="42" spans="1:12" ht="13.5" thickBot="1">
      <c r="A42" s="223" t="s">
        <v>324</v>
      </c>
      <c r="B42" s="223" t="s">
        <v>326</v>
      </c>
      <c r="C42" s="223" t="s">
        <v>328</v>
      </c>
      <c r="D42" s="223" t="s">
        <v>329</v>
      </c>
      <c r="F42" s="410">
        <v>1</v>
      </c>
      <c r="G42" s="397"/>
      <c r="H42" s="505">
        <v>0.17</v>
      </c>
      <c r="I42" s="505">
        <v>0.17</v>
      </c>
      <c r="J42" s="398">
        <v>0.17</v>
      </c>
      <c r="K42" s="398">
        <v>0.17</v>
      </c>
      <c r="L42" s="399">
        <v>0.17</v>
      </c>
    </row>
    <row r="43" spans="1:12">
      <c r="A43" s="414" t="s">
        <v>213</v>
      </c>
      <c r="B43" s="415">
        <v>3</v>
      </c>
      <c r="C43" s="416">
        <v>36737</v>
      </c>
      <c r="D43" s="417">
        <v>36829</v>
      </c>
      <c r="F43" s="411">
        <v>2</v>
      </c>
      <c r="G43" s="176"/>
      <c r="H43" s="506">
        <v>0.16</v>
      </c>
      <c r="I43" s="506">
        <v>0.16</v>
      </c>
      <c r="J43" s="400">
        <v>0.12</v>
      </c>
      <c r="K43" s="400">
        <v>0.12</v>
      </c>
      <c r="L43" s="401">
        <v>0.12</v>
      </c>
    </row>
    <row r="44" spans="1:12">
      <c r="A44" s="418" t="s">
        <v>212</v>
      </c>
      <c r="B44" s="412">
        <v>3</v>
      </c>
      <c r="C44" s="413">
        <v>36768</v>
      </c>
      <c r="D44" s="419">
        <v>36829</v>
      </c>
      <c r="F44" s="411">
        <v>3</v>
      </c>
      <c r="G44" s="176"/>
      <c r="H44" s="506">
        <v>0.16</v>
      </c>
      <c r="I44" s="506">
        <v>0.13</v>
      </c>
      <c r="J44" s="400">
        <v>0.12</v>
      </c>
      <c r="K44" s="400">
        <v>0.12</v>
      </c>
      <c r="L44" s="401">
        <v>0.12</v>
      </c>
    </row>
    <row r="45" spans="1:12">
      <c r="A45" s="418" t="s">
        <v>211</v>
      </c>
      <c r="B45" s="412">
        <v>2</v>
      </c>
      <c r="C45" s="413">
        <v>36799</v>
      </c>
      <c r="D45" s="419">
        <v>36829</v>
      </c>
      <c r="F45" s="411">
        <v>4</v>
      </c>
      <c r="G45" s="176"/>
      <c r="H45" s="506">
        <v>0.16</v>
      </c>
      <c r="I45" s="506">
        <v>0.16</v>
      </c>
      <c r="J45" s="400">
        <v>0.14000000000000001</v>
      </c>
      <c r="K45" s="400">
        <v>0.14000000000000001</v>
      </c>
      <c r="L45" s="401">
        <v>0.14000000000000001</v>
      </c>
    </row>
    <row r="46" spans="1:12">
      <c r="A46" s="418" t="s">
        <v>210</v>
      </c>
      <c r="B46" s="412">
        <v>3</v>
      </c>
      <c r="C46" s="413">
        <v>36829</v>
      </c>
      <c r="D46" s="419">
        <v>36829</v>
      </c>
      <c r="F46" s="411">
        <v>5</v>
      </c>
      <c r="G46" s="176"/>
      <c r="H46" s="506">
        <v>0.17</v>
      </c>
      <c r="I46" s="506">
        <v>0.16</v>
      </c>
      <c r="J46" s="400">
        <v>0.18</v>
      </c>
      <c r="K46" s="400">
        <v>0.13</v>
      </c>
      <c r="L46" s="401">
        <v>0.13</v>
      </c>
    </row>
    <row r="47" spans="1:12">
      <c r="A47" s="418" t="s">
        <v>209</v>
      </c>
      <c r="B47" s="412">
        <v>2</v>
      </c>
      <c r="C47" s="413">
        <v>36860</v>
      </c>
      <c r="D47" s="419">
        <v>36860</v>
      </c>
      <c r="F47" s="411">
        <v>6</v>
      </c>
      <c r="G47" s="176"/>
      <c r="H47" s="506">
        <v>0.18</v>
      </c>
      <c r="I47" s="506">
        <v>0.12</v>
      </c>
      <c r="J47" s="400">
        <v>0.12</v>
      </c>
      <c r="K47" s="400">
        <v>0.12</v>
      </c>
      <c r="L47" s="401">
        <v>0.12</v>
      </c>
    </row>
    <row r="48" spans="1:12">
      <c r="A48" s="420" t="s">
        <v>208</v>
      </c>
      <c r="B48" s="412">
        <v>2</v>
      </c>
      <c r="C48" s="413">
        <v>36890</v>
      </c>
      <c r="D48" s="419">
        <v>36890</v>
      </c>
      <c r="F48" s="411">
        <v>7</v>
      </c>
      <c r="G48" s="176"/>
      <c r="H48" s="506">
        <v>0</v>
      </c>
      <c r="I48" s="506">
        <v>0.1</v>
      </c>
      <c r="J48" s="400">
        <v>0.15</v>
      </c>
      <c r="K48" s="400">
        <v>0.1</v>
      </c>
      <c r="L48" s="401">
        <v>0.1</v>
      </c>
    </row>
    <row r="49" spans="1:12">
      <c r="A49" s="420" t="s">
        <v>207</v>
      </c>
      <c r="B49" s="412">
        <v>3</v>
      </c>
      <c r="C49" s="413">
        <v>36555</v>
      </c>
      <c r="D49" s="419">
        <v>36555</v>
      </c>
      <c r="F49" s="411">
        <v>8</v>
      </c>
      <c r="G49" s="176"/>
      <c r="H49" s="506">
        <v>0</v>
      </c>
      <c r="I49" s="506">
        <v>0</v>
      </c>
      <c r="J49" s="400">
        <v>0</v>
      </c>
      <c r="K49" s="400">
        <v>0.1</v>
      </c>
      <c r="L49" s="401">
        <v>0.1</v>
      </c>
    </row>
    <row r="50" spans="1:12">
      <c r="A50" s="420" t="s">
        <v>206</v>
      </c>
      <c r="B50" s="412">
        <v>2</v>
      </c>
      <c r="C50" s="413">
        <v>36950</v>
      </c>
      <c r="D50" s="419">
        <v>36950</v>
      </c>
      <c r="F50" s="411">
        <v>9</v>
      </c>
      <c r="G50" s="176"/>
      <c r="H50" s="506">
        <v>0</v>
      </c>
      <c r="I50" s="506">
        <v>0</v>
      </c>
      <c r="J50" s="400">
        <v>0</v>
      </c>
      <c r="K50" s="400">
        <v>0</v>
      </c>
      <c r="L50" s="401">
        <v>0</v>
      </c>
    </row>
    <row r="51" spans="1:12">
      <c r="A51" s="420" t="s">
        <v>205</v>
      </c>
      <c r="B51" s="412">
        <v>2</v>
      </c>
      <c r="C51" s="413">
        <v>36980</v>
      </c>
      <c r="D51" s="419">
        <v>36980</v>
      </c>
      <c r="F51" s="411">
        <v>10</v>
      </c>
      <c r="G51" s="176"/>
      <c r="H51" s="506">
        <v>0</v>
      </c>
      <c r="I51" s="506">
        <v>0</v>
      </c>
      <c r="J51" s="400">
        <v>0</v>
      </c>
      <c r="K51" s="400">
        <v>0</v>
      </c>
      <c r="L51" s="401">
        <v>0</v>
      </c>
    </row>
    <row r="52" spans="1:12" ht="13.5" thickBot="1">
      <c r="A52" s="421" t="s">
        <v>204</v>
      </c>
      <c r="B52" s="422">
        <v>2</v>
      </c>
      <c r="C52" s="423">
        <v>37011</v>
      </c>
      <c r="D52" s="424">
        <v>37011</v>
      </c>
      <c r="F52" s="411">
        <v>11</v>
      </c>
      <c r="G52" s="176"/>
      <c r="H52" s="506">
        <v>0</v>
      </c>
      <c r="I52" s="506">
        <v>0</v>
      </c>
      <c r="J52" s="400">
        <v>0</v>
      </c>
      <c r="K52" s="400">
        <v>0</v>
      </c>
      <c r="L52" s="401">
        <v>0</v>
      </c>
    </row>
    <row r="53" spans="1:12">
      <c r="F53" s="411">
        <v>12</v>
      </c>
      <c r="G53" s="176"/>
      <c r="H53" s="506">
        <v>0</v>
      </c>
      <c r="I53" s="506">
        <v>0</v>
      </c>
      <c r="J53" s="400">
        <v>0</v>
      </c>
      <c r="K53" s="400">
        <v>0</v>
      </c>
      <c r="L53" s="401">
        <v>0</v>
      </c>
    </row>
    <row r="54" spans="1:12" ht="13.5" thickBot="1">
      <c r="F54" s="411">
        <v>13</v>
      </c>
      <c r="G54" s="176"/>
      <c r="H54" s="506">
        <v>0</v>
      </c>
      <c r="I54" s="506">
        <v>0</v>
      </c>
      <c r="J54" s="400">
        <v>0</v>
      </c>
      <c r="K54" s="400">
        <v>0</v>
      </c>
      <c r="L54" s="401">
        <v>0</v>
      </c>
    </row>
    <row r="55" spans="1:12">
      <c r="A55" s="276" t="s">
        <v>330</v>
      </c>
      <c r="B55" s="38"/>
      <c r="C55" s="38"/>
      <c r="D55" s="275"/>
      <c r="F55" s="411">
        <v>14</v>
      </c>
      <c r="G55" s="176"/>
      <c r="H55" s="400">
        <v>0</v>
      </c>
      <c r="I55" s="400">
        <v>0</v>
      </c>
      <c r="J55" s="400">
        <v>0</v>
      </c>
      <c r="K55" s="400">
        <v>0</v>
      </c>
      <c r="L55" s="401">
        <v>0</v>
      </c>
    </row>
    <row r="56" spans="1:12" ht="13.5" thickBot="1">
      <c r="A56" s="41" t="s">
        <v>542</v>
      </c>
      <c r="B56" s="13"/>
      <c r="C56" s="13"/>
      <c r="D56" s="580">
        <v>13950</v>
      </c>
      <c r="F56" s="453">
        <v>15</v>
      </c>
      <c r="G56" s="402"/>
      <c r="H56" s="403">
        <v>0</v>
      </c>
      <c r="I56" s="403">
        <v>0</v>
      </c>
      <c r="J56" s="403">
        <v>0</v>
      </c>
      <c r="K56" s="403">
        <v>0</v>
      </c>
      <c r="L56" s="404">
        <v>0</v>
      </c>
    </row>
    <row r="57" spans="1:12" ht="13.5" thickBot="1">
      <c r="A57" s="41" t="s">
        <v>217</v>
      </c>
      <c r="B57" s="13"/>
      <c r="C57" s="13"/>
      <c r="D57" s="580">
        <v>289.6162739983738</v>
      </c>
      <c r="F57" s="427" t="s">
        <v>333</v>
      </c>
      <c r="G57" s="402"/>
      <c r="H57" s="403">
        <f>SUM(H42:H56)</f>
        <v>1</v>
      </c>
      <c r="I57" s="403">
        <f>SUM(I42:I56)</f>
        <v>1</v>
      </c>
      <c r="J57" s="403">
        <f>SUM(J42:J56)</f>
        <v>1</v>
      </c>
      <c r="K57" s="517">
        <f>SUM(K42:K56)</f>
        <v>1</v>
      </c>
      <c r="L57" s="404">
        <f>SUM(L42:L56)</f>
        <v>1</v>
      </c>
    </row>
    <row r="58" spans="1:12" ht="13.5" thickBot="1">
      <c r="A58" s="169" t="s">
        <v>216</v>
      </c>
      <c r="B58" s="42"/>
      <c r="C58" s="42"/>
      <c r="D58" s="581">
        <v>20.833333333333314</v>
      </c>
      <c r="E58" s="66"/>
    </row>
    <row r="59" spans="1:12" ht="13.5" thickBot="1">
      <c r="A59" s="277" t="s">
        <v>331</v>
      </c>
      <c r="B59" s="278"/>
      <c r="C59" s="278"/>
      <c r="D59" s="27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5" t="str">
        <f>Assumptions!A3</f>
        <v>PROJECT NAME: Homestead, Florida</v>
      </c>
    </row>
    <row r="4" spans="1:4" ht="18.75">
      <c r="A4" s="167" t="s">
        <v>118</v>
      </c>
    </row>
    <row r="6" spans="1:4" ht="13.5" thickBot="1"/>
    <row r="7" spans="1:4" ht="13.5" thickBot="1">
      <c r="A7" s="503"/>
      <c r="B7" s="459" t="s">
        <v>391</v>
      </c>
      <c r="C7" s="460" t="s">
        <v>0</v>
      </c>
      <c r="D7" s="461"/>
    </row>
    <row r="8" spans="1:4">
      <c r="A8" s="462"/>
      <c r="B8" s="282" t="s">
        <v>120</v>
      </c>
      <c r="C8" s="282" t="s">
        <v>2</v>
      </c>
      <c r="D8" s="463" t="s">
        <v>398</v>
      </c>
    </row>
    <row r="9" spans="1:4" ht="13.5" thickBot="1">
      <c r="A9" s="464" t="s">
        <v>117</v>
      </c>
      <c r="B9" s="465">
        <f>'CF &amp; Returns'!D40</f>
        <v>0.12526958584785464</v>
      </c>
      <c r="C9" s="466">
        <f>Debt!E69</f>
        <v>1.299999999999998</v>
      </c>
      <c r="D9" s="467">
        <f>Debt!E68</f>
        <v>1.3701765968105866</v>
      </c>
    </row>
    <row r="10" spans="1:4">
      <c r="A10" s="63"/>
      <c r="C10" s="468"/>
      <c r="D10" s="468"/>
    </row>
    <row r="11" spans="1:4" ht="13.5" thickBot="1"/>
    <row r="12" spans="1:4">
      <c r="A12" s="469" t="s">
        <v>359</v>
      </c>
      <c r="B12" s="470">
        <f>B9</f>
        <v>0.12526958584785464</v>
      </c>
      <c r="C12" s="471">
        <f>C9</f>
        <v>1.299999999999998</v>
      </c>
      <c r="D12" s="472">
        <f>D9</f>
        <v>1.3701765968105866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69"/>
      <c r="B18" s="42"/>
      <c r="C18" s="42"/>
      <c r="D18" s="80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5"/>
  <sheetViews>
    <sheetView tabSelected="1" topLeftCell="B34" zoomScale="75" zoomScaleNormal="75" workbookViewId="0">
      <selection activeCell="H10" sqref="H10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9.85546875" style="12" customWidth="1"/>
    <col min="6" max="6" width="35" style="12" customWidth="1"/>
    <col min="7" max="7" width="18" style="12" customWidth="1"/>
    <col min="8" max="8" width="18.28515625" style="12" customWidth="1"/>
    <col min="9" max="9" width="17.85546875" style="12" customWidth="1"/>
    <col min="10" max="10" width="22.28515625" style="12" customWidth="1"/>
    <col min="11" max="11" width="5" style="12" customWidth="1"/>
    <col min="12" max="12" width="34.7109375" style="12" customWidth="1"/>
    <col min="13" max="13" width="13.28515625" style="12" customWidth="1"/>
    <col min="14" max="22" width="12.85546875" style="12" customWidth="1"/>
    <col min="23" max="23" width="17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39" t="s">
        <v>82</v>
      </c>
      <c r="I1" s="79"/>
      <c r="AL1" s="79"/>
    </row>
    <row r="2" spans="1:38" ht="13.5" customHeight="1" thickBot="1">
      <c r="A2" s="239"/>
      <c r="I2" s="79"/>
      <c r="AL2" s="79"/>
    </row>
    <row r="3" spans="1:38" ht="19.5" customHeight="1">
      <c r="A3" s="582" t="s">
        <v>416</v>
      </c>
      <c r="I3" s="79"/>
      <c r="AL3" s="79"/>
    </row>
    <row r="4" spans="1:38" s="5" customFormat="1" ht="19.5" customHeight="1" thickBot="1">
      <c r="A4" s="583" t="s">
        <v>534</v>
      </c>
      <c r="I4" s="174"/>
      <c r="AL4" s="174"/>
    </row>
    <row r="5" spans="1:38" ht="19.5" customHeight="1">
      <c r="A5" s="167" t="s">
        <v>3</v>
      </c>
      <c r="C5" s="5"/>
      <c r="D5" s="5"/>
    </row>
    <row r="7" spans="1:38" ht="13.5" thickBot="1"/>
    <row r="8" spans="1:38" ht="15.75">
      <c r="A8" s="92" t="s">
        <v>4</v>
      </c>
      <c r="B8" s="38"/>
      <c r="C8" s="38"/>
      <c r="D8" s="181"/>
      <c r="E8" s="13"/>
      <c r="F8" s="91" t="s">
        <v>90</v>
      </c>
      <c r="G8" s="111"/>
      <c r="H8" s="112"/>
      <c r="I8" s="196"/>
      <c r="J8" s="39"/>
      <c r="L8" s="92" t="s">
        <v>190</v>
      </c>
      <c r="M8" s="117"/>
      <c r="N8" s="38"/>
      <c r="O8" s="38"/>
      <c r="P8" s="39"/>
      <c r="U8" s="324" t="s">
        <v>222</v>
      </c>
      <c r="V8" s="325" t="s">
        <v>227</v>
      </c>
      <c r="W8" s="325" t="s">
        <v>231</v>
      </c>
      <c r="X8" s="325" t="s">
        <v>119</v>
      </c>
      <c r="Y8" s="325" t="s">
        <v>246</v>
      </c>
      <c r="Z8" s="325" t="s">
        <v>247</v>
      </c>
      <c r="AA8" s="325" t="s">
        <v>248</v>
      </c>
      <c r="AB8" s="346" t="s">
        <v>306</v>
      </c>
    </row>
    <row r="9" spans="1:38" ht="15.75">
      <c r="A9" s="41"/>
      <c r="B9" s="13"/>
      <c r="C9" s="13"/>
      <c r="D9" s="40"/>
      <c r="E9" s="13"/>
      <c r="F9" s="114"/>
      <c r="G9" s="173"/>
      <c r="H9" s="173"/>
      <c r="I9" s="13"/>
      <c r="J9" s="40"/>
      <c r="L9" s="116" t="s">
        <v>294</v>
      </c>
      <c r="M9" s="13"/>
      <c r="N9" s="13"/>
      <c r="O9" s="13"/>
      <c r="P9" s="40"/>
      <c r="U9" s="314" t="s">
        <v>226</v>
      </c>
      <c r="V9" s="315" t="s">
        <v>228</v>
      </c>
      <c r="W9" s="315" t="s">
        <v>300</v>
      </c>
      <c r="X9" s="315" t="s">
        <v>242</v>
      </c>
      <c r="Y9" s="315" t="s">
        <v>251</v>
      </c>
      <c r="Z9" s="315" t="s">
        <v>249</v>
      </c>
      <c r="AA9" s="315" t="s">
        <v>249</v>
      </c>
      <c r="AB9" s="347" t="s">
        <v>309</v>
      </c>
    </row>
    <row r="10" spans="1:38" ht="15.75">
      <c r="A10" s="93" t="s">
        <v>6</v>
      </c>
      <c r="B10" s="94" t="s">
        <v>7</v>
      </c>
      <c r="C10" s="191" t="s">
        <v>8</v>
      </c>
      <c r="D10" s="332" t="s">
        <v>187</v>
      </c>
      <c r="E10" s="13"/>
      <c r="F10" s="114" t="s">
        <v>103</v>
      </c>
      <c r="G10" s="13"/>
      <c r="H10" s="273" t="s">
        <v>112</v>
      </c>
      <c r="I10" s="565"/>
      <c r="J10" s="563"/>
      <c r="L10" s="41"/>
      <c r="M10" s="13"/>
      <c r="N10" s="13"/>
      <c r="O10" s="13"/>
      <c r="P10" s="40"/>
      <c r="U10" s="280" t="s">
        <v>223</v>
      </c>
      <c r="V10" s="200" t="s">
        <v>229</v>
      </c>
      <c r="W10" s="200" t="s">
        <v>301</v>
      </c>
      <c r="X10" s="200" t="s">
        <v>241</v>
      </c>
      <c r="Y10" s="200" t="s">
        <v>315</v>
      </c>
      <c r="Z10" s="200" t="s">
        <v>250</v>
      </c>
      <c r="AA10" s="200" t="s">
        <v>250</v>
      </c>
      <c r="AB10" s="348" t="s">
        <v>307</v>
      </c>
    </row>
    <row r="11" spans="1:38" ht="15.75">
      <c r="A11" s="96" t="s">
        <v>9</v>
      </c>
      <c r="B11" s="260">
        <f>C11/$C$14</f>
        <v>0.30000000000000004</v>
      </c>
      <c r="C11" s="536">
        <f>C60-C12</f>
        <v>45758.106046855741</v>
      </c>
      <c r="D11" s="333">
        <f>C11/$H$68</f>
        <v>167.61211006174264</v>
      </c>
      <c r="E11" s="13"/>
      <c r="F11" s="114" t="s">
        <v>202</v>
      </c>
      <c r="G11" s="13"/>
      <c r="H11" s="273">
        <v>14260.449607331708</v>
      </c>
      <c r="I11" s="566"/>
      <c r="J11" s="349"/>
      <c r="L11" s="116" t="s">
        <v>125</v>
      </c>
      <c r="M11" s="13"/>
      <c r="N11" s="252">
        <v>0.02</v>
      </c>
      <c r="O11" s="215"/>
      <c r="P11" s="40"/>
      <c r="U11" s="280" t="s">
        <v>37</v>
      </c>
      <c r="V11" s="200" t="s">
        <v>226</v>
      </c>
      <c r="W11" s="200"/>
      <c r="X11" s="200" t="s">
        <v>302</v>
      </c>
      <c r="Y11" s="200"/>
      <c r="Z11" s="200"/>
      <c r="AA11" s="200"/>
      <c r="AB11" s="348" t="s">
        <v>308</v>
      </c>
    </row>
    <row r="12" spans="1:38" ht="15.75">
      <c r="A12" s="96" t="s">
        <v>85</v>
      </c>
      <c r="B12" s="551">
        <v>0.7</v>
      </c>
      <c r="C12" s="536">
        <f>B12*C60</f>
        <v>106768.91410933004</v>
      </c>
      <c r="D12" s="333">
        <f>C12/$H$68</f>
        <v>391.09492347739945</v>
      </c>
      <c r="E12" s="13"/>
      <c r="F12" s="114" t="s">
        <v>11</v>
      </c>
      <c r="G12" s="173"/>
      <c r="H12" s="242">
        <v>6</v>
      </c>
      <c r="I12" s="154"/>
      <c r="J12" s="564"/>
      <c r="L12" s="99"/>
      <c r="M12" s="13"/>
      <c r="N12" s="13"/>
      <c r="O12" s="215"/>
      <c r="P12" s="40"/>
      <c r="U12" s="326"/>
      <c r="V12" s="200" t="s">
        <v>37</v>
      </c>
      <c r="W12" s="13"/>
      <c r="X12" s="200" t="s">
        <v>245</v>
      </c>
      <c r="Y12" s="13"/>
      <c r="Z12" s="13"/>
      <c r="AA12" s="13"/>
      <c r="AB12" s="320"/>
    </row>
    <row r="13" spans="1:38" ht="15.75">
      <c r="A13" s="97"/>
      <c r="B13" s="240"/>
      <c r="C13" s="192"/>
      <c r="D13" s="333"/>
      <c r="E13" s="13"/>
      <c r="F13" s="114" t="s">
        <v>254</v>
      </c>
      <c r="G13" s="173"/>
      <c r="H13" s="243">
        <v>45.5</v>
      </c>
      <c r="I13" s="151"/>
      <c r="J13" s="564"/>
      <c r="L13" s="116" t="s">
        <v>87</v>
      </c>
      <c r="M13" s="13"/>
      <c r="N13" s="95"/>
      <c r="O13" s="215"/>
      <c r="P13" s="40"/>
      <c r="U13" s="314">
        <v>1</v>
      </c>
      <c r="V13" s="315">
        <v>1</v>
      </c>
      <c r="W13" s="315">
        <v>1</v>
      </c>
      <c r="X13" s="315">
        <v>1</v>
      </c>
      <c r="Y13" s="315">
        <v>2</v>
      </c>
      <c r="Z13" s="315">
        <v>1</v>
      </c>
      <c r="AA13" s="315">
        <f>IF(C30&gt;0,1,2)</f>
        <v>1</v>
      </c>
      <c r="AB13" s="347">
        <v>1</v>
      </c>
    </row>
    <row r="14" spans="1:38" ht="15.75">
      <c r="A14" s="98" t="s">
        <v>10</v>
      </c>
      <c r="B14" s="146">
        <f>C14/$C$14</f>
        <v>1</v>
      </c>
      <c r="C14" s="193">
        <f>SUM(C11:C12)</f>
        <v>152527.02015618578</v>
      </c>
      <c r="D14" s="435">
        <f>C14/$H$68</f>
        <v>558.70703353914212</v>
      </c>
      <c r="E14" s="13"/>
      <c r="F14" s="114" t="s">
        <v>361</v>
      </c>
      <c r="G14" s="173"/>
      <c r="H14" s="242">
        <v>10300</v>
      </c>
      <c r="I14" s="154"/>
      <c r="J14" s="564"/>
      <c r="L14" s="41"/>
      <c r="M14" s="13"/>
      <c r="N14" s="199" t="s">
        <v>405</v>
      </c>
      <c r="O14" s="568"/>
      <c r="P14" s="40"/>
      <c r="U14" s="281" t="str">
        <f>CHOOSE(U13,U9,U10,U11)</f>
        <v>Index</v>
      </c>
      <c r="V14" s="282" t="str">
        <f>CHOOSE(V13,V9,V10,V11,V12)</f>
        <v>Base</v>
      </c>
      <c r="W14" s="282" t="str">
        <f>CHOOSE(W13,W9,W10,W11,W12)</f>
        <v>Pass-through</v>
      </c>
      <c r="X14" s="282" t="str">
        <f>CHOOSE(X13,X9,X10,X11,X12)</f>
        <v>EBITDA Exit Multiple</v>
      </c>
      <c r="Y14" s="282">
        <f>IF(Y13=1,1,2)</f>
        <v>2</v>
      </c>
      <c r="Z14" s="282">
        <f>IF(C33&gt;0,10,20)</f>
        <v>10</v>
      </c>
      <c r="AA14" s="282" t="str">
        <f>CHOOSE(AA13,AA9,AA10,AA11,AA12)</f>
        <v>Yes</v>
      </c>
      <c r="AB14" s="316" t="str">
        <f>CHOOSE(AB13,AB9,AB10,AB11,AB12)</f>
        <v>Bank LT Debt</v>
      </c>
    </row>
    <row r="15" spans="1:38" ht="15.75">
      <c r="A15" s="41"/>
      <c r="B15" s="13"/>
      <c r="C15" s="13"/>
      <c r="D15" s="335"/>
      <c r="E15" s="13"/>
      <c r="F15" s="114" t="s">
        <v>362</v>
      </c>
      <c r="G15" s="173"/>
      <c r="H15" s="242">
        <v>10500</v>
      </c>
      <c r="I15" s="154"/>
      <c r="J15" s="564"/>
      <c r="L15" s="99" t="s">
        <v>514</v>
      </c>
      <c r="M15" s="13"/>
      <c r="N15" s="569">
        <v>0.57999999999999996</v>
      </c>
      <c r="O15" s="216"/>
      <c r="P15" s="40"/>
    </row>
    <row r="16" spans="1:38" ht="15.75">
      <c r="A16" s="41"/>
      <c r="B16" s="13"/>
      <c r="C16" s="13"/>
      <c r="D16" s="335"/>
      <c r="E16" s="13"/>
      <c r="F16" s="114" t="s">
        <v>182</v>
      </c>
      <c r="G16" s="13"/>
      <c r="H16" s="512">
        <v>7</v>
      </c>
      <c r="I16" s="13"/>
      <c r="J16" s="40"/>
      <c r="L16" s="102" t="s">
        <v>517</v>
      </c>
      <c r="M16" s="13"/>
      <c r="N16" s="570">
        <v>0.54</v>
      </c>
      <c r="O16" s="285"/>
      <c r="P16" s="40"/>
      <c r="U16" s="318"/>
      <c r="V16" s="57" t="s">
        <v>255</v>
      </c>
      <c r="W16" s="319" t="s">
        <v>256</v>
      </c>
    </row>
    <row r="17" spans="1:23" ht="15.75">
      <c r="A17" s="93" t="s">
        <v>102</v>
      </c>
      <c r="B17" s="94"/>
      <c r="C17" s="194"/>
      <c r="D17" s="333"/>
      <c r="E17" s="13"/>
      <c r="F17" s="114" t="s">
        <v>105</v>
      </c>
      <c r="G17" s="173"/>
      <c r="H17" s="245">
        <v>37012</v>
      </c>
      <c r="I17" s="339"/>
      <c r="J17" s="567"/>
      <c r="L17" s="114" t="s">
        <v>232</v>
      </c>
      <c r="M17" s="6"/>
      <c r="N17" s="571">
        <f>SUM(N15:N16)</f>
        <v>1.1200000000000001</v>
      </c>
      <c r="O17" s="217"/>
      <c r="P17" s="40"/>
      <c r="U17" s="55" t="s">
        <v>251</v>
      </c>
      <c r="V17" s="13">
        <v>11</v>
      </c>
      <c r="W17" s="320">
        <v>21</v>
      </c>
    </row>
    <row r="18" spans="1:23" ht="15.75">
      <c r="A18" s="182"/>
      <c r="B18" s="164"/>
      <c r="C18" s="13"/>
      <c r="D18" s="335"/>
      <c r="E18" s="13"/>
      <c r="F18" s="99" t="s">
        <v>128</v>
      </c>
      <c r="G18" s="95"/>
      <c r="H18" s="549">
        <v>8</v>
      </c>
      <c r="I18" s="108"/>
      <c r="J18" s="40"/>
      <c r="L18" s="41"/>
      <c r="M18" s="13"/>
      <c r="N18" s="13"/>
      <c r="O18" s="13"/>
      <c r="P18" s="185" t="s">
        <v>409</v>
      </c>
      <c r="U18" s="321" t="s">
        <v>252</v>
      </c>
      <c r="V18" s="58">
        <v>12</v>
      </c>
      <c r="W18" s="283">
        <v>22</v>
      </c>
    </row>
    <row r="19" spans="1:23" ht="15.75">
      <c r="A19" s="96" t="s">
        <v>400</v>
      </c>
      <c r="B19" s="13"/>
      <c r="C19" s="13"/>
      <c r="D19" s="335"/>
      <c r="E19" s="13"/>
      <c r="F19" s="114" t="s">
        <v>104</v>
      </c>
      <c r="G19" s="13"/>
      <c r="H19" s="242">
        <v>30</v>
      </c>
      <c r="I19" s="108"/>
      <c r="J19" s="40"/>
      <c r="L19" s="99" t="s">
        <v>515</v>
      </c>
      <c r="M19" s="13"/>
      <c r="N19" s="244">
        <v>750</v>
      </c>
      <c r="O19" s="262">
        <f t="shared" ref="O19:O25" si="0">N19/$H$68</f>
        <v>2.7472527472527473</v>
      </c>
      <c r="P19" s="40"/>
    </row>
    <row r="20" spans="1:23" ht="15.75">
      <c r="A20" s="99" t="s">
        <v>545</v>
      </c>
      <c r="B20" s="165">
        <f t="shared" ref="B20:B33" si="1">C20/$C$60</f>
        <v>0.56096747682066495</v>
      </c>
      <c r="C20" s="533">
        <f>(H11*H12)</f>
        <v>85562.69764399025</v>
      </c>
      <c r="D20" s="333">
        <f t="shared" ref="D20:D26" si="2">C20/$H$68</f>
        <v>313.41647488641115</v>
      </c>
      <c r="E20" s="13"/>
      <c r="F20" s="114" t="s">
        <v>288</v>
      </c>
      <c r="G20" s="13"/>
      <c r="H20" s="323" t="s">
        <v>421</v>
      </c>
      <c r="I20" s="108"/>
      <c r="J20" s="40"/>
      <c r="L20" s="99" t="s">
        <v>518</v>
      </c>
      <c r="M20" s="13"/>
      <c r="N20" s="244">
        <v>250</v>
      </c>
      <c r="O20" s="262">
        <f t="shared" si="0"/>
        <v>0.91575091575091572</v>
      </c>
      <c r="P20" s="40"/>
    </row>
    <row r="21" spans="1:23" ht="15.75">
      <c r="A21" s="99" t="s">
        <v>243</v>
      </c>
      <c r="B21" s="165">
        <f t="shared" si="1"/>
        <v>0</v>
      </c>
      <c r="C21" s="533">
        <v>0</v>
      </c>
      <c r="D21" s="333">
        <f t="shared" si="2"/>
        <v>0</v>
      </c>
      <c r="E21" s="13"/>
      <c r="F21" s="41"/>
      <c r="G21" s="13"/>
      <c r="H21" s="13"/>
      <c r="I21" s="13"/>
      <c r="J21" s="40"/>
      <c r="L21" s="99" t="s">
        <v>36</v>
      </c>
      <c r="M21" s="13"/>
      <c r="N21" s="244">
        <v>0</v>
      </c>
      <c r="O21" s="262">
        <f t="shared" si="0"/>
        <v>0</v>
      </c>
      <c r="P21" s="40"/>
    </row>
    <row r="22" spans="1:23" ht="15.75">
      <c r="A22" s="99" t="s">
        <v>422</v>
      </c>
      <c r="B22" s="165">
        <f t="shared" si="1"/>
        <v>3.9337292460418323E-3</v>
      </c>
      <c r="C22" s="532">
        <f>'Cost Details'!D29</f>
        <v>600</v>
      </c>
      <c r="D22" s="333">
        <f t="shared" si="2"/>
        <v>2.197802197802198</v>
      </c>
      <c r="E22" s="13"/>
      <c r="F22" s="113" t="s">
        <v>410</v>
      </c>
      <c r="G22" s="13"/>
      <c r="H22" s="313"/>
      <c r="I22" s="13"/>
      <c r="J22" s="40"/>
      <c r="L22" s="99" t="s">
        <v>337</v>
      </c>
      <c r="M22" s="13"/>
      <c r="N22" s="244">
        <v>0</v>
      </c>
      <c r="O22" s="262">
        <f t="shared" si="0"/>
        <v>0</v>
      </c>
      <c r="P22" s="40"/>
    </row>
    <row r="23" spans="1:23" ht="15.75">
      <c r="A23" s="99" t="s">
        <v>507</v>
      </c>
      <c r="B23" s="165">
        <f t="shared" si="1"/>
        <v>1.2374535331951503E-2</v>
      </c>
      <c r="C23" s="538">
        <f>'Cost Details'!D12</f>
        <v>1887.451</v>
      </c>
      <c r="D23" s="333">
        <f t="shared" si="2"/>
        <v>6.9137399267399271</v>
      </c>
      <c r="E23" s="13"/>
      <c r="F23" s="312" t="s">
        <v>242</v>
      </c>
      <c r="G23" s="173"/>
      <c r="H23" s="311">
        <v>5</v>
      </c>
      <c r="I23" s="344"/>
      <c r="J23" s="40"/>
      <c r="L23" s="99" t="s">
        <v>517</v>
      </c>
      <c r="M23" s="13"/>
      <c r="N23" s="244">
        <v>600</v>
      </c>
      <c r="O23" s="262">
        <f t="shared" si="0"/>
        <v>2.197802197802198</v>
      </c>
      <c r="P23" s="40"/>
    </row>
    <row r="24" spans="1:23" ht="15.75">
      <c r="A24" s="99" t="s">
        <v>508</v>
      </c>
      <c r="B24" s="165">
        <f t="shared" si="1"/>
        <v>1.7147807629898992E-2</v>
      </c>
      <c r="C24" s="538">
        <f>'Cost Details'!D21</f>
        <v>2615.5039999999999</v>
      </c>
      <c r="D24" s="333">
        <f t="shared" si="2"/>
        <v>9.5806007326007325</v>
      </c>
      <c r="E24" s="13"/>
      <c r="F24" s="312" t="s">
        <v>360</v>
      </c>
      <c r="G24" s="13"/>
      <c r="H24" s="343">
        <v>0.1</v>
      </c>
      <c r="I24" s="108"/>
      <c r="J24" s="40"/>
      <c r="L24" s="99" t="s">
        <v>516</v>
      </c>
      <c r="M24" s="13"/>
      <c r="N24" s="244">
        <v>75</v>
      </c>
      <c r="O24" s="262">
        <f t="shared" si="0"/>
        <v>0.27472527472527475</v>
      </c>
      <c r="P24" s="40"/>
    </row>
    <row r="25" spans="1:23" ht="16.5" thickBot="1">
      <c r="A25" s="99" t="s">
        <v>510</v>
      </c>
      <c r="B25" s="165">
        <f t="shared" si="1"/>
        <v>0.13057889008521528</v>
      </c>
      <c r="C25" s="532">
        <f>'Cost Details'!D67</f>
        <v>19916.809000000001</v>
      </c>
      <c r="D25" s="333">
        <f t="shared" si="2"/>
        <v>72.955344322344331</v>
      </c>
      <c r="E25" s="13"/>
      <c r="F25" s="241" t="s">
        <v>187</v>
      </c>
      <c r="G25" s="42"/>
      <c r="H25" s="342">
        <v>200</v>
      </c>
      <c r="I25" s="42"/>
      <c r="J25" s="80"/>
      <c r="L25" s="102" t="s">
        <v>412</v>
      </c>
      <c r="M25" s="212"/>
      <c r="N25" s="284">
        <v>150</v>
      </c>
      <c r="O25" s="286">
        <f t="shared" si="0"/>
        <v>0.5494505494505495</v>
      </c>
      <c r="P25" s="40"/>
    </row>
    <row r="26" spans="1:23" ht="16.5" thickBot="1">
      <c r="A26" s="99" t="s">
        <v>511</v>
      </c>
      <c r="B26" s="165">
        <f t="shared" si="1"/>
        <v>4.5420063887080676E-2</v>
      </c>
      <c r="C26" s="532">
        <f>'Cost Details'!D86</f>
        <v>6927.7870000000003</v>
      </c>
      <c r="D26" s="333">
        <f t="shared" si="2"/>
        <v>25.376509157509158</v>
      </c>
      <c r="E26" s="13"/>
      <c r="L26" s="114" t="s">
        <v>233</v>
      </c>
      <c r="M26" s="6"/>
      <c r="N26" s="265">
        <f>SUM(N19:N25)</f>
        <v>1825</v>
      </c>
      <c r="O26" s="287">
        <f>SUM(O19:O25)</f>
        <v>6.6849816849816852</v>
      </c>
      <c r="P26" s="349"/>
    </row>
    <row r="27" spans="1:23" ht="15.75">
      <c r="A27" s="99" t="s">
        <v>107</v>
      </c>
      <c r="B27" s="165">
        <f t="shared" si="1"/>
        <v>0</v>
      </c>
      <c r="C27" s="532">
        <f>'Cost Details'!D32</f>
        <v>0</v>
      </c>
      <c r="D27" s="333">
        <f t="shared" ref="D27:D33" si="3">C27/$H$68</f>
        <v>0</v>
      </c>
      <c r="E27" s="13"/>
      <c r="F27" s="92" t="s">
        <v>111</v>
      </c>
      <c r="G27" s="38"/>
      <c r="H27" s="38"/>
      <c r="I27" s="82"/>
      <c r="J27" s="39"/>
      <c r="L27" s="41"/>
      <c r="M27" s="13"/>
      <c r="N27" s="13"/>
      <c r="O27" s="13"/>
      <c r="P27" s="40"/>
      <c r="R27" s="3"/>
    </row>
    <row r="28" spans="1:23" ht="15.75">
      <c r="A28" s="99" t="s">
        <v>108</v>
      </c>
      <c r="B28" s="165">
        <f t="shared" si="1"/>
        <v>1.1014441888917129E-2</v>
      </c>
      <c r="C28" s="532">
        <f>'Cost Details'!D31</f>
        <v>1680</v>
      </c>
      <c r="D28" s="333">
        <f t="shared" si="3"/>
        <v>6.1538461538461542</v>
      </c>
      <c r="E28" s="13"/>
      <c r="F28" s="340" t="s">
        <v>109</v>
      </c>
      <c r="G28" s="341"/>
      <c r="H28" s="341" t="s">
        <v>305</v>
      </c>
      <c r="I28" s="176"/>
      <c r="J28" s="317"/>
      <c r="L28" s="116" t="s">
        <v>88</v>
      </c>
      <c r="M28" s="13"/>
      <c r="N28" s="158"/>
      <c r="O28" s="217"/>
      <c r="P28" s="40"/>
      <c r="R28" s="3"/>
    </row>
    <row r="29" spans="1:23" ht="15.75">
      <c r="A29" s="99" t="s">
        <v>509</v>
      </c>
      <c r="B29" s="165">
        <f t="shared" si="1"/>
        <v>4.6761747477243572E-3</v>
      </c>
      <c r="C29" s="532">
        <f>'Cost Details'!D24</f>
        <v>713.24300000000005</v>
      </c>
      <c r="D29" s="333">
        <f t="shared" si="3"/>
        <v>2.6126117216117217</v>
      </c>
      <c r="E29" s="13"/>
      <c r="F29" s="312" t="s">
        <v>83</v>
      </c>
      <c r="G29" s="245">
        <v>36770</v>
      </c>
      <c r="H29" s="339"/>
      <c r="I29" s="176"/>
      <c r="J29" s="317"/>
      <c r="L29" s="99" t="s">
        <v>222</v>
      </c>
      <c r="M29" s="13"/>
      <c r="N29" s="265">
        <f>IS!C16</f>
        <v>0</v>
      </c>
      <c r="O29" s="217">
        <f>N29/$H$68</f>
        <v>0</v>
      </c>
      <c r="P29" s="40"/>
      <c r="R29" s="328"/>
    </row>
    <row r="30" spans="1:23" ht="15.75">
      <c r="A30" s="99" t="s">
        <v>512</v>
      </c>
      <c r="B30" s="165">
        <f t="shared" si="1"/>
        <v>5.4729319378639008E-2</v>
      </c>
      <c r="C30" s="532">
        <f>'Cost Details'!D108</f>
        <v>8347.7000000000007</v>
      </c>
      <c r="D30" s="333">
        <f t="shared" si="3"/>
        <v>30.577655677655681</v>
      </c>
      <c r="E30" s="13"/>
      <c r="F30" s="312" t="s">
        <v>121</v>
      </c>
      <c r="G30" s="245">
        <v>36571</v>
      </c>
      <c r="H30" s="339"/>
      <c r="I30" s="176"/>
      <c r="J30" s="317"/>
      <c r="L30" s="99" t="s">
        <v>201</v>
      </c>
      <c r="M30" s="13"/>
      <c r="N30" s="244">
        <f>(C34*0.7)*0.025</f>
        <v>2351.0082862698287</v>
      </c>
      <c r="O30" s="217">
        <f>N30/$H$68</f>
        <v>8.611751964358346</v>
      </c>
      <c r="P30" s="511">
        <v>0</v>
      </c>
      <c r="R30" s="3"/>
    </row>
    <row r="31" spans="1:23" ht="15.75">
      <c r="A31" s="99" t="s">
        <v>536</v>
      </c>
      <c r="B31" s="165">
        <f t="shared" si="1"/>
        <v>6.8702319033504189E-3</v>
      </c>
      <c r="C31" s="532">
        <f>'Cost Details'!D94</f>
        <v>1047.896</v>
      </c>
      <c r="D31" s="333">
        <f t="shared" si="3"/>
        <v>3.8384468864468864</v>
      </c>
      <c r="E31" s="13"/>
      <c r="F31" s="41"/>
      <c r="G31" s="13"/>
      <c r="H31" s="6"/>
      <c r="I31" s="176"/>
      <c r="J31" s="317"/>
      <c r="L31" s="99" t="s">
        <v>191</v>
      </c>
      <c r="M31" s="13"/>
      <c r="N31" s="265">
        <f>IS!C24/IS!C6</f>
        <v>0</v>
      </c>
      <c r="O31" s="217">
        <f>N31/$H$68</f>
        <v>0</v>
      </c>
      <c r="P31" s="40"/>
      <c r="R31" s="3"/>
    </row>
    <row r="32" spans="1:23" ht="15.75">
      <c r="A32" s="99" t="s">
        <v>540</v>
      </c>
      <c r="B32" s="165">
        <f t="shared" si="1"/>
        <v>0</v>
      </c>
      <c r="C32" s="532">
        <v>0</v>
      </c>
      <c r="D32" s="333">
        <f t="shared" si="3"/>
        <v>0</v>
      </c>
      <c r="E32" s="13"/>
      <c r="F32" s="103" t="s">
        <v>14</v>
      </c>
      <c r="G32" s="104">
        <f>Debt!B19</f>
        <v>84092.230613083506</v>
      </c>
      <c r="H32" s="104"/>
      <c r="I32" s="176"/>
      <c r="J32" s="317"/>
      <c r="L32" s="99" t="s">
        <v>195</v>
      </c>
      <c r="M32" s="13"/>
      <c r="N32" s="265">
        <f>IS!C25/IS!C6</f>
        <v>0</v>
      </c>
      <c r="O32" s="217">
        <f>N32/$H$68</f>
        <v>0</v>
      </c>
      <c r="P32" s="40"/>
      <c r="Q32" s="66"/>
      <c r="R32" s="3"/>
    </row>
    <row r="33" spans="1:18" ht="16.5" thickBot="1">
      <c r="A33" s="99" t="s">
        <v>469</v>
      </c>
      <c r="B33" s="180">
        <f t="shared" si="1"/>
        <v>3.3071143688736315E-2</v>
      </c>
      <c r="C33" s="534">
        <f>'Cost Details'!D69</f>
        <v>5044.2430000000004</v>
      </c>
      <c r="D33" s="334">
        <f t="shared" si="3"/>
        <v>18.477080586080586</v>
      </c>
      <c r="E33" s="13"/>
      <c r="F33" s="103" t="s">
        <v>15</v>
      </c>
      <c r="G33" s="246">
        <f>'Revised Debt'!C9</f>
        <v>30</v>
      </c>
      <c r="H33" s="104"/>
      <c r="I33" s="176"/>
      <c r="J33" s="317"/>
      <c r="L33" s="101" t="s">
        <v>406</v>
      </c>
      <c r="M33" s="42"/>
      <c r="N33" s="268">
        <f>IS!C26/IS!C6</f>
        <v>0</v>
      </c>
      <c r="O33" s="218">
        <f>N33/$H$68</f>
        <v>0</v>
      </c>
      <c r="P33" s="80"/>
      <c r="R33" s="3"/>
    </row>
    <row r="34" spans="1:18" ht="16.5" thickBot="1">
      <c r="A34" s="99" t="s">
        <v>106</v>
      </c>
      <c r="B34" s="165">
        <f>SUM(B20:B33)</f>
        <v>0.88078381460822042</v>
      </c>
      <c r="C34" s="533">
        <f>SUM(C20:C33)</f>
        <v>134343.33064399022</v>
      </c>
      <c r="D34" s="333">
        <f>SUM(D20:D33)</f>
        <v>492.10011224904849</v>
      </c>
      <c r="E34" s="13"/>
      <c r="F34" s="103" t="s">
        <v>16</v>
      </c>
      <c r="G34" s="339">
        <v>44287</v>
      </c>
      <c r="H34" s="339"/>
      <c r="I34" s="176"/>
      <c r="J34" s="317"/>
      <c r="N34" s="195"/>
      <c r="R34" s="3"/>
    </row>
    <row r="35" spans="1:18" ht="15.75">
      <c r="A35" s="41"/>
      <c r="B35" s="13"/>
      <c r="C35" s="13"/>
      <c r="D35" s="40"/>
      <c r="E35" s="13"/>
      <c r="F35" s="103" t="s">
        <v>17</v>
      </c>
      <c r="G35" s="119">
        <f>Debt!E66</f>
        <v>8.4232674368064</v>
      </c>
      <c r="H35" s="368" t="str">
        <f>IF(H32,Debt!#REF!," ")</f>
        <v xml:space="preserve"> </v>
      </c>
      <c r="I35" s="176"/>
      <c r="J35" s="317"/>
      <c r="L35" s="91" t="s">
        <v>22</v>
      </c>
      <c r="M35" s="112"/>
      <c r="N35" s="253"/>
      <c r="O35" s="117"/>
      <c r="P35" s="39"/>
      <c r="R35" s="5"/>
    </row>
    <row r="36" spans="1:18" ht="15.75">
      <c r="A36" s="41"/>
      <c r="B36" s="13"/>
      <c r="C36" s="13"/>
      <c r="D36" s="40"/>
      <c r="E36" s="13"/>
      <c r="F36" s="103"/>
      <c r="G36" s="13"/>
      <c r="H36" s="13"/>
      <c r="I36" s="176"/>
      <c r="J36" s="317"/>
      <c r="L36" s="41"/>
      <c r="M36" s="166"/>
      <c r="N36" s="13"/>
      <c r="O36" s="13"/>
      <c r="P36" s="40"/>
      <c r="R36" s="5"/>
    </row>
    <row r="37" spans="1:18" ht="15.75">
      <c r="A37" s="96" t="s">
        <v>363</v>
      </c>
      <c r="B37" s="13"/>
      <c r="C37" s="535"/>
      <c r="D37" s="336"/>
      <c r="E37" s="13"/>
      <c r="F37" s="99" t="s">
        <v>18</v>
      </c>
      <c r="G37" s="247">
        <v>0.06</v>
      </c>
      <c r="H37" s="247">
        <f>G37</f>
        <v>0.06</v>
      </c>
      <c r="I37" s="176"/>
      <c r="J37" s="317"/>
      <c r="L37" s="99"/>
      <c r="M37" s="13"/>
      <c r="N37" s="145" t="s">
        <v>23</v>
      </c>
      <c r="O37" s="145" t="s">
        <v>24</v>
      </c>
      <c r="P37" s="168" t="s">
        <v>25</v>
      </c>
      <c r="R37" s="13"/>
    </row>
    <row r="38" spans="1:18" ht="15.75">
      <c r="A38" s="99" t="s">
        <v>503</v>
      </c>
      <c r="B38" s="165">
        <f t="shared" ref="B38:B51" si="4">C38/$C$60</f>
        <v>1.7684040488288595E-2</v>
      </c>
      <c r="C38" s="532">
        <f>'Cost Details'!D113</f>
        <v>2697.2939999999999</v>
      </c>
      <c r="D38" s="333">
        <f t="shared" ref="D38:D52" si="5">C38/$H$68</f>
        <v>9.8801978021978023</v>
      </c>
      <c r="E38" s="13"/>
      <c r="F38" s="99" t="s">
        <v>19</v>
      </c>
      <c r="G38" s="248">
        <v>0.01</v>
      </c>
      <c r="H38" s="248">
        <f>G38</f>
        <v>0.01</v>
      </c>
      <c r="I38" s="176"/>
      <c r="J38" s="317"/>
      <c r="L38" s="113" t="s">
        <v>26</v>
      </c>
      <c r="M38" s="13"/>
      <c r="N38" s="254"/>
      <c r="O38" s="254"/>
      <c r="P38" s="100"/>
      <c r="R38" s="13"/>
    </row>
    <row r="39" spans="1:18" ht="15.75">
      <c r="A39" s="96" t="s">
        <v>415</v>
      </c>
      <c r="B39" s="165">
        <f t="shared" si="4"/>
        <v>0</v>
      </c>
      <c r="C39" s="532">
        <v>0</v>
      </c>
      <c r="D39" s="333">
        <f t="shared" si="5"/>
        <v>0</v>
      </c>
      <c r="E39" s="13"/>
      <c r="F39" s="103" t="s">
        <v>310</v>
      </c>
      <c r="G39" s="105">
        <f>'Revised Debt'!C8</f>
        <v>7.0000000000000007E-2</v>
      </c>
      <c r="H39" s="105">
        <f>SUM(H37:H38)</f>
        <v>6.9999999999999993E-2</v>
      </c>
      <c r="I39" s="176"/>
      <c r="J39" s="317"/>
      <c r="L39" s="114" t="s">
        <v>27</v>
      </c>
      <c r="M39" s="13"/>
      <c r="N39" s="263">
        <v>15</v>
      </c>
      <c r="O39" s="255" t="s">
        <v>28</v>
      </c>
      <c r="P39" s="186">
        <v>0</v>
      </c>
      <c r="R39" s="3"/>
    </row>
    <row r="40" spans="1:18" ht="15.75">
      <c r="A40" s="96" t="s">
        <v>546</v>
      </c>
      <c r="B40" s="165">
        <f t="shared" si="4"/>
        <v>2.8683442419055022E-4</v>
      </c>
      <c r="C40" s="532">
        <f>'Cost Details'!D96</f>
        <v>43.75</v>
      </c>
      <c r="D40" s="333">
        <f t="shared" si="5"/>
        <v>0.16025641025641027</v>
      </c>
      <c r="E40" s="13"/>
      <c r="F40" s="99"/>
      <c r="G40" s="95"/>
      <c r="H40" s="95"/>
      <c r="I40" s="95"/>
      <c r="J40" s="184"/>
      <c r="L40" s="114" t="s">
        <v>238</v>
      </c>
      <c r="M40" s="13"/>
      <c r="N40" s="263">
        <v>5</v>
      </c>
      <c r="O40" s="255" t="s">
        <v>30</v>
      </c>
      <c r="P40" s="186">
        <v>0</v>
      </c>
      <c r="R40" s="3"/>
    </row>
    <row r="41" spans="1:18" ht="15.75">
      <c r="A41" s="96" t="s">
        <v>160</v>
      </c>
      <c r="B41" s="165">
        <f t="shared" si="4"/>
        <v>0</v>
      </c>
      <c r="C41" s="532">
        <v>0</v>
      </c>
      <c r="D41" s="333">
        <f t="shared" si="5"/>
        <v>0</v>
      </c>
      <c r="E41" s="13"/>
      <c r="F41" s="99" t="s">
        <v>122</v>
      </c>
      <c r="G41" s="246">
        <v>0</v>
      </c>
      <c r="H41" s="246">
        <v>0</v>
      </c>
      <c r="I41" s="95" t="s">
        <v>123</v>
      </c>
      <c r="J41" s="185"/>
      <c r="L41" s="114" t="s">
        <v>29</v>
      </c>
      <c r="M41" s="13"/>
      <c r="N41" s="263">
        <v>20</v>
      </c>
      <c r="O41" s="255" t="s">
        <v>30</v>
      </c>
      <c r="P41" s="186">
        <v>0</v>
      </c>
      <c r="R41" s="328"/>
    </row>
    <row r="42" spans="1:18" ht="15.75">
      <c r="A42" s="99" t="s">
        <v>413</v>
      </c>
      <c r="B42" s="165">
        <f t="shared" si="4"/>
        <v>0</v>
      </c>
      <c r="C42" s="532">
        <v>0</v>
      </c>
      <c r="D42" s="333">
        <f t="shared" si="5"/>
        <v>0</v>
      </c>
      <c r="E42" s="13"/>
      <c r="F42" s="99" t="s">
        <v>20</v>
      </c>
      <c r="G42" s="249">
        <v>0.02</v>
      </c>
      <c r="H42" s="95"/>
      <c r="I42" s="95"/>
      <c r="J42" s="185"/>
      <c r="L42" s="114"/>
      <c r="M42" s="13"/>
      <c r="N42" s="256"/>
      <c r="O42" s="256"/>
      <c r="P42" s="257"/>
      <c r="R42" s="219"/>
    </row>
    <row r="43" spans="1:18" ht="15.75">
      <c r="A43" s="96" t="s">
        <v>161</v>
      </c>
      <c r="B43" s="165">
        <f t="shared" si="4"/>
        <v>0</v>
      </c>
      <c r="C43" s="532">
        <v>0</v>
      </c>
      <c r="D43" s="333">
        <f t="shared" si="5"/>
        <v>0</v>
      </c>
      <c r="E43" s="13"/>
      <c r="F43" s="99" t="s">
        <v>21</v>
      </c>
      <c r="G43" s="249">
        <v>0</v>
      </c>
      <c r="H43" s="13"/>
      <c r="I43" s="13"/>
      <c r="J43" s="40"/>
      <c r="L43" s="113" t="s">
        <v>31</v>
      </c>
      <c r="M43" s="13"/>
      <c r="N43" s="256"/>
      <c r="O43" s="256"/>
      <c r="P43" s="187"/>
    </row>
    <row r="44" spans="1:18" ht="15.75">
      <c r="A44" s="96" t="s">
        <v>168</v>
      </c>
      <c r="B44" s="165">
        <f t="shared" si="4"/>
        <v>0</v>
      </c>
      <c r="C44" s="532">
        <v>0</v>
      </c>
      <c r="D44" s="333">
        <f t="shared" si="5"/>
        <v>0</v>
      </c>
      <c r="E44" s="13"/>
      <c r="F44" s="41"/>
      <c r="G44" s="13"/>
      <c r="H44" s="13"/>
      <c r="I44" s="13"/>
      <c r="J44" s="40"/>
      <c r="L44" s="114" t="s">
        <v>27</v>
      </c>
      <c r="M44" s="13"/>
      <c r="N44" s="263">
        <v>30</v>
      </c>
      <c r="O44" s="255" t="s">
        <v>30</v>
      </c>
      <c r="P44" s="187">
        <v>0.1</v>
      </c>
    </row>
    <row r="45" spans="1:18" ht="15.75">
      <c r="A45" s="96" t="s">
        <v>162</v>
      </c>
      <c r="B45" s="165">
        <f t="shared" si="4"/>
        <v>0</v>
      </c>
      <c r="C45" s="532">
        <v>0</v>
      </c>
      <c r="D45" s="333">
        <f t="shared" si="5"/>
        <v>0</v>
      </c>
      <c r="E45" s="13"/>
      <c r="F45" s="340" t="s">
        <v>110</v>
      </c>
      <c r="G45" s="13"/>
      <c r="H45" s="13"/>
      <c r="I45" s="13"/>
      <c r="J45" s="40"/>
      <c r="L45" s="114" t="s">
        <v>238</v>
      </c>
      <c r="M45" s="13"/>
      <c r="N45" s="263">
        <v>5</v>
      </c>
      <c r="O45" s="255" t="s">
        <v>30</v>
      </c>
      <c r="P45" s="186">
        <v>0</v>
      </c>
    </row>
    <row r="46" spans="1:18" ht="16.5" thickBot="1">
      <c r="A46" s="96" t="s">
        <v>163</v>
      </c>
      <c r="B46" s="165">
        <f t="shared" si="4"/>
        <v>0</v>
      </c>
      <c r="C46" s="532">
        <v>0</v>
      </c>
      <c r="D46" s="333">
        <f t="shared" si="5"/>
        <v>0</v>
      </c>
      <c r="E46" s="13"/>
      <c r="F46" s="312" t="s">
        <v>84</v>
      </c>
      <c r="G46" s="245">
        <v>36617</v>
      </c>
      <c r="H46" s="13"/>
      <c r="I46" s="13"/>
      <c r="J46" s="40"/>
      <c r="L46" s="115" t="s">
        <v>29</v>
      </c>
      <c r="M46" s="42"/>
      <c r="N46" s="264">
        <v>20</v>
      </c>
      <c r="O46" s="258" t="s">
        <v>30</v>
      </c>
      <c r="P46" s="188">
        <v>0</v>
      </c>
    </row>
    <row r="47" spans="1:18" ht="16.5" thickBot="1">
      <c r="A47" s="96" t="s">
        <v>166</v>
      </c>
      <c r="B47" s="165">
        <f t="shared" si="4"/>
        <v>0</v>
      </c>
      <c r="C47" s="532">
        <v>0</v>
      </c>
      <c r="D47" s="333">
        <f t="shared" si="5"/>
        <v>0</v>
      </c>
      <c r="E47" s="13"/>
      <c r="F47" s="99" t="s">
        <v>12</v>
      </c>
      <c r="G47" s="250">
        <v>0</v>
      </c>
      <c r="H47" s="142">
        <f>G47*C11</f>
        <v>0</v>
      </c>
      <c r="I47" s="13"/>
      <c r="J47" s="40"/>
    </row>
    <row r="48" spans="1:18" ht="16.5" thickBot="1">
      <c r="A48" s="99" t="s">
        <v>203</v>
      </c>
      <c r="B48" s="165">
        <f t="shared" si="4"/>
        <v>2.4803918075115675E-2</v>
      </c>
      <c r="C48" s="533">
        <f>IDC!H34</f>
        <v>3783.2677121955494</v>
      </c>
      <c r="D48" s="333">
        <f t="shared" si="5"/>
        <v>13.858123487895785</v>
      </c>
      <c r="E48" s="64"/>
      <c r="F48" s="101" t="s">
        <v>13</v>
      </c>
      <c r="G48" s="261">
        <f>1-G47</f>
        <v>1</v>
      </c>
      <c r="H48" s="143">
        <f>G48*C11</f>
        <v>45758.106046855741</v>
      </c>
      <c r="I48" s="42"/>
      <c r="J48" s="80"/>
      <c r="L48" s="91" t="s">
        <v>364</v>
      </c>
      <c r="M48" s="112"/>
      <c r="N48" s="270"/>
      <c r="O48" s="271"/>
      <c r="P48" s="350"/>
    </row>
    <row r="49" spans="1:16" ht="16.5" thickBot="1">
      <c r="A49" s="99" t="s">
        <v>513</v>
      </c>
      <c r="B49" s="165">
        <f t="shared" si="4"/>
        <v>5.4113153141969836E-2</v>
      </c>
      <c r="C49" s="532">
        <f>'Cost Details'!D118</f>
        <v>8253.7180000000008</v>
      </c>
      <c r="D49" s="333">
        <f t="shared" si="5"/>
        <v>30.233399267399271</v>
      </c>
      <c r="E49" s="43"/>
      <c r="L49" s="178"/>
      <c r="M49" s="173"/>
      <c r="N49" s="154"/>
      <c r="O49" s="6"/>
      <c r="P49" s="349"/>
    </row>
    <row r="50" spans="1:16" ht="15.75">
      <c r="A50" s="99" t="s">
        <v>259</v>
      </c>
      <c r="B50" s="165">
        <f t="shared" si="4"/>
        <v>8.7999476986147986E-3</v>
      </c>
      <c r="C50" s="533">
        <f>(C26+C25)*N55</f>
        <v>1342.2298000000001</v>
      </c>
      <c r="D50" s="333">
        <f t="shared" si="5"/>
        <v>4.9165926739926746</v>
      </c>
      <c r="E50" s="13"/>
      <c r="F50" s="91" t="s">
        <v>188</v>
      </c>
      <c r="G50" s="111"/>
      <c r="H50" s="117"/>
      <c r="I50" s="197"/>
      <c r="J50" s="39"/>
      <c r="L50" s="114" t="s">
        <v>126</v>
      </c>
      <c r="M50" s="6"/>
      <c r="N50" s="254">
        <v>0.35</v>
      </c>
      <c r="O50" s="6"/>
      <c r="P50" s="349"/>
    </row>
    <row r="51" spans="1:16" ht="15.75">
      <c r="A51" s="93" t="s">
        <v>169</v>
      </c>
      <c r="B51" s="180">
        <f t="shared" si="4"/>
        <v>1.3528291563600161E-2</v>
      </c>
      <c r="C51" s="534">
        <f>'Cost Details'!D117</f>
        <v>2063.4299999999998</v>
      </c>
      <c r="D51" s="334">
        <f t="shared" si="5"/>
        <v>7.558351648351648</v>
      </c>
      <c r="E51" s="83"/>
      <c r="F51" s="41"/>
      <c r="G51" s="13"/>
      <c r="H51" s="13"/>
      <c r="I51" s="108"/>
      <c r="J51" s="40"/>
      <c r="L51" s="114" t="s">
        <v>273</v>
      </c>
      <c r="M51" s="6"/>
      <c r="N51" s="252">
        <v>7.0000000000000007E-2</v>
      </c>
      <c r="O51" s="351" t="s">
        <v>220</v>
      </c>
      <c r="P51" s="349"/>
    </row>
    <row r="52" spans="1:16" ht="15.75">
      <c r="A52" s="99" t="s">
        <v>106</v>
      </c>
      <c r="B52" s="165">
        <f>SUM(B38:B51)</f>
        <v>0.11921618539177961</v>
      </c>
      <c r="C52" s="533">
        <f>SUM(C38:C51)</f>
        <v>18183.689512195549</v>
      </c>
      <c r="D52" s="333">
        <f t="shared" si="5"/>
        <v>66.606921290093581</v>
      </c>
      <c r="E52" s="83"/>
      <c r="F52" s="102" t="s">
        <v>289</v>
      </c>
      <c r="G52" s="13"/>
      <c r="H52" s="13"/>
      <c r="I52" s="13"/>
      <c r="J52" s="40"/>
      <c r="L52" s="114" t="s">
        <v>240</v>
      </c>
      <c r="M52" s="6"/>
      <c r="N52" s="252">
        <v>0</v>
      </c>
      <c r="O52" s="351" t="s">
        <v>220</v>
      </c>
      <c r="P52" s="349"/>
    </row>
    <row r="53" spans="1:16" ht="15.75">
      <c r="A53" s="41"/>
      <c r="B53" s="13"/>
      <c r="C53" s="535"/>
      <c r="D53" s="40"/>
      <c r="E53" s="13"/>
      <c r="F53" s="99" t="s">
        <v>291</v>
      </c>
      <c r="G53" s="13"/>
      <c r="H53" s="244">
        <v>30</v>
      </c>
      <c r="I53" s="108"/>
      <c r="J53" s="40"/>
      <c r="L53" s="114" t="s">
        <v>196</v>
      </c>
      <c r="M53" s="6"/>
      <c r="N53" s="252">
        <v>0</v>
      </c>
      <c r="O53" s="351" t="s">
        <v>220</v>
      </c>
      <c r="P53" s="349"/>
    </row>
    <row r="54" spans="1:16" ht="15.75">
      <c r="A54" s="96" t="s">
        <v>100</v>
      </c>
      <c r="B54" s="13"/>
      <c r="C54" s="533"/>
      <c r="D54" s="335"/>
      <c r="E54" s="13"/>
      <c r="F54" s="99" t="s">
        <v>397</v>
      </c>
      <c r="G54" s="13"/>
      <c r="H54" s="550">
        <v>6.1528415727579624</v>
      </c>
      <c r="I54" s="13"/>
      <c r="J54" s="40"/>
      <c r="L54" s="114" t="s">
        <v>225</v>
      </c>
      <c r="M54" s="13"/>
      <c r="N54" s="252">
        <v>1.4999999999999999E-2</v>
      </c>
      <c r="O54" s="351" t="s">
        <v>220</v>
      </c>
      <c r="P54" s="40"/>
    </row>
    <row r="55" spans="1:16" ht="16.5" thickBot="1">
      <c r="A55" s="96" t="s">
        <v>164</v>
      </c>
      <c r="B55" s="165">
        <f>C55/$C$60</f>
        <v>0</v>
      </c>
      <c r="C55" s="532">
        <v>0</v>
      </c>
      <c r="D55" s="333">
        <f>C55/$H$68</f>
        <v>0</v>
      </c>
      <c r="E55" s="13"/>
      <c r="F55" s="41"/>
      <c r="G55" s="13"/>
      <c r="H55" s="13"/>
      <c r="I55" s="13"/>
      <c r="J55" s="40"/>
      <c r="L55" s="115" t="s">
        <v>260</v>
      </c>
      <c r="M55" s="42"/>
      <c r="N55" s="266">
        <v>0.05</v>
      </c>
      <c r="O55" s="352" t="s">
        <v>220</v>
      </c>
      <c r="P55" s="80"/>
    </row>
    <row r="56" spans="1:16" ht="15.75">
      <c r="A56" s="96" t="s">
        <v>165</v>
      </c>
      <c r="B56" s="165">
        <f>C56/$C$60</f>
        <v>0</v>
      </c>
      <c r="C56" s="532">
        <v>0</v>
      </c>
      <c r="D56" s="333">
        <f>C56/$H$68</f>
        <v>0</v>
      </c>
      <c r="E56" s="13"/>
      <c r="F56" s="102" t="s">
        <v>292</v>
      </c>
      <c r="G56" s="13"/>
      <c r="H56" s="13"/>
      <c r="I56" s="13"/>
      <c r="J56" s="40"/>
    </row>
    <row r="57" spans="1:16" ht="15.75">
      <c r="A57" s="102" t="s">
        <v>411</v>
      </c>
      <c r="B57" s="180">
        <f>C57/$C$60</f>
        <v>0</v>
      </c>
      <c r="C57" s="534">
        <v>0</v>
      </c>
      <c r="D57" s="333">
        <f>C57/$H$68</f>
        <v>0</v>
      </c>
      <c r="E57" s="13"/>
      <c r="F57" s="99" t="s">
        <v>291</v>
      </c>
      <c r="G57" s="13"/>
      <c r="H57" s="265">
        <f>H19-H53</f>
        <v>0</v>
      </c>
      <c r="I57" s="108"/>
      <c r="J57" s="40"/>
    </row>
    <row r="58" spans="1:16" ht="15.75">
      <c r="A58" s="99" t="s">
        <v>106</v>
      </c>
      <c r="B58" s="165">
        <f>SUM(B55:B57)</f>
        <v>0</v>
      </c>
      <c r="C58" s="536">
        <f>SUM(C55:C57)</f>
        <v>0</v>
      </c>
      <c r="D58" s="333">
        <f>C58/$H$68</f>
        <v>0</v>
      </c>
      <c r="E58" s="13"/>
      <c r="F58" s="99" t="s">
        <v>397</v>
      </c>
      <c r="G58" s="95"/>
      <c r="H58" s="151"/>
      <c r="I58" s="108"/>
      <c r="J58" s="40"/>
    </row>
    <row r="59" spans="1:16">
      <c r="A59" s="41"/>
      <c r="B59" s="13"/>
      <c r="C59" s="535"/>
      <c r="D59" s="336"/>
      <c r="E59" s="13"/>
      <c r="F59" s="41"/>
      <c r="G59" s="13"/>
      <c r="H59" s="13"/>
      <c r="I59" s="13"/>
      <c r="J59" s="40"/>
    </row>
    <row r="60" spans="1:16" ht="16.5" thickBot="1">
      <c r="A60" s="183" t="s">
        <v>101</v>
      </c>
      <c r="B60" s="179">
        <f>B58+B52+B34</f>
        <v>1</v>
      </c>
      <c r="C60" s="537">
        <f>C58+C52+C34</f>
        <v>152527.02015618578</v>
      </c>
      <c r="D60" s="337">
        <f>C60/$H$68</f>
        <v>558.70703353914212</v>
      </c>
      <c r="E60" s="13"/>
      <c r="F60" s="99" t="s">
        <v>404</v>
      </c>
      <c r="G60" s="95"/>
      <c r="H60" s="151">
        <f>N17</f>
        <v>1.1200000000000001</v>
      </c>
      <c r="I60" s="108"/>
      <c r="J60" s="40"/>
    </row>
    <row r="61" spans="1:16" ht="15.75">
      <c r="E61" s="13"/>
      <c r="F61" s="99"/>
      <c r="G61" s="13"/>
      <c r="H61" s="254"/>
      <c r="I61" s="108"/>
      <c r="J61" s="40"/>
    </row>
    <row r="62" spans="1:16" ht="16.5" thickBot="1">
      <c r="E62" s="13"/>
      <c r="F62" s="101" t="s">
        <v>408</v>
      </c>
      <c r="G62" s="42"/>
      <c r="H62" s="267">
        <f>H68*H72</f>
        <v>382200</v>
      </c>
      <c r="I62" s="198"/>
      <c r="J62" s="80"/>
    </row>
    <row r="63" spans="1:16" ht="13.5" thickBot="1">
      <c r="E63" s="13"/>
    </row>
    <row r="64" spans="1:16" ht="15.75">
      <c r="A64" s="92" t="s">
        <v>32</v>
      </c>
      <c r="B64" s="117"/>
      <c r="C64" s="197"/>
      <c r="D64" s="118"/>
      <c r="E64" s="13"/>
      <c r="F64" s="91" t="s">
        <v>5</v>
      </c>
      <c r="G64" s="196"/>
      <c r="H64" s="197"/>
      <c r="I64" s="38"/>
      <c r="J64" s="39"/>
    </row>
    <row r="65" spans="1:10" ht="15.75">
      <c r="A65" s="41"/>
      <c r="B65" s="13"/>
      <c r="C65" s="13"/>
      <c r="D65" s="40"/>
      <c r="E65" s="13"/>
      <c r="F65" s="178"/>
      <c r="G65" s="149"/>
      <c r="H65" s="108"/>
      <c r="I65" s="13"/>
      <c r="J65" s="40"/>
    </row>
    <row r="66" spans="1:10" ht="15.75">
      <c r="A66" s="329" t="s">
        <v>257</v>
      </c>
      <c r="B66" s="63"/>
      <c r="C66" s="330">
        <f>D60</f>
        <v>558.70703353914212</v>
      </c>
      <c r="D66" s="40"/>
      <c r="E66" s="13"/>
      <c r="F66" s="99" t="s">
        <v>124</v>
      </c>
      <c r="G66" s="13"/>
      <c r="H66" s="214">
        <f>(H12*H13)</f>
        <v>273</v>
      </c>
      <c r="I66" s="13"/>
      <c r="J66" s="40"/>
    </row>
    <row r="67" spans="1:10" ht="15.75">
      <c r="A67" s="504"/>
      <c r="B67" s="176"/>
      <c r="C67" s="176"/>
      <c r="D67" s="40"/>
      <c r="E67" s="13"/>
      <c r="F67" s="102" t="s">
        <v>89</v>
      </c>
      <c r="G67" s="13"/>
      <c r="H67" s="327">
        <v>0</v>
      </c>
      <c r="I67" s="13"/>
      <c r="J67" s="40"/>
    </row>
    <row r="68" spans="1:10" ht="15.75">
      <c r="A68" s="99"/>
      <c r="B68" s="95"/>
      <c r="C68" s="94" t="s">
        <v>34</v>
      </c>
      <c r="D68" s="168" t="s">
        <v>33</v>
      </c>
      <c r="E68" s="13"/>
      <c r="F68" s="116" t="s">
        <v>295</v>
      </c>
      <c r="G68" s="43"/>
      <c r="H68" s="345">
        <f>SUM(H66:H67)</f>
        <v>273</v>
      </c>
      <c r="I68" s="13"/>
      <c r="J68" s="40"/>
    </row>
    <row r="69" spans="1:10" ht="15.75">
      <c r="A69" s="102" t="s">
        <v>0</v>
      </c>
      <c r="B69" s="106"/>
      <c r="C69" s="107">
        <f>'Revised Debt'!C23</f>
        <v>1.7821555451186073</v>
      </c>
      <c r="D69" s="338">
        <f>'Revised Debt'!C24</f>
        <v>1.1471397232807854</v>
      </c>
      <c r="E69" s="13"/>
      <c r="F69" s="41"/>
      <c r="G69" s="13"/>
      <c r="H69" s="13"/>
      <c r="I69" s="13"/>
      <c r="J69" s="40"/>
    </row>
    <row r="70" spans="1:10" ht="15.75">
      <c r="A70" s="41"/>
      <c r="B70" s="95"/>
      <c r="C70" s="13"/>
      <c r="D70" s="40"/>
      <c r="E70" s="13"/>
      <c r="F70" s="99" t="s">
        <v>338</v>
      </c>
      <c r="G70" s="13"/>
      <c r="H70" s="242">
        <v>140</v>
      </c>
      <c r="I70" s="13"/>
      <c r="J70" s="40"/>
    </row>
    <row r="71" spans="1:10" ht="15.75">
      <c r="A71" s="102" t="s">
        <v>321</v>
      </c>
      <c r="B71" s="13"/>
      <c r="C71" s="573" t="s">
        <v>1</v>
      </c>
      <c r="D71" s="574" t="s">
        <v>533</v>
      </c>
      <c r="E71" s="13"/>
      <c r="F71" s="99" t="s">
        <v>253</v>
      </c>
      <c r="G71" s="13"/>
      <c r="H71" s="242">
        <v>400</v>
      </c>
      <c r="I71" s="13"/>
      <c r="J71" s="40"/>
    </row>
    <row r="72" spans="1:10" ht="16.5" thickBot="1">
      <c r="A72" s="99" t="str">
        <f>CONCATENATE("30 Yrs Pre-Tax Cashflow with ",H24*100,"% Initial Project Cost Residual Value")</f>
        <v>30 Yrs Pre-Tax Cashflow with 10% Initial Project Cost Residual Value</v>
      </c>
      <c r="B72" s="13"/>
      <c r="C72" s="578">
        <f>'CF &amp; Returns'!D55</f>
        <v>0.14048246741294865</v>
      </c>
      <c r="D72" s="584">
        <f>'CF &amp; Returns'!D56</f>
        <v>12531.417092767437</v>
      </c>
      <c r="E72" s="13"/>
      <c r="F72" s="101" t="s">
        <v>167</v>
      </c>
      <c r="G72" s="42"/>
      <c r="H72" s="251">
        <v>1400</v>
      </c>
      <c r="I72" s="42"/>
      <c r="J72" s="80"/>
    </row>
    <row r="73" spans="1:10" ht="15.75">
      <c r="A73" s="99" t="str">
        <f>CONCATENATE("30 Yrs After-Tax Cashflow with ",H24*100,"% Initial Project Cost Residual Value")</f>
        <v>30 Yrs After-Tax Cashflow with 10% Initial Project Cost Residual Value</v>
      </c>
      <c r="B73" s="13"/>
      <c r="C73" s="578">
        <f>'CF &amp; Returns'!D63</f>
        <v>0.11098321080207824</v>
      </c>
      <c r="D73" s="584">
        <f>'CF &amp; Returns'!D64</f>
        <v>-4.2937082460931764E-11</v>
      </c>
    </row>
    <row r="74" spans="1:10" ht="15.75">
      <c r="A74" s="99"/>
      <c r="B74" s="13"/>
      <c r="C74" s="144"/>
      <c r="D74" s="575"/>
    </row>
    <row r="75" spans="1:10" ht="15.75">
      <c r="A75" s="99"/>
      <c r="B75" s="13"/>
      <c r="C75" s="144"/>
      <c r="D75" s="575"/>
    </row>
    <row r="76" spans="1:10" ht="15.75">
      <c r="A76" s="102" t="s">
        <v>86</v>
      </c>
      <c r="B76" s="94">
        <f>IS!C7</f>
        <v>2001</v>
      </c>
      <c r="C76" s="94">
        <f>IS!D7</f>
        <v>2002</v>
      </c>
      <c r="D76" s="168">
        <f>IS!E7</f>
        <v>2003</v>
      </c>
      <c r="E76" s="95"/>
    </row>
    <row r="77" spans="1:10" ht="15.75">
      <c r="A77" s="99" t="s">
        <v>97</v>
      </c>
      <c r="B77" s="109">
        <f>IS!C32</f>
        <v>9870.1310419668953</v>
      </c>
      <c r="C77" s="109">
        <f>IS!D32</f>
        <v>15944.200706085252</v>
      </c>
      <c r="D77" s="163">
        <f>IS!E32</f>
        <v>15919.210706085252</v>
      </c>
      <c r="E77" s="95"/>
    </row>
    <row r="78" spans="1:10" ht="15.75">
      <c r="A78" s="99" t="s">
        <v>98</v>
      </c>
      <c r="B78" s="109">
        <f>IS!C45</f>
        <v>1165.133193316527</v>
      </c>
      <c r="C78" s="109">
        <f>IS!D45</f>
        <v>1919.3155634596649</v>
      </c>
      <c r="D78" s="163">
        <f>IS!E45</f>
        <v>1955.3857040684056</v>
      </c>
      <c r="E78" s="13"/>
    </row>
    <row r="79" spans="1:10" ht="15.75">
      <c r="A79" s="99" t="s">
        <v>99</v>
      </c>
      <c r="B79" s="109">
        <f>'CF &amp; Returns'!D14</f>
        <v>4380.1015752980447</v>
      </c>
      <c r="C79" s="109">
        <f>'CF &amp; Returns'!E14</f>
        <v>7340.0779112276086</v>
      </c>
      <c r="D79" s="163">
        <f>'CF &amp; Returns'!F14</f>
        <v>7315.0879112276079</v>
      </c>
      <c r="E79" s="13"/>
    </row>
    <row r="80" spans="1:10" ht="16.5" thickBot="1">
      <c r="A80" s="101" t="s">
        <v>349</v>
      </c>
      <c r="B80" s="110">
        <f>'CF &amp; Returns'!D22</f>
        <v>4380.1015752980447</v>
      </c>
      <c r="C80" s="110">
        <f>'CF &amp; Returns'!E22</f>
        <v>7340.0779112276086</v>
      </c>
      <c r="D80" s="189">
        <f>'CF &amp; Returns'!F22</f>
        <v>7315.0879112276079</v>
      </c>
      <c r="E80" s="13"/>
    </row>
    <row r="81" spans="5:9">
      <c r="E81" s="13"/>
    </row>
    <row r="82" spans="5:9">
      <c r="E82" s="13"/>
    </row>
    <row r="83" spans="5:9">
      <c r="E83" s="13"/>
    </row>
    <row r="84" spans="5:9">
      <c r="E84" s="13"/>
    </row>
    <row r="85" spans="5:9">
      <c r="E85" s="13"/>
    </row>
    <row r="86" spans="5:9" ht="15.75">
      <c r="E86" s="46"/>
    </row>
    <row r="88" spans="5:9" ht="15.75">
      <c r="E88" s="95"/>
    </row>
    <row r="89" spans="5:9" ht="15.75">
      <c r="E89" s="95"/>
    </row>
    <row r="90" spans="5:9" ht="15.75">
      <c r="E90" s="95"/>
    </row>
    <row r="91" spans="5:9" ht="15.75">
      <c r="E91" s="95"/>
    </row>
    <row r="92" spans="5:9">
      <c r="E92" s="13"/>
    </row>
    <row r="93" spans="5:9" ht="15.75">
      <c r="E93" s="95"/>
    </row>
    <row r="94" spans="5:9" ht="15.75">
      <c r="E94" s="95"/>
    </row>
    <row r="95" spans="5:9">
      <c r="E95" s="13"/>
    </row>
    <row r="96" spans="5:9" ht="15.75">
      <c r="E96" s="13"/>
      <c r="I96" s="156"/>
    </row>
    <row r="97" spans="5:5" ht="15.75">
      <c r="E97" s="95"/>
    </row>
    <row r="98" spans="5:5" ht="15.75">
      <c r="E98" s="95"/>
    </row>
    <row r="99" spans="5:5" ht="15.75">
      <c r="E99" s="95"/>
    </row>
    <row r="100" spans="5:5" ht="15.75">
      <c r="E100" s="94"/>
    </row>
    <row r="101" spans="5:5" ht="15.75">
      <c r="E101" s="109"/>
    </row>
    <row r="102" spans="5:5" ht="15.75">
      <c r="E102" s="109"/>
    </row>
    <row r="103" spans="5:5" ht="15.75">
      <c r="E103" s="109"/>
    </row>
    <row r="104" spans="5:5" ht="15.75">
      <c r="E104" s="109"/>
    </row>
    <row r="120" spans="9:9" ht="15.75">
      <c r="I120" s="156"/>
    </row>
    <row r="121" spans="9:9" ht="15.75">
      <c r="I121" s="156"/>
    </row>
    <row r="122" spans="9:9" ht="15.75">
      <c r="I122" s="156"/>
    </row>
    <row r="123" spans="9:9" ht="15.75">
      <c r="I123" s="156"/>
    </row>
    <row r="124" spans="9:9" ht="15.75">
      <c r="I124" s="156"/>
    </row>
    <row r="125" spans="9:9" ht="15.75">
      <c r="I125" s="156"/>
    </row>
    <row r="126" spans="9:9" ht="15.75">
      <c r="I126" s="156"/>
    </row>
    <row r="127" spans="9:9" ht="15.75">
      <c r="I127" s="156"/>
    </row>
    <row r="132" spans="10:24"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 ht="15.75">
      <c r="J134" s="157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1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>
      <c r="J136" s="13"/>
      <c r="K136" s="13"/>
      <c r="L136" s="81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>
      <c r="J137" s="13"/>
      <c r="K137" s="13"/>
      <c r="L137" s="81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3"/>
      <c r="K138" s="13"/>
      <c r="L138" s="152"/>
      <c r="M138" s="151"/>
      <c r="N138" s="151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1"/>
      <c r="K139" s="151"/>
      <c r="L139" s="150"/>
      <c r="M139" s="153"/>
      <c r="N139" s="15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3"/>
      <c r="K140" s="153"/>
      <c r="L140" s="155"/>
      <c r="M140" s="154"/>
      <c r="N140" s="154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 ht="15.75">
      <c r="J141" s="154"/>
      <c r="K141" s="154"/>
      <c r="L141" s="155"/>
      <c r="M141" s="154"/>
      <c r="N141" s="154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0:24" ht="15.75">
      <c r="J142" s="154"/>
      <c r="K142" s="154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0:24">
      <c r="J143" s="13"/>
      <c r="K143" s="13"/>
    </row>
    <row r="145" spans="10:10" ht="15.75">
      <c r="J145" s="157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>
      <c r="J150" s="13"/>
    </row>
    <row r="151" spans="10:10">
      <c r="J151" s="13"/>
    </row>
    <row r="152" spans="10:10" ht="15.75">
      <c r="J152" s="151"/>
    </row>
    <row r="153" spans="10:10" ht="15.75">
      <c r="J153" s="153"/>
    </row>
    <row r="154" spans="10:10" ht="15.75">
      <c r="J154" s="154"/>
    </row>
    <row r="155" spans="10:10" ht="15.75">
      <c r="J155" s="154"/>
    </row>
  </sheetData>
  <pageMargins left="0.45" right="0.45" top="0.5" bottom="0.5" header="0.25" footer="0.25"/>
  <pageSetup scale="40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K39"/>
  <sheetViews>
    <sheetView workbookViewId="0">
      <selection activeCell="D19" sqref="D19"/>
    </sheetView>
  </sheetViews>
  <sheetFormatPr defaultRowHeight="12.75"/>
  <cols>
    <col min="3" max="3" width="31.7109375" customWidth="1"/>
    <col min="4" max="4" width="20.28515625" customWidth="1"/>
    <col min="5" max="5" width="5.140625" customWidth="1"/>
    <col min="6" max="6" width="3.5703125" customWidth="1"/>
    <col min="7" max="7" width="2.7109375" customWidth="1"/>
    <col min="8" max="8" width="34.28515625" customWidth="1"/>
    <col min="9" max="9" width="17.7109375" customWidth="1"/>
    <col min="10" max="10" width="5.5703125" customWidth="1"/>
    <col min="11" max="11" width="10.140625" bestFit="1" customWidth="1"/>
  </cols>
  <sheetData>
    <row r="3" spans="3:10">
      <c r="C3" s="586" t="s">
        <v>547</v>
      </c>
      <c r="D3" s="587"/>
      <c r="E3" s="587"/>
      <c r="H3" s="586" t="s">
        <v>567</v>
      </c>
      <c r="I3" s="587"/>
      <c r="J3" s="587"/>
    </row>
    <row r="4" spans="3:10">
      <c r="C4" s="586" t="s">
        <v>548</v>
      </c>
      <c r="D4" s="587"/>
      <c r="E4" s="587"/>
      <c r="H4" s="586" t="s">
        <v>548</v>
      </c>
      <c r="I4" s="587"/>
      <c r="J4" s="587"/>
    </row>
    <row r="5" spans="3:10">
      <c r="C5" s="587"/>
      <c r="D5" s="587"/>
      <c r="E5" s="587"/>
      <c r="H5" s="587"/>
      <c r="I5" s="587"/>
      <c r="J5" s="587"/>
    </row>
    <row r="6" spans="3:10">
      <c r="C6" s="586" t="s">
        <v>549</v>
      </c>
      <c r="D6" s="587"/>
      <c r="E6" s="587"/>
      <c r="H6" s="586" t="s">
        <v>549</v>
      </c>
      <c r="I6" s="587"/>
      <c r="J6" s="587"/>
    </row>
    <row r="7" spans="3:10" ht="13.5" thickBot="1"/>
    <row r="8" spans="3:10">
      <c r="C8" s="588" t="s">
        <v>550</v>
      </c>
      <c r="D8" s="589">
        <v>1889770</v>
      </c>
      <c r="E8" s="590"/>
      <c r="H8" s="588" t="s">
        <v>550</v>
      </c>
      <c r="I8" s="589">
        <v>1887450</v>
      </c>
      <c r="J8" s="590"/>
    </row>
    <row r="9" spans="3:10">
      <c r="C9" s="504"/>
      <c r="D9" s="591"/>
      <c r="E9" s="317"/>
      <c r="H9" s="504"/>
      <c r="I9" s="591"/>
      <c r="J9" s="317"/>
    </row>
    <row r="10" spans="3:10">
      <c r="C10" s="504" t="s">
        <v>551</v>
      </c>
      <c r="D10" s="592">
        <v>7740581</v>
      </c>
      <c r="E10" s="317"/>
      <c r="H10" s="504" t="s">
        <v>551</v>
      </c>
      <c r="I10" s="592">
        <v>2615500</v>
      </c>
      <c r="J10" s="317"/>
    </row>
    <row r="11" spans="3:10">
      <c r="C11" s="504"/>
      <c r="D11" s="591"/>
      <c r="E11" s="317"/>
      <c r="H11" s="504"/>
      <c r="I11" s="591"/>
      <c r="J11" s="317"/>
    </row>
    <row r="12" spans="3:10">
      <c r="C12" s="504" t="s">
        <v>552</v>
      </c>
      <c r="D12" s="592">
        <v>628728</v>
      </c>
      <c r="E12" s="317"/>
      <c r="H12" s="504" t="s">
        <v>552</v>
      </c>
      <c r="I12" s="592">
        <v>713240</v>
      </c>
      <c r="J12" s="317"/>
    </row>
    <row r="13" spans="3:10">
      <c r="C13" s="504"/>
      <c r="D13" s="591"/>
      <c r="E13" s="317"/>
      <c r="H13" s="504"/>
      <c r="I13" s="591"/>
      <c r="J13" s="317"/>
    </row>
    <row r="14" spans="3:10">
      <c r="C14" s="504" t="s">
        <v>548</v>
      </c>
      <c r="D14" s="592">
        <v>93651000</v>
      </c>
      <c r="E14" s="317"/>
      <c r="H14" s="504" t="s">
        <v>548</v>
      </c>
      <c r="I14" s="592">
        <v>88320000</v>
      </c>
      <c r="J14" s="317"/>
    </row>
    <row r="15" spans="3:10">
      <c r="C15" s="504" t="s">
        <v>440</v>
      </c>
      <c r="D15" s="592">
        <v>15329006</v>
      </c>
      <c r="E15" s="317"/>
      <c r="H15" s="504" t="s">
        <v>440</v>
      </c>
      <c r="I15" s="592">
        <v>19916806</v>
      </c>
      <c r="J15" s="317"/>
    </row>
    <row r="16" spans="3:10">
      <c r="C16" s="593" t="s">
        <v>553</v>
      </c>
      <c r="D16" s="594">
        <v>3202625</v>
      </c>
      <c r="E16" s="317"/>
      <c r="H16" s="593" t="s">
        <v>553</v>
      </c>
      <c r="I16" s="594">
        <v>5044240</v>
      </c>
      <c r="J16" s="317"/>
    </row>
    <row r="17" spans="3:11">
      <c r="C17" s="595" t="s">
        <v>554</v>
      </c>
      <c r="D17" s="596">
        <f>SUM(D14:D16)</f>
        <v>112182631</v>
      </c>
      <c r="E17" s="317"/>
      <c r="H17" s="595" t="s">
        <v>554</v>
      </c>
      <c r="I17" s="596">
        <f>SUM(I14:I16)</f>
        <v>113281046</v>
      </c>
      <c r="J17" s="317"/>
    </row>
    <row r="18" spans="3:11">
      <c r="C18" s="504"/>
      <c r="D18" s="591"/>
      <c r="E18" s="317"/>
      <c r="H18" s="504"/>
      <c r="I18" s="591"/>
      <c r="J18" s="317"/>
    </row>
    <row r="19" spans="3:11">
      <c r="C19" s="504" t="s">
        <v>470</v>
      </c>
      <c r="D19" s="592">
        <v>14719106</v>
      </c>
      <c r="E19" s="317"/>
      <c r="H19" s="504" t="s">
        <v>470</v>
      </c>
      <c r="I19" s="592">
        <v>6927790</v>
      </c>
      <c r="J19" s="317"/>
    </row>
    <row r="20" spans="3:11">
      <c r="C20" s="504"/>
      <c r="D20" s="591"/>
      <c r="E20" s="317"/>
      <c r="H20" s="504"/>
      <c r="I20" s="591"/>
      <c r="J20" s="317"/>
    </row>
    <row r="21" spans="3:11">
      <c r="C21" s="504" t="s">
        <v>484</v>
      </c>
      <c r="D21" s="592">
        <v>1460086</v>
      </c>
      <c r="E21" s="317"/>
      <c r="H21" s="504" t="s">
        <v>484</v>
      </c>
      <c r="I21" s="592">
        <v>1047896</v>
      </c>
      <c r="J21" s="317"/>
    </row>
    <row r="22" spans="3:11">
      <c r="C22" s="504"/>
      <c r="D22" s="591"/>
      <c r="E22" s="317"/>
      <c r="H22" s="504" t="s">
        <v>568</v>
      </c>
      <c r="I22" s="592">
        <v>8348000</v>
      </c>
      <c r="J22" s="317"/>
    </row>
    <row r="23" spans="3:11">
      <c r="C23" s="593" t="s">
        <v>491</v>
      </c>
      <c r="D23" s="594">
        <v>100000</v>
      </c>
      <c r="E23" s="317"/>
      <c r="H23" s="593" t="s">
        <v>491</v>
      </c>
      <c r="I23" s="594">
        <v>43750</v>
      </c>
      <c r="J23" s="317"/>
    </row>
    <row r="24" spans="3:11">
      <c r="C24" s="595" t="s">
        <v>555</v>
      </c>
      <c r="D24" s="596">
        <f>D8+D10+D12+D17+D19+D21+D23</f>
        <v>138720902</v>
      </c>
      <c r="E24" s="317"/>
      <c r="H24" s="595" t="s">
        <v>555</v>
      </c>
      <c r="I24" s="596">
        <f>I8+I10+I12+I17+I19+I21+I23+I22</f>
        <v>134864672</v>
      </c>
      <c r="J24" s="317"/>
    </row>
    <row r="25" spans="3:11">
      <c r="C25" s="504"/>
      <c r="D25" s="591"/>
      <c r="E25" s="317"/>
      <c r="H25" s="504"/>
      <c r="I25" s="591"/>
      <c r="J25" s="317"/>
    </row>
    <row r="26" spans="3:11">
      <c r="C26" s="593" t="s">
        <v>556</v>
      </c>
      <c r="D26" s="594">
        <f>0.02*D24</f>
        <v>2774418.04</v>
      </c>
      <c r="E26" s="317"/>
      <c r="H26" s="593" t="s">
        <v>556</v>
      </c>
      <c r="I26" s="594">
        <v>2697294</v>
      </c>
      <c r="J26" s="317"/>
    </row>
    <row r="27" spans="3:11">
      <c r="C27" s="595" t="s">
        <v>557</v>
      </c>
      <c r="D27" s="596">
        <f>D24+D26</f>
        <v>141495320.03999999</v>
      </c>
      <c r="E27" s="317"/>
      <c r="H27" s="595" t="s">
        <v>557</v>
      </c>
      <c r="I27" s="596">
        <f>I24+I26</f>
        <v>137561966</v>
      </c>
      <c r="J27" s="317"/>
    </row>
    <row r="28" spans="3:11">
      <c r="C28" s="504"/>
      <c r="D28" s="591"/>
      <c r="E28" s="317"/>
      <c r="H28" s="504"/>
      <c r="I28" s="591"/>
      <c r="J28" s="317"/>
    </row>
    <row r="29" spans="3:11">
      <c r="C29" s="504" t="s">
        <v>558</v>
      </c>
      <c r="D29" s="592">
        <f>0.015*D27</f>
        <v>2122429.8005999997</v>
      </c>
      <c r="E29" s="317"/>
      <c r="H29" s="504" t="s">
        <v>558</v>
      </c>
      <c r="I29" s="592">
        <v>2063430</v>
      </c>
      <c r="J29" s="317"/>
    </row>
    <row r="30" spans="3:11">
      <c r="C30" s="593" t="s">
        <v>559</v>
      </c>
      <c r="D30" s="594">
        <f>0.06*D27</f>
        <v>8489719.2023999989</v>
      </c>
      <c r="E30" s="317"/>
      <c r="H30" s="593" t="s">
        <v>569</v>
      </c>
      <c r="I30" s="594">
        <v>8253719</v>
      </c>
      <c r="J30" s="317"/>
      <c r="K30" s="601"/>
    </row>
    <row r="31" spans="3:11">
      <c r="C31" s="595" t="s">
        <v>560</v>
      </c>
      <c r="D31" s="596">
        <f>D27+D29+D30</f>
        <v>152107469.04299998</v>
      </c>
      <c r="E31" s="317"/>
      <c r="H31" s="595" t="s">
        <v>560</v>
      </c>
      <c r="I31" s="596">
        <f>I27+I29+I30</f>
        <v>147879115</v>
      </c>
      <c r="J31" s="317"/>
    </row>
    <row r="32" spans="3:11">
      <c r="C32" s="504"/>
      <c r="D32" s="591"/>
      <c r="E32" s="317"/>
      <c r="H32" s="504"/>
      <c r="I32" s="591"/>
      <c r="J32" s="317"/>
    </row>
    <row r="33" spans="3:10">
      <c r="C33" s="504" t="s">
        <v>561</v>
      </c>
      <c r="D33" s="591">
        <f>D31/6</f>
        <v>25351244.840499997</v>
      </c>
      <c r="E33" s="317"/>
      <c r="H33" s="504" t="s">
        <v>561</v>
      </c>
      <c r="I33" s="591">
        <f>I31/6</f>
        <v>24646519.166666668</v>
      </c>
      <c r="J33" s="317"/>
    </row>
    <row r="34" spans="3:10">
      <c r="C34" s="504"/>
      <c r="D34" s="176"/>
      <c r="E34" s="317"/>
      <c r="H34" s="504"/>
      <c r="I34" s="176"/>
      <c r="J34" s="317"/>
    </row>
    <row r="35" spans="3:10">
      <c r="C35" s="504" t="s">
        <v>562</v>
      </c>
      <c r="D35" s="597">
        <f>D30/(D27-D14)</f>
        <v>0.17744466208950643</v>
      </c>
      <c r="E35" s="317"/>
      <c r="H35" s="504" t="s">
        <v>562</v>
      </c>
      <c r="I35" s="597">
        <f>I30/(I27-I14)</f>
        <v>0.16761554565063466</v>
      </c>
      <c r="J35" s="317"/>
    </row>
    <row r="36" spans="3:10">
      <c r="C36" s="504"/>
      <c r="D36" s="176"/>
      <c r="E36" s="317"/>
      <c r="H36" s="504"/>
      <c r="I36" s="176"/>
      <c r="J36" s="317"/>
    </row>
    <row r="37" spans="3:10">
      <c r="C37" s="504" t="s">
        <v>563</v>
      </c>
      <c r="D37" s="176">
        <v>277</v>
      </c>
      <c r="E37" s="317" t="s">
        <v>564</v>
      </c>
      <c r="H37" s="504" t="s">
        <v>563</v>
      </c>
      <c r="I37" s="176">
        <v>273</v>
      </c>
      <c r="J37" s="317" t="s">
        <v>564</v>
      </c>
    </row>
    <row r="38" spans="3:10">
      <c r="C38" s="504"/>
      <c r="D38" s="176"/>
      <c r="E38" s="317"/>
      <c r="H38" s="504"/>
      <c r="I38" s="176"/>
      <c r="J38" s="317"/>
    </row>
    <row r="39" spans="3:10" ht="13.5" thickBot="1">
      <c r="C39" s="598" t="s">
        <v>565</v>
      </c>
      <c r="D39" s="599">
        <f>D31/(D37*1000)</f>
        <v>549.1244369783393</v>
      </c>
      <c r="E39" s="600" t="s">
        <v>566</v>
      </c>
      <c r="H39" s="598" t="s">
        <v>565</v>
      </c>
      <c r="I39" s="599">
        <f>I31/(I37*1000)</f>
        <v>541.68173992673997</v>
      </c>
      <c r="J39" s="600" t="s">
        <v>566</v>
      </c>
    </row>
  </sheetData>
  <pageMargins left="0.75" right="0.75" top="1" bottom="1" header="0.5" footer="0.5"/>
  <pageSetup scale="9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24"/>
  <sheetViews>
    <sheetView zoomScale="75" workbookViewId="0">
      <selection activeCell="D67" sqref="D67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7.28515625" customWidth="1"/>
    <col min="5" max="5" width="13.7109375" customWidth="1"/>
  </cols>
  <sheetData>
    <row r="2" spans="2:4">
      <c r="D2" s="513" t="s">
        <v>541</v>
      </c>
    </row>
    <row r="4" spans="2:4">
      <c r="B4" t="s">
        <v>325</v>
      </c>
      <c r="D4" s="71">
        <f>Assumptions!H12</f>
        <v>6</v>
      </c>
    </row>
    <row r="5" spans="2:4">
      <c r="B5" t="s">
        <v>427</v>
      </c>
      <c r="D5">
        <f>Assumptions!H68</f>
        <v>273</v>
      </c>
    </row>
    <row r="7" spans="2:4">
      <c r="D7" s="525" t="s">
        <v>458</v>
      </c>
    </row>
    <row r="8" spans="2:4">
      <c r="B8" s="522" t="s">
        <v>435</v>
      </c>
    </row>
    <row r="9" spans="2:4">
      <c r="B9" t="s">
        <v>423</v>
      </c>
      <c r="D9" s="523">
        <v>720.80399999999997</v>
      </c>
    </row>
    <row r="10" spans="2:4">
      <c r="B10" t="s">
        <v>424</v>
      </c>
      <c r="D10" s="523">
        <v>947.89099999999996</v>
      </c>
    </row>
    <row r="11" spans="2:4">
      <c r="B11" t="s">
        <v>425</v>
      </c>
      <c r="D11" s="524">
        <v>218.756</v>
      </c>
    </row>
    <row r="12" spans="2:4">
      <c r="D12" s="531">
        <f>SUM(D9:D11)</f>
        <v>1887.451</v>
      </c>
    </row>
    <row r="14" spans="2:4">
      <c r="B14" s="522" t="s">
        <v>434</v>
      </c>
    </row>
    <row r="15" spans="2:4">
      <c r="B15" t="s">
        <v>426</v>
      </c>
      <c r="D15" s="523">
        <v>635.65899999999999</v>
      </c>
    </row>
    <row r="16" spans="2:4">
      <c r="B16" t="s">
        <v>428</v>
      </c>
      <c r="D16" s="523">
        <v>254.50399999999999</v>
      </c>
    </row>
    <row r="17" spans="2:5">
      <c r="B17" t="s">
        <v>535</v>
      </c>
      <c r="D17" s="523">
        <v>262.37099999999998</v>
      </c>
    </row>
    <row r="18" spans="2:5">
      <c r="B18" t="s">
        <v>429</v>
      </c>
      <c r="D18" s="523">
        <v>893.72</v>
      </c>
    </row>
    <row r="19" spans="2:5">
      <c r="B19" t="s">
        <v>543</v>
      </c>
      <c r="D19" s="523">
        <v>562.5</v>
      </c>
    </row>
    <row r="20" spans="2:5">
      <c r="B20" t="s">
        <v>544</v>
      </c>
      <c r="D20" s="524">
        <v>6.75</v>
      </c>
    </row>
    <row r="21" spans="2:5">
      <c r="D21" s="526">
        <f>SUM(D15:D20)</f>
        <v>2615.5039999999999</v>
      </c>
    </row>
    <row r="22" spans="2:5">
      <c r="D22" s="526"/>
    </row>
    <row r="23" spans="2:5">
      <c r="B23" s="522" t="s">
        <v>432</v>
      </c>
    </row>
    <row r="24" spans="2:5">
      <c r="B24" t="s">
        <v>430</v>
      </c>
      <c r="D24" s="526">
        <v>713.24300000000005</v>
      </c>
    </row>
    <row r="26" spans="2:5">
      <c r="B26" s="522" t="s">
        <v>433</v>
      </c>
    </row>
    <row r="27" spans="2:5">
      <c r="B27" s="522" t="s">
        <v>431</v>
      </c>
    </row>
    <row r="28" spans="2:5">
      <c r="B28" t="s">
        <v>436</v>
      </c>
      <c r="D28" s="523">
        <v>86040</v>
      </c>
    </row>
    <row r="29" spans="2:5">
      <c r="B29" t="s">
        <v>422</v>
      </c>
      <c r="D29" s="523">
        <v>600</v>
      </c>
    </row>
    <row r="30" spans="2:5">
      <c r="B30" t="s">
        <v>437</v>
      </c>
      <c r="D30" s="523">
        <v>0</v>
      </c>
    </row>
    <row r="31" spans="2:5">
      <c r="B31" t="s">
        <v>438</v>
      </c>
      <c r="D31" s="523">
        <v>1680</v>
      </c>
      <c r="E31" t="s">
        <v>538</v>
      </c>
    </row>
    <row r="32" spans="2:5">
      <c r="B32" t="s">
        <v>539</v>
      </c>
      <c r="D32" s="523">
        <v>0</v>
      </c>
    </row>
    <row r="33" spans="2:5" ht="15">
      <c r="B33" t="s">
        <v>439</v>
      </c>
      <c r="D33" s="528">
        <v>0</v>
      </c>
    </row>
    <row r="34" spans="2:5">
      <c r="D34" s="527">
        <f>SUM(D28:D33)</f>
        <v>88320</v>
      </c>
      <c r="E34" t="s">
        <v>537</v>
      </c>
    </row>
    <row r="35" spans="2:5">
      <c r="D35" s="527"/>
    </row>
    <row r="36" spans="2:5">
      <c r="B36" s="522" t="s">
        <v>440</v>
      </c>
    </row>
    <row r="37" spans="2:5">
      <c r="B37" t="s">
        <v>441</v>
      </c>
      <c r="D37" s="523">
        <v>393.75</v>
      </c>
    </row>
    <row r="38" spans="2:5">
      <c r="B38" t="s">
        <v>442</v>
      </c>
      <c r="D38" s="523">
        <v>384.42899999999997</v>
      </c>
    </row>
    <row r="39" spans="2:5">
      <c r="B39" t="s">
        <v>443</v>
      </c>
      <c r="D39" s="523">
        <v>225</v>
      </c>
    </row>
    <row r="40" spans="2:5">
      <c r="B40" t="s">
        <v>444</v>
      </c>
      <c r="D40" s="523">
        <v>16.794</v>
      </c>
    </row>
    <row r="41" spans="2:5">
      <c r="B41" s="522" t="s">
        <v>445</v>
      </c>
      <c r="D41" s="523">
        <v>2154</v>
      </c>
    </row>
    <row r="42" spans="2:5">
      <c r="B42" s="522" t="s">
        <v>446</v>
      </c>
      <c r="D42" s="523">
        <v>841.03200000000004</v>
      </c>
    </row>
    <row r="43" spans="2:5">
      <c r="B43" t="s">
        <v>447</v>
      </c>
      <c r="D43" s="523">
        <v>94.841999999999999</v>
      </c>
    </row>
    <row r="44" spans="2:5">
      <c r="B44" t="s">
        <v>448</v>
      </c>
      <c r="D44" s="523">
        <v>94.167000000000002</v>
      </c>
    </row>
    <row r="45" spans="2:5">
      <c r="B45" t="s">
        <v>449</v>
      </c>
      <c r="D45" s="523">
        <v>185.63399999999999</v>
      </c>
    </row>
    <row r="46" spans="2:5">
      <c r="B46" t="s">
        <v>450</v>
      </c>
      <c r="D46" s="523">
        <v>1260.048</v>
      </c>
    </row>
    <row r="47" spans="2:5">
      <c r="B47" t="s">
        <v>451</v>
      </c>
      <c r="D47" s="523">
        <v>326.62</v>
      </c>
    </row>
    <row r="48" spans="2:5">
      <c r="B48" t="s">
        <v>452</v>
      </c>
      <c r="D48" s="523">
        <v>46.244999999999997</v>
      </c>
    </row>
    <row r="49" spans="2:4">
      <c r="B49" t="s">
        <v>453</v>
      </c>
      <c r="D49" s="523">
        <v>305.55</v>
      </c>
    </row>
    <row r="50" spans="2:4">
      <c r="B50" t="s">
        <v>454</v>
      </c>
      <c r="D50" s="523">
        <v>25.974</v>
      </c>
    </row>
    <row r="51" spans="2:4">
      <c r="B51" t="s">
        <v>455</v>
      </c>
      <c r="D51" s="523">
        <v>109.94</v>
      </c>
    </row>
    <row r="52" spans="2:4">
      <c r="B52" t="s">
        <v>456</v>
      </c>
      <c r="D52" s="523">
        <v>0</v>
      </c>
    </row>
    <row r="53" spans="2:4">
      <c r="B53" t="s">
        <v>457</v>
      </c>
      <c r="D53" s="523">
        <v>68.875</v>
      </c>
    </row>
    <row r="54" spans="2:4">
      <c r="B54" s="522" t="s">
        <v>459</v>
      </c>
      <c r="D54" s="523">
        <v>271.66500000000002</v>
      </c>
    </row>
    <row r="55" spans="2:4">
      <c r="B55" s="522" t="s">
        <v>460</v>
      </c>
      <c r="D55" s="523">
        <v>0</v>
      </c>
    </row>
    <row r="56" spans="2:4">
      <c r="B56" t="s">
        <v>571</v>
      </c>
      <c r="D56" s="523">
        <v>1260</v>
      </c>
    </row>
    <row r="57" spans="2:4">
      <c r="B57" t="s">
        <v>570</v>
      </c>
      <c r="D57" s="523">
        <v>620</v>
      </c>
    </row>
    <row r="58" spans="2:4">
      <c r="B58" s="522" t="s">
        <v>320</v>
      </c>
      <c r="D58" s="523">
        <v>2120</v>
      </c>
    </row>
    <row r="59" spans="2:4">
      <c r="B59" t="s">
        <v>461</v>
      </c>
      <c r="D59" s="523">
        <v>168</v>
      </c>
    </row>
    <row r="60" spans="2:4">
      <c r="B60" t="s">
        <v>462</v>
      </c>
      <c r="D60" s="523">
        <v>4600</v>
      </c>
    </row>
    <row r="61" spans="2:4">
      <c r="B61" t="s">
        <v>463</v>
      </c>
      <c r="D61" s="523">
        <v>548.1</v>
      </c>
    </row>
    <row r="62" spans="2:4">
      <c r="B62" t="s">
        <v>464</v>
      </c>
      <c r="D62" s="523">
        <v>82.35</v>
      </c>
    </row>
    <row r="63" spans="2:4">
      <c r="B63" t="s">
        <v>465</v>
      </c>
      <c r="D63" s="523">
        <v>364.75</v>
      </c>
    </row>
    <row r="64" spans="2:4">
      <c r="B64" s="522" t="s">
        <v>466</v>
      </c>
      <c r="D64" s="523">
        <v>2250</v>
      </c>
    </row>
    <row r="65" spans="2:4">
      <c r="B65" t="s">
        <v>467</v>
      </c>
      <c r="D65" s="523">
        <v>532.5</v>
      </c>
    </row>
    <row r="66" spans="2:4" ht="15">
      <c r="B66" t="s">
        <v>468</v>
      </c>
      <c r="D66" s="528">
        <v>566.54399999999998</v>
      </c>
    </row>
    <row r="67" spans="2:4">
      <c r="D67" s="527">
        <f>SUM(D37:D66)</f>
        <v>19916.809000000001</v>
      </c>
    </row>
    <row r="68" spans="2:4">
      <c r="D68" s="529"/>
    </row>
    <row r="69" spans="2:4">
      <c r="B69" t="s">
        <v>469</v>
      </c>
      <c r="D69" s="526">
        <v>5044.2430000000004</v>
      </c>
    </row>
    <row r="71" spans="2:4">
      <c r="B71" s="522" t="s">
        <v>470</v>
      </c>
    </row>
    <row r="72" spans="2:4">
      <c r="B72" t="s">
        <v>471</v>
      </c>
      <c r="D72" s="523">
        <v>910.904</v>
      </c>
    </row>
    <row r="73" spans="2:4">
      <c r="B73" t="s">
        <v>472</v>
      </c>
      <c r="D73" s="523">
        <v>657.63</v>
      </c>
    </row>
    <row r="74" spans="2:4">
      <c r="B74" t="s">
        <v>473</v>
      </c>
      <c r="D74" s="523">
        <v>445.017</v>
      </c>
    </row>
    <row r="75" spans="2:4">
      <c r="B75" t="s">
        <v>474</v>
      </c>
      <c r="D75" s="523">
        <v>1129.472</v>
      </c>
    </row>
    <row r="76" spans="2:4">
      <c r="B76" t="s">
        <v>475</v>
      </c>
      <c r="D76" s="523">
        <v>58.075000000000003</v>
      </c>
    </row>
    <row r="77" spans="2:4">
      <c r="B77" t="s">
        <v>476</v>
      </c>
      <c r="D77" s="523">
        <v>62.726999999999997</v>
      </c>
    </row>
    <row r="78" spans="2:4">
      <c r="B78" t="s">
        <v>477</v>
      </c>
      <c r="D78" s="523">
        <v>3.8140000000000001</v>
      </c>
    </row>
    <row r="79" spans="2:4">
      <c r="B79" t="s">
        <v>478</v>
      </c>
      <c r="D79" s="523">
        <v>157.55000000000001</v>
      </c>
    </row>
    <row r="80" spans="2:4">
      <c r="B80" t="s">
        <v>479</v>
      </c>
      <c r="D80" s="523">
        <v>1074.5719999999999</v>
      </c>
    </row>
    <row r="81" spans="2:4">
      <c r="B81" t="s">
        <v>480</v>
      </c>
      <c r="D81" s="523">
        <v>1086.6849999999999</v>
      </c>
    </row>
    <row r="82" spans="2:4">
      <c r="B82" t="s">
        <v>481</v>
      </c>
      <c r="D82" s="523">
        <v>201.61600000000001</v>
      </c>
    </row>
    <row r="83" spans="2:4">
      <c r="B83" t="s">
        <v>485</v>
      </c>
      <c r="D83" s="523">
        <v>205.50899999999999</v>
      </c>
    </row>
    <row r="84" spans="2:4">
      <c r="B84" t="s">
        <v>482</v>
      </c>
      <c r="D84" s="523">
        <v>26.271999999999998</v>
      </c>
    </row>
    <row r="85" spans="2:4">
      <c r="B85" t="s">
        <v>483</v>
      </c>
      <c r="D85" s="530">
        <v>907.94399999999996</v>
      </c>
    </row>
    <row r="86" spans="2:4">
      <c r="D86" s="526">
        <f>SUM(D72:D85)</f>
        <v>6927.7870000000003</v>
      </c>
    </row>
    <row r="88" spans="2:4">
      <c r="B88" s="522" t="s">
        <v>484</v>
      </c>
    </row>
    <row r="89" spans="2:4">
      <c r="B89" t="s">
        <v>486</v>
      </c>
      <c r="D89" s="523">
        <v>759.52800000000002</v>
      </c>
    </row>
    <row r="90" spans="2:4">
      <c r="B90" t="s">
        <v>487</v>
      </c>
      <c r="D90" s="523">
        <v>12.5</v>
      </c>
    </row>
    <row r="91" spans="2:4">
      <c r="B91" t="s">
        <v>488</v>
      </c>
      <c r="D91" s="523">
        <v>123.25</v>
      </c>
    </row>
    <row r="92" spans="2:4">
      <c r="B92" t="s">
        <v>489</v>
      </c>
      <c r="D92" s="523">
        <v>40.6</v>
      </c>
    </row>
    <row r="93" spans="2:4" ht="15">
      <c r="B93" t="s">
        <v>490</v>
      </c>
      <c r="D93" s="528">
        <v>112.018</v>
      </c>
    </row>
    <row r="94" spans="2:4">
      <c r="D94" s="526">
        <f>SUM(D89:D93)</f>
        <v>1047.896</v>
      </c>
    </row>
    <row r="96" spans="2:4">
      <c r="B96" s="522" t="s">
        <v>491</v>
      </c>
      <c r="D96" s="526">
        <v>43.75</v>
      </c>
    </row>
    <row r="98" spans="2:4">
      <c r="B98" s="522" t="s">
        <v>492</v>
      </c>
    </row>
    <row r="99" spans="2:4">
      <c r="B99" t="s">
        <v>493</v>
      </c>
      <c r="D99" s="523">
        <v>0</v>
      </c>
    </row>
    <row r="100" spans="2:4">
      <c r="B100" t="s">
        <v>494</v>
      </c>
      <c r="D100" s="523">
        <v>0</v>
      </c>
    </row>
    <row r="101" spans="2:4">
      <c r="B101" t="s">
        <v>495</v>
      </c>
      <c r="D101" s="523">
        <v>0</v>
      </c>
    </row>
    <row r="102" spans="2:4">
      <c r="B102" t="s">
        <v>496</v>
      </c>
      <c r="D102" s="523">
        <v>172.7</v>
      </c>
    </row>
    <row r="103" spans="2:4">
      <c r="B103" t="s">
        <v>497</v>
      </c>
      <c r="D103" s="523">
        <v>4675</v>
      </c>
    </row>
    <row r="104" spans="2:4">
      <c r="B104" t="s">
        <v>498</v>
      </c>
      <c r="D104" s="523">
        <v>1500</v>
      </c>
    </row>
    <row r="105" spans="2:4">
      <c r="B105" t="s">
        <v>499</v>
      </c>
      <c r="D105" s="523">
        <v>1400</v>
      </c>
    </row>
    <row r="106" spans="2:4">
      <c r="B106" t="s">
        <v>500</v>
      </c>
      <c r="D106" s="523">
        <v>600</v>
      </c>
    </row>
    <row r="107" spans="2:4" ht="15">
      <c r="B107" t="s">
        <v>501</v>
      </c>
      <c r="D107" s="528">
        <v>0</v>
      </c>
    </row>
    <row r="108" spans="2:4">
      <c r="D108" s="527">
        <f>SUM(D99:D107)</f>
        <v>8347.7000000000007</v>
      </c>
    </row>
    <row r="111" spans="2:4">
      <c r="B111" s="522" t="s">
        <v>502</v>
      </c>
      <c r="D111" s="527">
        <f>D108+D96+D86+D69+D67+D34+D24+D21+D12</f>
        <v>133816.48699999999</v>
      </c>
    </row>
    <row r="112" spans="2:4">
      <c r="B112" s="522"/>
    </row>
    <row r="113" spans="2:4">
      <c r="B113" s="522" t="s">
        <v>503</v>
      </c>
      <c r="D113" s="526">
        <v>2697.2939999999999</v>
      </c>
    </row>
    <row r="115" spans="2:4">
      <c r="B115" s="522" t="s">
        <v>504</v>
      </c>
      <c r="D115" s="526">
        <f>D113+D111</f>
        <v>136513.78099999999</v>
      </c>
    </row>
    <row r="117" spans="2:4">
      <c r="B117" t="s">
        <v>169</v>
      </c>
      <c r="D117" s="523">
        <v>2063.4299999999998</v>
      </c>
    </row>
    <row r="118" spans="2:4" ht="15">
      <c r="B118" t="s">
        <v>505</v>
      </c>
      <c r="D118" s="528">
        <v>8253.7180000000008</v>
      </c>
    </row>
    <row r="119" spans="2:4">
      <c r="D119" s="527">
        <f>SUM(D117:D118)</f>
        <v>10317.148000000001</v>
      </c>
    </row>
    <row r="121" spans="2:4">
      <c r="B121" t="s">
        <v>506</v>
      </c>
      <c r="D121" s="526">
        <f>D119+D115</f>
        <v>146830.929</v>
      </c>
    </row>
    <row r="124" spans="2:4" ht="15.75">
      <c r="B124" s="57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1" sqref="D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5" t="str">
        <f>Assumptions!A3</f>
        <v>PROJECT NAME: Homestead, Florida</v>
      </c>
    </row>
    <row r="3" spans="1:63" ht="12" customHeight="1">
      <c r="B3" s="26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</row>
    <row r="4" spans="1:63" ht="18.75">
      <c r="B4" s="167" t="s">
        <v>384</v>
      </c>
      <c r="C4" s="67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</row>
    <row r="5" spans="1:63" ht="18.75">
      <c r="B5" s="20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</row>
    <row r="6" spans="1:63">
      <c r="B6" s="136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</row>
    <row r="7" spans="1:63">
      <c r="B7" s="135"/>
      <c r="C7" s="95"/>
      <c r="D7" s="207">
        <f>(Assumptions!H18/12)</f>
        <v>0.66666666666666663</v>
      </c>
      <c r="E7" s="207">
        <f>D7+1</f>
        <v>1.6666666666666665</v>
      </c>
      <c r="F7" s="207">
        <f t="shared" ref="F7:Y7" si="0">E7+1</f>
        <v>2.6666666666666665</v>
      </c>
      <c r="G7" s="207">
        <f t="shared" si="0"/>
        <v>3.6666666666666665</v>
      </c>
      <c r="H7" s="207">
        <f t="shared" si="0"/>
        <v>4.6666666666666661</v>
      </c>
      <c r="I7" s="207">
        <f t="shared" si="0"/>
        <v>5.6666666666666661</v>
      </c>
      <c r="J7" s="207">
        <f t="shared" si="0"/>
        <v>6.6666666666666661</v>
      </c>
      <c r="K7" s="207">
        <f t="shared" si="0"/>
        <v>7.6666666666666661</v>
      </c>
      <c r="L7" s="207">
        <f t="shared" si="0"/>
        <v>8.6666666666666661</v>
      </c>
      <c r="M7" s="207">
        <f t="shared" si="0"/>
        <v>9.6666666666666661</v>
      </c>
      <c r="N7" s="207">
        <f t="shared" si="0"/>
        <v>10.666666666666666</v>
      </c>
      <c r="O7" s="207">
        <f t="shared" si="0"/>
        <v>11.666666666666666</v>
      </c>
      <c r="P7" s="207">
        <f t="shared" si="0"/>
        <v>12.666666666666666</v>
      </c>
      <c r="Q7" s="207">
        <f t="shared" si="0"/>
        <v>13.666666666666666</v>
      </c>
      <c r="R7" s="207">
        <f t="shared" si="0"/>
        <v>14.666666666666666</v>
      </c>
      <c r="S7" s="207">
        <f t="shared" si="0"/>
        <v>15.666666666666666</v>
      </c>
      <c r="T7" s="207">
        <f t="shared" si="0"/>
        <v>16.666666666666664</v>
      </c>
      <c r="U7" s="207">
        <f t="shared" si="0"/>
        <v>17.666666666666664</v>
      </c>
      <c r="V7" s="207">
        <f t="shared" si="0"/>
        <v>18.666666666666664</v>
      </c>
      <c r="W7" s="207">
        <f t="shared" si="0"/>
        <v>19.666666666666664</v>
      </c>
      <c r="X7" s="207">
        <f t="shared" si="0"/>
        <v>20.666666666666664</v>
      </c>
      <c r="Y7" s="207">
        <f t="shared" si="0"/>
        <v>21.666666666666664</v>
      </c>
      <c r="Z7" s="207">
        <f t="shared" ref="Z7:AG7" si="1">Y7+1</f>
        <v>22.666666666666664</v>
      </c>
      <c r="AA7" s="207">
        <f t="shared" si="1"/>
        <v>23.666666666666664</v>
      </c>
      <c r="AB7" s="207">
        <f t="shared" si="1"/>
        <v>24.666666666666664</v>
      </c>
      <c r="AC7" s="207">
        <f t="shared" si="1"/>
        <v>25.666666666666664</v>
      </c>
      <c r="AD7" s="207">
        <f t="shared" si="1"/>
        <v>26.666666666666664</v>
      </c>
      <c r="AE7" s="207">
        <f t="shared" si="1"/>
        <v>27.666666666666664</v>
      </c>
      <c r="AF7" s="207">
        <f t="shared" si="1"/>
        <v>28.666666666666664</v>
      </c>
      <c r="AG7" s="207">
        <f t="shared" si="1"/>
        <v>29.666666666666664</v>
      </c>
      <c r="AH7" s="207">
        <f>AG7+1</f>
        <v>30.666666666666664</v>
      </c>
    </row>
    <row r="8" spans="1:63" ht="16.5" thickBot="1">
      <c r="B8" s="204"/>
      <c r="C8" s="204"/>
      <c r="D8" s="496">
        <f>YEAR(Assumptions!H17)</f>
        <v>2001</v>
      </c>
      <c r="E8" s="496">
        <f t="shared" ref="E8:X8" si="2">D8+1</f>
        <v>2002</v>
      </c>
      <c r="F8" s="496">
        <f t="shared" si="2"/>
        <v>2003</v>
      </c>
      <c r="G8" s="496">
        <f t="shared" si="2"/>
        <v>2004</v>
      </c>
      <c r="H8" s="496">
        <f t="shared" si="2"/>
        <v>2005</v>
      </c>
      <c r="I8" s="496">
        <f t="shared" si="2"/>
        <v>2006</v>
      </c>
      <c r="J8" s="496">
        <f t="shared" si="2"/>
        <v>2007</v>
      </c>
      <c r="K8" s="496">
        <f t="shared" si="2"/>
        <v>2008</v>
      </c>
      <c r="L8" s="496">
        <f t="shared" si="2"/>
        <v>2009</v>
      </c>
      <c r="M8" s="496">
        <f t="shared" si="2"/>
        <v>2010</v>
      </c>
      <c r="N8" s="496">
        <f t="shared" si="2"/>
        <v>2011</v>
      </c>
      <c r="O8" s="496">
        <f t="shared" si="2"/>
        <v>2012</v>
      </c>
      <c r="P8" s="496">
        <f t="shared" si="2"/>
        <v>2013</v>
      </c>
      <c r="Q8" s="496">
        <f t="shared" si="2"/>
        <v>2014</v>
      </c>
      <c r="R8" s="496">
        <f t="shared" si="2"/>
        <v>2015</v>
      </c>
      <c r="S8" s="496">
        <f t="shared" si="2"/>
        <v>2016</v>
      </c>
      <c r="T8" s="496">
        <f t="shared" si="2"/>
        <v>2017</v>
      </c>
      <c r="U8" s="496">
        <f t="shared" si="2"/>
        <v>2018</v>
      </c>
      <c r="V8" s="496">
        <f t="shared" si="2"/>
        <v>2019</v>
      </c>
      <c r="W8" s="496">
        <f t="shared" si="2"/>
        <v>2020</v>
      </c>
      <c r="X8" s="496">
        <f t="shared" si="2"/>
        <v>2021</v>
      </c>
      <c r="Y8" s="496">
        <f>X8+1</f>
        <v>2022</v>
      </c>
      <c r="Z8" s="496">
        <f t="shared" ref="Z8:AG8" si="3">Y8+1</f>
        <v>2023</v>
      </c>
      <c r="AA8" s="496">
        <f t="shared" si="3"/>
        <v>2024</v>
      </c>
      <c r="AB8" s="496">
        <f t="shared" si="3"/>
        <v>2025</v>
      </c>
      <c r="AC8" s="496">
        <f t="shared" si="3"/>
        <v>2026</v>
      </c>
      <c r="AD8" s="496">
        <f t="shared" si="3"/>
        <v>2027</v>
      </c>
      <c r="AE8" s="496">
        <f t="shared" si="3"/>
        <v>2028</v>
      </c>
      <c r="AF8" s="496">
        <f t="shared" si="3"/>
        <v>2029</v>
      </c>
      <c r="AG8" s="496">
        <f t="shared" si="3"/>
        <v>2030</v>
      </c>
      <c r="AH8" s="496">
        <f>AG8+1</f>
        <v>2031</v>
      </c>
    </row>
    <row r="9" spans="1:63">
      <c r="B9" s="95"/>
      <c r="C9" s="95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63">
      <c r="A10" s="12"/>
      <c r="B10" s="473" t="s">
        <v>396</v>
      </c>
      <c r="C10" s="13"/>
      <c r="D10" s="344"/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4"/>
      <c r="C11" s="13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4"/>
      <c r="AF11" s="344"/>
      <c r="AG11" s="344"/>
      <c r="AH11" s="34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2" t="s">
        <v>290</v>
      </c>
      <c r="C12" s="13"/>
      <c r="D12" s="475">
        <f>Assumptions!$H$54</f>
        <v>6.1528415727579624</v>
      </c>
      <c r="E12" s="475">
        <f>Assumptions!$H$54</f>
        <v>6.1528415727579624</v>
      </c>
      <c r="F12" s="475">
        <f>Assumptions!$H$54</f>
        <v>6.1528415727579624</v>
      </c>
      <c r="G12" s="475">
        <f>Assumptions!$H$54</f>
        <v>6.1528415727579624</v>
      </c>
      <c r="H12" s="475">
        <f>Assumptions!$H$54</f>
        <v>6.1528415727579624</v>
      </c>
      <c r="I12" s="475">
        <f>Assumptions!$H$54</f>
        <v>6.1528415727579624</v>
      </c>
      <c r="J12" s="475">
        <f>Assumptions!$H$54</f>
        <v>6.1528415727579624</v>
      </c>
      <c r="K12" s="475">
        <f>Assumptions!$H$54</f>
        <v>6.1528415727579624</v>
      </c>
      <c r="L12" s="475">
        <f>Assumptions!$H$54</f>
        <v>6.1528415727579624</v>
      </c>
      <c r="M12" s="475">
        <f>Assumptions!$H$54</f>
        <v>6.1528415727579624</v>
      </c>
      <c r="N12" s="475">
        <f>Assumptions!$H$54</f>
        <v>6.1528415727579624</v>
      </c>
      <c r="O12" s="475">
        <f>Assumptions!$H$54</f>
        <v>6.1528415727579624</v>
      </c>
      <c r="P12" s="475">
        <f>Assumptions!$H$54</f>
        <v>6.1528415727579624</v>
      </c>
      <c r="Q12" s="475">
        <f>Assumptions!$H$54</f>
        <v>6.1528415727579624</v>
      </c>
      <c r="R12" s="475">
        <f>Assumptions!$H$54</f>
        <v>6.1528415727579624</v>
      </c>
      <c r="S12" s="475">
        <f>Assumptions!$H$54</f>
        <v>6.1528415727579624</v>
      </c>
      <c r="T12" s="475">
        <f>Assumptions!$H$54</f>
        <v>6.1528415727579624</v>
      </c>
      <c r="U12" s="475">
        <f>Assumptions!$H$54</f>
        <v>6.1528415727579624</v>
      </c>
      <c r="V12" s="475">
        <f>Assumptions!$H$54</f>
        <v>6.1528415727579624</v>
      </c>
      <c r="W12" s="475">
        <f>Assumptions!$H$54</f>
        <v>6.1528415727579624</v>
      </c>
      <c r="X12" s="475">
        <f>Assumptions!$H$54</f>
        <v>6.1528415727579624</v>
      </c>
      <c r="Y12" s="475">
        <f>Assumptions!$H$54</f>
        <v>6.1528415727579624</v>
      </c>
      <c r="Z12" s="475">
        <f>Assumptions!$H$54</f>
        <v>6.1528415727579624</v>
      </c>
      <c r="AA12" s="475">
        <f>Assumptions!$H$54</f>
        <v>6.1528415727579624</v>
      </c>
      <c r="AB12" s="475">
        <f>Assumptions!$H$54</f>
        <v>6.1528415727579624</v>
      </c>
      <c r="AC12" s="475">
        <f>Assumptions!$H$54</f>
        <v>6.1528415727579624</v>
      </c>
      <c r="AD12" s="475">
        <f>Assumptions!$H$54</f>
        <v>6.1528415727579624</v>
      </c>
      <c r="AE12" s="475">
        <f>Assumptions!$H$54</f>
        <v>6.1528415727579624</v>
      </c>
      <c r="AF12" s="475">
        <f>Assumptions!$H$54</f>
        <v>6.1528415727579624</v>
      </c>
      <c r="AG12" s="475">
        <f>Assumptions!$H$54</f>
        <v>6.1528415727579624</v>
      </c>
      <c r="AH12" s="475">
        <f>Assumptions!$H$54</f>
        <v>6.1528415727579624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2"/>
      <c r="C13" s="13"/>
      <c r="D13" s="344"/>
      <c r="E13" s="344"/>
      <c r="F13" s="344"/>
      <c r="G13" s="344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  <c r="AG13" s="344"/>
      <c r="AH13" s="34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2" t="s">
        <v>299</v>
      </c>
      <c r="C14" s="13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/>
      <c r="AA14" s="344"/>
      <c r="AB14" s="344"/>
      <c r="AC14" s="344"/>
      <c r="AD14" s="344"/>
      <c r="AE14" s="344"/>
      <c r="AF14" s="344"/>
      <c r="AG14" s="344"/>
      <c r="AH14" s="34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228</v>
      </c>
      <c r="C15" s="12"/>
      <c r="D15" s="476">
        <v>5.4933333333333332</v>
      </c>
      <c r="E15" s="476">
        <v>5.6581333333333328</v>
      </c>
      <c r="F15" s="476">
        <v>5.6457561666666676</v>
      </c>
      <c r="G15" s="476">
        <v>5.7213364508333333</v>
      </c>
      <c r="H15" s="476">
        <v>5.6997641986416658</v>
      </c>
      <c r="I15" s="476">
        <v>5.7712527665568336</v>
      </c>
      <c r="J15" s="476">
        <v>5.8419008607681322</v>
      </c>
      <c r="K15" s="476">
        <v>5.9115937131422074</v>
      </c>
      <c r="L15" s="476">
        <v>6.088941524536474</v>
      </c>
      <c r="M15" s="476">
        <v>6.1596167386605574</v>
      </c>
      <c r="N15" s="476">
        <v>6.3444052408203753</v>
      </c>
      <c r="O15" s="476">
        <v>6.4159239908078041</v>
      </c>
      <c r="P15" s="476">
        <v>6.6084017105320383</v>
      </c>
      <c r="Q15" s="476">
        <v>6.680604618110074</v>
      </c>
      <c r="R15" s="476">
        <v>6.7511921386033125</v>
      </c>
      <c r="S15" s="476">
        <v>6.8200023661698452</v>
      </c>
      <c r="T15" s="476">
        <v>6.8868651344656273</v>
      </c>
      <c r="U15" s="476">
        <v>6.951601666729605</v>
      </c>
      <c r="V15" s="476">
        <v>7.014024212308402</v>
      </c>
      <c r="W15" s="476">
        <v>7.0739356691218687</v>
      </c>
      <c r="X15" s="476">
        <v>7.1311291915530655</v>
      </c>
      <c r="Y15" s="476">
        <v>7.1853877832279265</v>
      </c>
      <c r="Z15" s="476">
        <v>7.2396463749027831</v>
      </c>
      <c r="AA15" s="476">
        <v>7.2939049665776494</v>
      </c>
      <c r="AB15" s="476">
        <v>7.3481635582525087</v>
      </c>
      <c r="AC15" s="476">
        <v>7.402422149927367</v>
      </c>
      <c r="AD15" s="476">
        <v>7.4566807416022245</v>
      </c>
      <c r="AE15" s="476">
        <v>7.5109393332770908</v>
      </c>
      <c r="AF15" s="476">
        <v>7.5651979249519501</v>
      </c>
      <c r="AG15" s="476">
        <v>7.6194565166268085</v>
      </c>
      <c r="AH15" s="47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229</v>
      </c>
      <c r="C16" s="12"/>
      <c r="D16" s="476">
        <v>4.3775000000000004</v>
      </c>
      <c r="E16" s="476">
        <v>4.5088249999999999</v>
      </c>
      <c r="F16" s="476">
        <v>4.7351503333333334</v>
      </c>
      <c r="G16" s="476">
        <v>4.8772048433333328</v>
      </c>
      <c r="H16" s="476">
        <v>5.023520988633333</v>
      </c>
      <c r="I16" s="476">
        <v>5.1742266182923329</v>
      </c>
      <c r="J16" s="476">
        <v>5.3294534168411039</v>
      </c>
      <c r="K16" s="476">
        <v>5.2782086724483994</v>
      </c>
      <c r="L16" s="476">
        <v>5.2190927353169778</v>
      </c>
      <c r="M16" s="476">
        <v>5.0396864225404565</v>
      </c>
      <c r="N16" s="476">
        <v>4.9601713700959298</v>
      </c>
      <c r="O16" s="476">
        <v>4.8713496967244438</v>
      </c>
      <c r="P16" s="476">
        <v>4.8951123781718797</v>
      </c>
      <c r="Q16" s="476">
        <v>4.9159166057791106</v>
      </c>
      <c r="R16" s="476">
        <v>4.8037328678523572</v>
      </c>
      <c r="S16" s="476">
        <v>4.8141193172963614</v>
      </c>
      <c r="T16" s="476">
        <v>4.8208055941259396</v>
      </c>
      <c r="U16" s="476">
        <v>4.9654297619497179</v>
      </c>
      <c r="V16" s="476">
        <v>5.114392654808209</v>
      </c>
      <c r="W16" s="476">
        <v>5.117315164896671</v>
      </c>
      <c r="X16" s="476">
        <v>5.27083461984357</v>
      </c>
      <c r="Y16" s="476">
        <v>5.4289596584388775</v>
      </c>
      <c r="Z16" s="476">
        <v>5.5870846970341832</v>
      </c>
      <c r="AA16" s="476">
        <v>5.7452097356294916</v>
      </c>
      <c r="AB16" s="476">
        <v>5.9033347742247999</v>
      </c>
      <c r="AC16" s="476">
        <v>6.0614598128201083</v>
      </c>
      <c r="AD16" s="476">
        <v>6.2195848514154086</v>
      </c>
      <c r="AE16" s="476">
        <v>6.377709890010717</v>
      </c>
      <c r="AF16" s="476">
        <v>6.5358349286060253</v>
      </c>
      <c r="AG16" s="476">
        <v>6.6939599672013337</v>
      </c>
      <c r="AH16" s="47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226</v>
      </c>
      <c r="C17" s="12"/>
      <c r="D17" s="477">
        <v>0</v>
      </c>
      <c r="E17" s="477">
        <v>0</v>
      </c>
      <c r="F17" s="477">
        <v>0</v>
      </c>
      <c r="G17" s="477">
        <v>0</v>
      </c>
      <c r="H17" s="477">
        <v>0</v>
      </c>
      <c r="I17" s="477">
        <v>0</v>
      </c>
      <c r="J17" s="477">
        <v>0</v>
      </c>
      <c r="K17" s="477">
        <v>0</v>
      </c>
      <c r="L17" s="477">
        <v>0</v>
      </c>
      <c r="M17" s="477">
        <v>0</v>
      </c>
      <c r="N17" s="477">
        <v>0</v>
      </c>
      <c r="O17" s="477">
        <v>0</v>
      </c>
      <c r="P17" s="477">
        <v>0</v>
      </c>
      <c r="Q17" s="477">
        <v>0</v>
      </c>
      <c r="R17" s="477">
        <v>0</v>
      </c>
      <c r="S17" s="477">
        <v>0</v>
      </c>
      <c r="T17" s="477">
        <v>0</v>
      </c>
      <c r="U17" s="477">
        <v>0</v>
      </c>
      <c r="V17" s="477">
        <v>0</v>
      </c>
      <c r="W17" s="477">
        <v>0</v>
      </c>
      <c r="X17" s="477">
        <v>0</v>
      </c>
      <c r="Y17" s="477">
        <v>0</v>
      </c>
      <c r="Z17" s="477">
        <v>0</v>
      </c>
      <c r="AA17" s="477">
        <v>0</v>
      </c>
      <c r="AB17" s="477">
        <v>0</v>
      </c>
      <c r="AC17" s="477">
        <v>0</v>
      </c>
      <c r="AD17" s="477">
        <v>0</v>
      </c>
      <c r="AE17" s="477">
        <v>0</v>
      </c>
      <c r="AF17" s="477">
        <v>0</v>
      </c>
      <c r="AG17" s="477">
        <v>0</v>
      </c>
      <c r="AH17" s="477">
        <v>0</v>
      </c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79">
        <v>0</v>
      </c>
      <c r="E18" s="479">
        <v>0</v>
      </c>
      <c r="F18" s="479">
        <v>0</v>
      </c>
      <c r="G18" s="479">
        <v>0</v>
      </c>
      <c r="H18" s="479">
        <v>0</v>
      </c>
      <c r="I18" s="479">
        <v>0</v>
      </c>
      <c r="J18" s="479">
        <v>0</v>
      </c>
      <c r="K18" s="479">
        <v>0</v>
      </c>
      <c r="L18" s="479">
        <v>0</v>
      </c>
      <c r="M18" s="479">
        <v>0</v>
      </c>
      <c r="N18" s="479">
        <v>0</v>
      </c>
      <c r="O18" s="479">
        <v>0</v>
      </c>
      <c r="P18" s="479">
        <v>0</v>
      </c>
      <c r="Q18" s="479">
        <v>0</v>
      </c>
      <c r="R18" s="479">
        <v>0</v>
      </c>
      <c r="S18" s="479">
        <v>0</v>
      </c>
      <c r="T18" s="479">
        <v>0</v>
      </c>
      <c r="U18" s="479">
        <v>0</v>
      </c>
      <c r="V18" s="479">
        <v>0</v>
      </c>
      <c r="W18" s="479">
        <v>0</v>
      </c>
      <c r="X18" s="479">
        <v>0</v>
      </c>
      <c r="Y18" s="479">
        <v>0</v>
      </c>
      <c r="Z18" s="479">
        <v>0</v>
      </c>
      <c r="AA18" s="479">
        <v>0</v>
      </c>
      <c r="AB18" s="479">
        <v>0</v>
      </c>
      <c r="AC18" s="479">
        <v>0</v>
      </c>
      <c r="AD18" s="479">
        <v>0</v>
      </c>
      <c r="AE18" s="479">
        <v>0</v>
      </c>
      <c r="AF18" s="479">
        <v>0</v>
      </c>
      <c r="AG18" s="479">
        <v>0</v>
      </c>
      <c r="AH18" s="47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0">
        <v>1</v>
      </c>
      <c r="B19" s="13" t="s">
        <v>116</v>
      </c>
      <c r="C19" s="481"/>
      <c r="D19" s="482">
        <f t="shared" ref="D19:AH19" si="4">CHOOSE($A$19,D15,D16,D17,D18)</f>
        <v>5.4933333333333332</v>
      </c>
      <c r="E19" s="482">
        <f t="shared" si="4"/>
        <v>5.6581333333333328</v>
      </c>
      <c r="F19" s="482">
        <f t="shared" si="4"/>
        <v>5.6457561666666676</v>
      </c>
      <c r="G19" s="482">
        <f t="shared" si="4"/>
        <v>5.7213364508333333</v>
      </c>
      <c r="H19" s="482">
        <f t="shared" si="4"/>
        <v>5.6997641986416658</v>
      </c>
      <c r="I19" s="482">
        <f t="shared" si="4"/>
        <v>5.7712527665568336</v>
      </c>
      <c r="J19" s="482">
        <f t="shared" si="4"/>
        <v>5.8419008607681322</v>
      </c>
      <c r="K19" s="482">
        <f t="shared" si="4"/>
        <v>5.9115937131422074</v>
      </c>
      <c r="L19" s="482">
        <f t="shared" si="4"/>
        <v>6.088941524536474</v>
      </c>
      <c r="M19" s="482">
        <f t="shared" si="4"/>
        <v>6.1596167386605574</v>
      </c>
      <c r="N19" s="482">
        <f t="shared" si="4"/>
        <v>6.3444052408203753</v>
      </c>
      <c r="O19" s="482">
        <f t="shared" si="4"/>
        <v>6.4159239908078041</v>
      </c>
      <c r="P19" s="482">
        <f t="shared" si="4"/>
        <v>6.6084017105320383</v>
      </c>
      <c r="Q19" s="482">
        <f t="shared" si="4"/>
        <v>6.680604618110074</v>
      </c>
      <c r="R19" s="482">
        <f t="shared" si="4"/>
        <v>6.7511921386033125</v>
      </c>
      <c r="S19" s="482">
        <f t="shared" si="4"/>
        <v>6.8200023661698452</v>
      </c>
      <c r="T19" s="482">
        <f t="shared" si="4"/>
        <v>6.8868651344656273</v>
      </c>
      <c r="U19" s="482">
        <f t="shared" si="4"/>
        <v>6.951601666729605</v>
      </c>
      <c r="V19" s="482">
        <f t="shared" si="4"/>
        <v>7.014024212308402</v>
      </c>
      <c r="W19" s="482">
        <f t="shared" si="4"/>
        <v>7.0739356691218687</v>
      </c>
      <c r="X19" s="482">
        <f t="shared" si="4"/>
        <v>7.1311291915530655</v>
      </c>
      <c r="Y19" s="482">
        <f t="shared" si="4"/>
        <v>7.1853877832279265</v>
      </c>
      <c r="Z19" s="482">
        <f t="shared" si="4"/>
        <v>7.2396463749027831</v>
      </c>
      <c r="AA19" s="482">
        <f t="shared" si="4"/>
        <v>7.2939049665776494</v>
      </c>
      <c r="AB19" s="482">
        <f t="shared" si="4"/>
        <v>7.3481635582525087</v>
      </c>
      <c r="AC19" s="482">
        <f t="shared" si="4"/>
        <v>7.402422149927367</v>
      </c>
      <c r="AD19" s="482">
        <f t="shared" si="4"/>
        <v>7.4566807416022245</v>
      </c>
      <c r="AE19" s="482">
        <f t="shared" si="4"/>
        <v>7.5109393332770908</v>
      </c>
      <c r="AF19" s="482">
        <f t="shared" si="4"/>
        <v>7.5651979249519501</v>
      </c>
      <c r="AG19" s="482">
        <f t="shared" si="4"/>
        <v>7.6194565166268085</v>
      </c>
      <c r="AH19" s="48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1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4"/>
      <c r="Z20" s="485"/>
      <c r="AA20" s="48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293</v>
      </c>
      <c r="C21" s="481"/>
      <c r="D21" s="486">
        <f>IF(AND(C7&lt;$D$7+Assumptions!$H$53,D7&lt;$D$7+Assumptions!$H$53),D12,IF(AND(C7&lt;$D$7+Assumptions!$H$53,D7&gt;$D$7+Assumptions!$H$53),D12*(1-$D$7)+D19*$D$7,D19))</f>
        <v>6.1528415727579624</v>
      </c>
      <c r="E21" s="487">
        <f>IF(AND(D7&lt;$D$7+Assumptions!$H$53,E7&lt;$D$7+Assumptions!$H$53),E12,IF(AND(D7&lt;$D$7+Assumptions!$H$53,E7&gt;=$D$7+Assumptions!$H$53),E12*(1-$D$7)+E19*$D$7,E19))</f>
        <v>6.1528415727579624</v>
      </c>
      <c r="F21" s="487">
        <f>IF(AND(E7&lt;$D$7+Assumptions!$H$53,F7&lt;$D$7+Assumptions!$H$53),F12,IF(AND(E7&lt;$D$7+Assumptions!$H$53,F7&gt;=$D$7+Assumptions!$H$53),F12*(1-$D$7)+F19*$D$7,F19))</f>
        <v>6.1528415727579624</v>
      </c>
      <c r="G21" s="487">
        <f>IF(AND(F7&lt;$D$7+Assumptions!$H$53,G7&lt;$D$7+Assumptions!$H$53),G12,IF(AND(F7&lt;$D$7+Assumptions!$H$53,G7&gt;=$D$7+Assumptions!$H$53),G12*(1-$D$7)+G19*$D$7,G19))</f>
        <v>6.1528415727579624</v>
      </c>
      <c r="H21" s="487">
        <f>IF(AND(G7&lt;$D$7+Assumptions!$H$53,H7&lt;$D$7+Assumptions!$H$53),H12,IF(AND(G7&lt;$D$7+Assumptions!$H$53,H7&gt;=$D$7+Assumptions!$H$53),H12*(1-$D$7)+H19*$D$7,H19))</f>
        <v>6.1528415727579624</v>
      </c>
      <c r="I21" s="487">
        <f>IF(AND(H7&lt;$D$7+Assumptions!$H$53,I7&lt;$D$7+Assumptions!$H$53),I12,IF(AND(H7&lt;$D$7+Assumptions!$H$53,I7&gt;=$D$7+Assumptions!$H$53),I12*(1-$D$7)+I19*$D$7,I19))</f>
        <v>6.1528415727579624</v>
      </c>
      <c r="J21" s="487">
        <f>IF(AND(I7&lt;$D$7+Assumptions!$H$53,J7&lt;$D$7+Assumptions!$H$53),J12,IF(AND(I7&lt;$D$7+Assumptions!$H$53,J7&gt;=$D$7+Assumptions!$H$53),J12*(1-$D$7)+J19*$D$7,J19))</f>
        <v>6.1528415727579624</v>
      </c>
      <c r="K21" s="487">
        <f>IF(AND(J7&lt;$D$7+Assumptions!$H$53,K7&lt;$D$7+Assumptions!$H$53),K12,IF(AND(J7&lt;$D$7+Assumptions!$H$53,K7&gt;=$D$7+Assumptions!$H$53),K12*(1-$D$7)+K19*$D$7,K19))</f>
        <v>6.1528415727579624</v>
      </c>
      <c r="L21" s="487">
        <f>IF(AND(K7&lt;$D$7+Assumptions!$H$53,L7&lt;$D$7+Assumptions!$H$53),L12,IF(AND(K7&lt;$D$7+Assumptions!$H$53,L7&gt;=$D$7+Assumptions!$H$53),L12*(1-$D$7)+L19*$D$7,L19))</f>
        <v>6.1528415727579624</v>
      </c>
      <c r="M21" s="487">
        <f>IF(AND(L7&lt;$D$7+Assumptions!$H$53,M7&lt;$D$7+Assumptions!$H$53),M12,IF(AND(L7&lt;$D$7+Assumptions!$H$53,M7&gt;=$D$7+Assumptions!$H$53),M12*(1-$D$7)+M19*$D$7,M19))</f>
        <v>6.1528415727579624</v>
      </c>
      <c r="N21" s="487">
        <f>IF(AND(M7&lt;$D$7+Assumptions!$H$53,N7&lt;$D$7+Assumptions!$H$53),N12,IF(AND(M7&lt;$D$7+Assumptions!$H$53,N7&gt;=$D$7+Assumptions!$H$53),N12*(1-$D$7)+N19*$D$7,N19))</f>
        <v>6.1528415727579624</v>
      </c>
      <c r="O21" s="487">
        <f>IF(AND(N7&lt;$D$7+Assumptions!$H$53,O7&lt;$D$7+Assumptions!$H$53),O12,IF(AND(N7&lt;$D$7+Assumptions!$H$53,O7&gt;=$D$7+Assumptions!$H$53),O12*(1-$D$7)+O19*$D$7,O19))</f>
        <v>6.1528415727579624</v>
      </c>
      <c r="P21" s="487">
        <f>IF(AND(O7&lt;$D$7+Assumptions!$H$53,P7&lt;$D$7+Assumptions!$H$53),P12,IF(AND(O7&lt;$D$7+Assumptions!$H$53,P7&gt;=$D$7+Assumptions!$H$53),P12*(1-$D$7)+P19*$D$7,P19))</f>
        <v>6.1528415727579624</v>
      </c>
      <c r="Q21" s="487">
        <f>IF(AND(P7&lt;$D$7+Assumptions!$H$53,Q7&lt;$D$7+Assumptions!$H$53),Q12,IF(AND(P7&lt;$D$7+Assumptions!$H$53,Q7&gt;=$D$7+Assumptions!$H$53),Q12*(1-$D$7)+Q19*$D$7,Q19))</f>
        <v>6.1528415727579624</v>
      </c>
      <c r="R21" s="488">
        <f>IF(AND(Q7&lt;$D$7+Assumptions!$H$53,R7&lt;$D$7+Assumptions!$H$53),R12,IF(AND(Q7&lt;$D$7+Assumptions!$H$53,R7&gt;=$D$7+Assumptions!$H$53),R12*(1-$D$7)+R19*$D$7,R19))</f>
        <v>6.1528415727579624</v>
      </c>
      <c r="S21" s="486">
        <f>IF(AND(R7&lt;$D$7+Assumptions!$H$53,S7&lt;$D$7+Assumptions!$H$53),S12,IF(AND(R7&lt;$D$7+Assumptions!$H$53,S7&gt;=$D$7+Assumptions!$H$53),S12*(1-$D$7)+S19*$D$7,S19))</f>
        <v>6.1528415727579624</v>
      </c>
      <c r="T21" s="487">
        <f>IF(AND(S7&lt;$D$7+Assumptions!$H$53,T7&lt;$D$7+Assumptions!$H$53),T12,IF(AND(S7&lt;$D$7+Assumptions!$H$53,T7&gt;=$D$7+Assumptions!$H$53),T12*(1-$D$7)+T19*$D$7,T19))</f>
        <v>6.1528415727579624</v>
      </c>
      <c r="U21" s="487">
        <f>IF(AND(T7&lt;$D$7+Assumptions!$H$53,U7&lt;$D$7+Assumptions!$H$53),U12,IF(AND(T7&lt;$D$7+Assumptions!$H$53,U7&gt;=$D$7+Assumptions!$H$53),U12*(1-$D$7)+U19*$D$7,U19))</f>
        <v>6.1528415727579624</v>
      </c>
      <c r="V21" s="487">
        <f>IF(AND(U7&lt;$D$7+Assumptions!$H$53,V7&lt;$D$7+Assumptions!$H$53),V12,IF(AND(U7&lt;$D$7+Assumptions!$H$53,V7&gt;=$D$7+Assumptions!$H$53),V12*(1-$D$7)+V19*$D$7,V19))</f>
        <v>6.1528415727579624</v>
      </c>
      <c r="W21" s="487">
        <f>IF(AND(V7&lt;$D$7+Assumptions!$H$53,W7&lt;$D$7+Assumptions!$H$53),W12,IF(AND(V7&lt;$D$7+Assumptions!$H$53,W7&gt;=$D$7+Assumptions!$H$53),W12*(1-$D$7)+W19*$D$7,W19))</f>
        <v>6.1528415727579624</v>
      </c>
      <c r="X21" s="487">
        <f>IF(AND(W7&lt;$D$7+Assumptions!$H$53,X7&lt;$D$7+Assumptions!$H$53),X12,IF(AND(W7&lt;$D$7+Assumptions!$H$53,X7&gt;=$D$7+Assumptions!$H$53),X12*(1-$D$7)+X19*$D$7,X19))</f>
        <v>6.1528415727579624</v>
      </c>
      <c r="Y21" s="487">
        <f>IF(AND(X7&lt;$D$7+Assumptions!$H$53,Y7&lt;$D$7+Assumptions!$H$53),Y12,IF(AND(X7&lt;$D$7+Assumptions!$H$53,Y7&gt;=$D$7+Assumptions!$H$53),Y12*(1-$D$7)+Y19*$D$7,Y19))</f>
        <v>6.1528415727579624</v>
      </c>
      <c r="Z21" s="487">
        <f>IF(AND(Y7&lt;$D$7+Assumptions!$H$53,Z7&lt;$D$7+Assumptions!$H$53),Z12,IF(AND(Y7&lt;$D$7+Assumptions!$H$53,Z7&gt;=$D$7+Assumptions!$H$53),Z12*(1-$D$7)+Z19*$D$7,Z19))</f>
        <v>6.1528415727579624</v>
      </c>
      <c r="AA21" s="487">
        <f>IF(AND(Z7&lt;$D$7+Assumptions!$H$53,AA7&lt;$D$7+Assumptions!$H$53),AA12,IF(AND(Z7&lt;$D$7+Assumptions!$H$53,AA7&gt;=$D$7+Assumptions!$H$53),AA12*(1-$D$7)+AA19*$D$7,AA19))</f>
        <v>6.1528415727579624</v>
      </c>
      <c r="AB21" s="487">
        <f>IF(AND(AA7&lt;$D$7+Assumptions!$H$53,AB7&lt;$D$7+Assumptions!$H$53),AB12,IF(AND(AA7&lt;$D$7+Assumptions!$H$53,AB7&gt;=$D$7+Assumptions!$H$53),AB12*(1-$D$7)+AB19*$D$7,AB19))</f>
        <v>6.1528415727579624</v>
      </c>
      <c r="AC21" s="487">
        <f>IF(AND(AB7&lt;$D$7+Assumptions!$H$53,AC7&lt;$D$7+Assumptions!$H$53),AC12,IF(AND(AB7&lt;$D$7+Assumptions!$H$53,AC7&gt;=$D$7+Assumptions!$H$53),AC12*(1-$D$7)+AC19*$D$7,AC19))</f>
        <v>6.1528415727579624</v>
      </c>
      <c r="AD21" s="487">
        <f>IF(AND(AC7&lt;$D$7+Assumptions!$H$53,AD7&lt;$D$7+Assumptions!$H$53),AD12,IF(AND(AC7&lt;$D$7+Assumptions!$H$53,AD7&gt;=$D$7+Assumptions!$H$53),AD12*(1-$D$7)+AD19*$D$7,AD19))</f>
        <v>6.1528415727579624</v>
      </c>
      <c r="AE21" s="487">
        <f>IF(AND(AD7&lt;$D$7+Assumptions!$H$53,AE7&lt;$D$7+Assumptions!$H$53),AE12,IF(AND(AD7&lt;$D$7+Assumptions!$H$53,AE7&gt;=$D$7+Assumptions!$H$53),AE12*(1-$D$7)+AE19*$D$7,AE19))</f>
        <v>6.1528415727579624</v>
      </c>
      <c r="AF21" s="487">
        <f>IF(AND(AE7&lt;$D$7+Assumptions!$H$53,AF7&lt;$D$7+Assumptions!$H$53),AF12,IF(AND(AE7&lt;$D$7+Assumptions!$H$53,AF7&gt;=$D$7+Assumptions!$H$53),AF12*(1-$D$7)+AF19*$D$7,AF19))</f>
        <v>6.1528415727579624</v>
      </c>
      <c r="AG21" s="487">
        <f>IF(AND(AF7&lt;$D$7+Assumptions!$H$53,AG7&lt;$D$7+Assumptions!$H$53),AG12,IF(AND(AF7&lt;$D$7+Assumptions!$H$53,AG7&gt;=$D$7+Assumptions!$H$53),AG12*(1-$D$7)+AG19*$D$7,AG19))</f>
        <v>6.1528415727579624</v>
      </c>
      <c r="AH21" s="488">
        <f>IF(AND(AG7&lt;$D$7+Assumptions!$H$53,AH7&lt;$D$7+Assumptions!$H$53),AH12,IF(AND(AG7&lt;$D$7+Assumptions!$H$53,AH7&gt;=$D$7+Assumptions!$H$53),AH12*(1-$D$7)+AH19*$D$7,AH19))</f>
        <v>7.1667572631204317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1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4"/>
      <c r="Z22" s="485"/>
      <c r="AA22" s="48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3" t="s">
        <v>374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419</v>
      </c>
      <c r="C25" s="489"/>
      <c r="D25" s="477">
        <f>'Fuel Oil Curve'!G4</f>
        <v>4.3843820861678013</v>
      </c>
      <c r="E25" s="477">
        <f>'Fuel Oil Curve'!G5</f>
        <v>4.2499291383219955</v>
      </c>
      <c r="F25" s="477">
        <f>'Fuel Oil Curve'!G6</f>
        <v>4.1938350340136061</v>
      </c>
      <c r="G25" s="477">
        <f>'Fuel Oil Curve'!G7</f>
        <v>4.1759070294784584</v>
      </c>
      <c r="H25" s="477">
        <f>'Fuel Oil Curve'!G8</f>
        <v>4.1729875283446711</v>
      </c>
      <c r="I25" s="477">
        <f>'Fuel Oil Curve'!G9</f>
        <v>4.2383503401360549</v>
      </c>
      <c r="J25" s="477">
        <f>'Fuel Oil Curve'!G10</f>
        <v>4.340476190476191</v>
      </c>
      <c r="K25" s="477">
        <f>'Fuel Oil Curve'!G11</f>
        <v>4.3489370748299327</v>
      </c>
      <c r="L25" s="477">
        <f>'Fuel Oil Curve'!G12</f>
        <v>4.3489370748299327</v>
      </c>
      <c r="M25" s="477">
        <f>'Fuel Oil Curve'!G13</f>
        <v>4.3489370748299327</v>
      </c>
      <c r="N25" s="477">
        <f>'Fuel Oil Curve'!G14</f>
        <v>4.3489370748299327</v>
      </c>
      <c r="O25" s="477">
        <f>'Fuel Oil Curve'!G15</f>
        <v>4.3489370748299327</v>
      </c>
      <c r="P25" s="477">
        <f>'Fuel Oil Curve'!G16</f>
        <v>4.3489370748299327</v>
      </c>
      <c r="Q25" s="477">
        <f>'Fuel Oil Curve'!G17</f>
        <v>4.3489370748299327</v>
      </c>
      <c r="R25" s="477">
        <f>'Fuel Oil Curve'!G18</f>
        <v>4.3489370748299327</v>
      </c>
      <c r="S25" s="477">
        <f>'Fuel Oil Curve'!G19</f>
        <v>4.3489370748299327</v>
      </c>
      <c r="T25" s="477">
        <f>'Fuel Oil Curve'!G20</f>
        <v>4.3499999999999996</v>
      </c>
      <c r="U25" s="477">
        <f>'Fuel Oil Curve'!G21</f>
        <v>4.3499999999999996</v>
      </c>
      <c r="V25" s="477">
        <f>'Fuel Oil Curve'!G22</f>
        <v>4.3499999999999996</v>
      </c>
      <c r="W25" s="477">
        <f>'Fuel Oil Curve'!G23</f>
        <v>4.3499999999999996</v>
      </c>
      <c r="X25" s="477">
        <f>'Fuel Oil Curve'!G24</f>
        <v>4.3499999999999996</v>
      </c>
      <c r="Y25" s="477">
        <v>2.2000000000000002</v>
      </c>
      <c r="Z25" s="477">
        <v>2.2000000000000002</v>
      </c>
      <c r="AA25" s="477">
        <v>2.2000000000000002</v>
      </c>
      <c r="AB25" s="477">
        <v>2.2000000000000002</v>
      </c>
      <c r="AC25" s="477">
        <v>2.2000000000000002</v>
      </c>
      <c r="AD25" s="477">
        <v>2.2000000000000002</v>
      </c>
      <c r="AE25" s="477">
        <v>2.2000000000000002</v>
      </c>
      <c r="AF25" s="477">
        <v>2.2000000000000002</v>
      </c>
      <c r="AG25" s="477">
        <v>2.2000000000000002</v>
      </c>
      <c r="AH25" s="47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223</v>
      </c>
      <c r="C26" s="13"/>
      <c r="D26" s="477">
        <v>2.5</v>
      </c>
      <c r="E26" s="477">
        <v>2.5</v>
      </c>
      <c r="F26" s="477">
        <v>2.5</v>
      </c>
      <c r="G26" s="477">
        <v>2.5</v>
      </c>
      <c r="H26" s="477">
        <v>2.5</v>
      </c>
      <c r="I26" s="477">
        <v>2.5</v>
      </c>
      <c r="J26" s="477">
        <v>2.5</v>
      </c>
      <c r="K26" s="477">
        <v>2.5</v>
      </c>
      <c r="L26" s="477">
        <v>2.5</v>
      </c>
      <c r="M26" s="477">
        <v>2.5</v>
      </c>
      <c r="N26" s="477">
        <v>2.5</v>
      </c>
      <c r="O26" s="477">
        <v>2.5</v>
      </c>
      <c r="P26" s="477">
        <v>2.5</v>
      </c>
      <c r="Q26" s="477">
        <v>2.5</v>
      </c>
      <c r="R26" s="477">
        <v>2.5</v>
      </c>
      <c r="S26" s="477">
        <v>2.5</v>
      </c>
      <c r="T26" s="477">
        <v>2.5</v>
      </c>
      <c r="U26" s="477">
        <v>2.5</v>
      </c>
      <c r="V26" s="477">
        <v>2.5</v>
      </c>
      <c r="W26" s="477">
        <v>2.5</v>
      </c>
      <c r="X26" s="477">
        <v>2.5</v>
      </c>
      <c r="Y26" s="477">
        <v>2.5</v>
      </c>
      <c r="Z26" s="477">
        <v>2.5</v>
      </c>
      <c r="AA26" s="477">
        <v>2.5</v>
      </c>
      <c r="AB26" s="477">
        <v>2.5</v>
      </c>
      <c r="AC26" s="477">
        <v>2.5</v>
      </c>
      <c r="AD26" s="477">
        <v>2.5</v>
      </c>
      <c r="AE26" s="477">
        <v>2.5</v>
      </c>
      <c r="AF26" s="477">
        <v>2.5</v>
      </c>
      <c r="AG26" s="477">
        <v>2.5</v>
      </c>
      <c r="AH26" s="47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490">
        <v>1.5</v>
      </c>
      <c r="E27" s="490">
        <v>1.5</v>
      </c>
      <c r="F27" s="490">
        <v>1.5</v>
      </c>
      <c r="G27" s="490">
        <v>1.5</v>
      </c>
      <c r="H27" s="490">
        <v>1.5</v>
      </c>
      <c r="I27" s="490">
        <v>1.5</v>
      </c>
      <c r="J27" s="490">
        <v>1.5</v>
      </c>
      <c r="K27" s="490">
        <v>1.5</v>
      </c>
      <c r="L27" s="490">
        <v>1.5</v>
      </c>
      <c r="M27" s="490">
        <v>1.5</v>
      </c>
      <c r="N27" s="490">
        <v>1.5</v>
      </c>
      <c r="O27" s="490">
        <v>1.5</v>
      </c>
      <c r="P27" s="490">
        <v>1.5</v>
      </c>
      <c r="Q27" s="490">
        <v>1.5</v>
      </c>
      <c r="R27" s="490">
        <v>1.5</v>
      </c>
      <c r="S27" s="490">
        <v>1.5</v>
      </c>
      <c r="T27" s="490">
        <v>1.5</v>
      </c>
      <c r="U27" s="490">
        <v>1.5</v>
      </c>
      <c r="V27" s="490">
        <v>1.5</v>
      </c>
      <c r="W27" s="490">
        <v>1.5</v>
      </c>
      <c r="X27" s="490">
        <v>1.5</v>
      </c>
      <c r="Y27" s="490">
        <v>1.5</v>
      </c>
      <c r="Z27" s="490">
        <v>1.5</v>
      </c>
      <c r="AA27" s="490">
        <v>1.5</v>
      </c>
      <c r="AB27" s="490">
        <v>1.5</v>
      </c>
      <c r="AC27" s="490">
        <v>1.5</v>
      </c>
      <c r="AD27" s="490">
        <v>1.5</v>
      </c>
      <c r="AE27" s="490">
        <v>1.5</v>
      </c>
      <c r="AF27" s="490">
        <v>1.5</v>
      </c>
      <c r="AG27" s="490">
        <v>1.5</v>
      </c>
      <c r="AH27" s="49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224</v>
      </c>
      <c r="C28" s="13"/>
      <c r="D28" s="491">
        <f>Assumptions!$N$54</f>
        <v>1.4999999999999999E-2</v>
      </c>
      <c r="E28" s="491">
        <f>Assumptions!$N$54</f>
        <v>1.4999999999999999E-2</v>
      </c>
      <c r="F28" s="491">
        <f>Assumptions!$N$54</f>
        <v>1.4999999999999999E-2</v>
      </c>
      <c r="G28" s="491">
        <f>Assumptions!$N$54</f>
        <v>1.4999999999999999E-2</v>
      </c>
      <c r="H28" s="491">
        <f>Assumptions!$N$54</f>
        <v>1.4999999999999999E-2</v>
      </c>
      <c r="I28" s="491">
        <f>Assumptions!$N$54</f>
        <v>1.4999999999999999E-2</v>
      </c>
      <c r="J28" s="491">
        <f>Assumptions!$N$54</f>
        <v>1.4999999999999999E-2</v>
      </c>
      <c r="K28" s="491">
        <f>Assumptions!$N$54</f>
        <v>1.4999999999999999E-2</v>
      </c>
      <c r="L28" s="491">
        <f>Assumptions!$N$54</f>
        <v>1.4999999999999999E-2</v>
      </c>
      <c r="M28" s="491">
        <f>Assumptions!$N$54</f>
        <v>1.4999999999999999E-2</v>
      </c>
      <c r="N28" s="491">
        <f>Assumptions!$N$54</f>
        <v>1.4999999999999999E-2</v>
      </c>
      <c r="O28" s="491">
        <f>Assumptions!$N$54</f>
        <v>1.4999999999999999E-2</v>
      </c>
      <c r="P28" s="491">
        <f>Assumptions!$N$54</f>
        <v>1.4999999999999999E-2</v>
      </c>
      <c r="Q28" s="491">
        <f>Assumptions!$N$54</f>
        <v>1.4999999999999999E-2</v>
      </c>
      <c r="R28" s="491">
        <f>Assumptions!$N$54</f>
        <v>1.4999999999999999E-2</v>
      </c>
      <c r="S28" s="491">
        <f>Assumptions!$N$54</f>
        <v>1.4999999999999999E-2</v>
      </c>
      <c r="T28" s="491">
        <f>Assumptions!$N$54</f>
        <v>1.4999999999999999E-2</v>
      </c>
      <c r="U28" s="491">
        <f>Assumptions!$N$54</f>
        <v>1.4999999999999999E-2</v>
      </c>
      <c r="V28" s="491">
        <f>Assumptions!$N$54</f>
        <v>1.4999999999999999E-2</v>
      </c>
      <c r="W28" s="491">
        <f>Assumptions!$N$54</f>
        <v>1.4999999999999999E-2</v>
      </c>
      <c r="X28" s="491">
        <f>Assumptions!$N$54</f>
        <v>1.4999999999999999E-2</v>
      </c>
      <c r="Y28" s="491">
        <f>Assumptions!$N$54</f>
        <v>1.4999999999999999E-2</v>
      </c>
      <c r="Z28" s="491">
        <f>Assumptions!$N$54</f>
        <v>1.4999999999999999E-2</v>
      </c>
      <c r="AA28" s="491">
        <f>Assumptions!$N$54</f>
        <v>1.4999999999999999E-2</v>
      </c>
      <c r="AB28" s="491">
        <f>Assumptions!$N$54</f>
        <v>1.4999999999999999E-2</v>
      </c>
      <c r="AC28" s="491">
        <f>Assumptions!$N$54</f>
        <v>1.4999999999999999E-2</v>
      </c>
      <c r="AD28" s="491">
        <f>Assumptions!$N$54</f>
        <v>1.4999999999999999E-2</v>
      </c>
      <c r="AE28" s="491">
        <f>Assumptions!$N$54</f>
        <v>1.4999999999999999E-2</v>
      </c>
      <c r="AF28" s="491">
        <f>Assumptions!$N$54</f>
        <v>1.4999999999999999E-2</v>
      </c>
      <c r="AG28" s="491">
        <f>Assumptions!$N$54</f>
        <v>1.4999999999999999E-2</v>
      </c>
      <c r="AH28" s="49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0">
        <f>Assumptions!U13</f>
        <v>1</v>
      </c>
      <c r="B30" s="43" t="s">
        <v>221</v>
      </c>
      <c r="C30" s="12"/>
      <c r="D30" s="49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49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49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49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49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49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49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49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49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49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49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49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49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49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49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49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49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49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49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49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49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49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49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49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49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49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49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49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49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49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49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3" t="s">
        <v>375</v>
      </c>
      <c r="C33" s="13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344"/>
      <c r="AB33" s="344"/>
      <c r="AC33" s="344"/>
      <c r="AD33" s="344"/>
      <c r="AE33" s="344"/>
      <c r="AF33" s="344"/>
      <c r="AG33" s="344"/>
      <c r="AH33" s="34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222</v>
      </c>
      <c r="C34" s="12"/>
      <c r="D34" s="478">
        <f>D44*'Price_Technical Assumption'!D30/1000</f>
        <v>46.753252970238094</v>
      </c>
      <c r="E34" s="478">
        <f>E44*'Price_Technical Assumption'!E30/1000</f>
        <v>45.319501860119047</v>
      </c>
      <c r="F34" s="478">
        <f>F44*'Price_Technical Assumption'!F30/1000</f>
        <v>44.721337330357144</v>
      </c>
      <c r="G34" s="478">
        <f>G44*'Price_Technical Assumption'!G30/1000</f>
        <v>44.530160440476187</v>
      </c>
      <c r="H34" s="478">
        <f>H44*'Price_Technical Assumption'!H30/1000</f>
        <v>44.499028077380949</v>
      </c>
      <c r="I34" s="478">
        <f>I44*'Price_Technical Assumption'!I30/1000</f>
        <v>45.196030303571426</v>
      </c>
      <c r="J34" s="478">
        <f>J44*'Price_Technical Assumption'!J30/1000</f>
        <v>46.285058499999998</v>
      </c>
      <c r="K34" s="478">
        <f>K44*'Price_Technical Assumption'!K30/1000</f>
        <v>46.375281901785719</v>
      </c>
      <c r="L34" s="478">
        <f>L44*'Price_Technical Assumption'!L30/1000</f>
        <v>46.375281901785719</v>
      </c>
      <c r="M34" s="478">
        <f>M44*'Price_Technical Assumption'!M30/1000</f>
        <v>46.375281901785719</v>
      </c>
      <c r="N34" s="478">
        <f>N44*'Price_Technical Assumption'!N30/1000</f>
        <v>46.375281901785719</v>
      </c>
      <c r="O34" s="478">
        <f>O44*'Price_Technical Assumption'!O30/1000</f>
        <v>46.375281901785719</v>
      </c>
      <c r="P34" s="478">
        <f>P44*'Price_Technical Assumption'!P30/1000</f>
        <v>46.375281901785719</v>
      </c>
      <c r="Q34" s="478">
        <f>Q44*'Price_Technical Assumption'!Q30/1000</f>
        <v>46.375281901785719</v>
      </c>
      <c r="R34" s="478">
        <f>R44*'Price_Technical Assumption'!R30/1000</f>
        <v>46.375281901785719</v>
      </c>
      <c r="S34" s="478">
        <f>S44*'Price_Technical Assumption'!S30/1000</f>
        <v>46.375281901785719</v>
      </c>
      <c r="T34" s="478">
        <f>T44*'Price_Technical Assumption'!T30/1000</f>
        <v>46.386616499999995</v>
      </c>
      <c r="U34" s="478">
        <f>U44*'Price_Technical Assumption'!U30/1000</f>
        <v>46.386616499999995</v>
      </c>
      <c r="V34" s="478">
        <f>V44*'Price_Technical Assumption'!V30/1000</f>
        <v>46.386616499999995</v>
      </c>
      <c r="W34" s="478">
        <f>W44*'Price_Technical Assumption'!W30/1000</f>
        <v>46.386616499999995</v>
      </c>
      <c r="X34" s="478">
        <f>X44*'Price_Technical Assumption'!X30/1000</f>
        <v>46.386616499999995</v>
      </c>
      <c r="Y34" s="478">
        <f>Y44*'Price_Technical Assumption'!Y30/1000</f>
        <v>23.459898000000003</v>
      </c>
      <c r="Z34" s="478">
        <f>Z44*'Price_Technical Assumption'!Z30/1000</f>
        <v>23.459898000000003</v>
      </c>
      <c r="AA34" s="478">
        <f>AA44*'Price_Technical Assumption'!AA30/1000</f>
        <v>23.459898000000003</v>
      </c>
      <c r="AB34" s="478">
        <f>AB44*'Price_Technical Assumption'!AB30/1000</f>
        <v>23.459898000000003</v>
      </c>
      <c r="AC34" s="478">
        <f>AC44*'Price_Technical Assumption'!AC30/1000</f>
        <v>23.459898000000003</v>
      </c>
      <c r="AD34" s="478">
        <f>AD44*'Price_Technical Assumption'!AD30/1000</f>
        <v>23.459898000000003</v>
      </c>
      <c r="AE34" s="478">
        <f>AE44*'Price_Technical Assumption'!AE30/1000</f>
        <v>23.459898000000003</v>
      </c>
      <c r="AF34" s="478">
        <f>AF44*'Price_Technical Assumption'!AF30/1000</f>
        <v>23.459898000000003</v>
      </c>
      <c r="AG34" s="478">
        <f>AG44*'Price_Technical Assumption'!AG30/1000</f>
        <v>23.459898000000003</v>
      </c>
      <c r="AH34" s="478">
        <f>AH44*'Price_Technical Assumption'!AH30/1000</f>
        <v>23.459898000000003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393</v>
      </c>
      <c r="C35" s="458"/>
      <c r="D35" s="495">
        <f>Assumptions!$H$60*(1+Assumptions!$N$11)^(D7)</f>
        <v>1.1348839929304009</v>
      </c>
      <c r="E35" s="495">
        <f>Assumptions!$H$60*(1+Assumptions!$N$11)^(E7)</f>
        <v>1.1575816727890089</v>
      </c>
      <c r="F35" s="495">
        <f>Assumptions!$H$60*(1+Assumptions!$N$11)^(F7)</f>
        <v>1.1807333062447891</v>
      </c>
      <c r="G35" s="495">
        <f>Assumptions!$H$60*(1+Assumptions!$N$11)^(G7)</f>
        <v>1.2043479723696848</v>
      </c>
      <c r="H35" s="495">
        <f>Assumptions!$H$60*(1+Assumptions!$N$11)^(H7)</f>
        <v>1.2284349318170784</v>
      </c>
      <c r="I35" s="495">
        <f>Assumptions!$H$60*(1+Assumptions!$N$11)^(I7)</f>
        <v>1.2530036304534202</v>
      </c>
      <c r="J35" s="495">
        <f>Assumptions!$H$60*(1+Assumptions!$N$11)^(J7)</f>
        <v>1.2780637030624886</v>
      </c>
      <c r="K35" s="495">
        <f>Assumptions!$H$60*(1+Assumptions!$N$11)^(K7)</f>
        <v>1.3036249771237385</v>
      </c>
      <c r="L35" s="495">
        <f>Assumptions!$H$60*(1+Assumptions!$N$11)^(L7)</f>
        <v>1.3296974766662131</v>
      </c>
      <c r="M35" s="495">
        <f>Assumptions!$H$60*(1+Assumptions!$N$11)^(M7)</f>
        <v>1.3562914261995374</v>
      </c>
      <c r="N35" s="495">
        <f>Assumptions!$H$60*(1+Assumptions!$N$11)^(N7)</f>
        <v>1.3834172547235282</v>
      </c>
      <c r="O35" s="495">
        <f>Assumptions!$H$60*(1+Assumptions!$N$11)^(O7)</f>
        <v>1.411085599817999</v>
      </c>
      <c r="P35" s="495">
        <f>Assumptions!$H$60*(1+Assumptions!$N$11)^(P7)</f>
        <v>1.4393073118143589</v>
      </c>
      <c r="Q35" s="495">
        <f>Assumptions!$H$60*(1+Assumptions!$N$11)^(Q7)</f>
        <v>1.4680934580506459</v>
      </c>
      <c r="R35" s="495">
        <f>Assumptions!$H$60*(1+Assumptions!$N$11)^(R7)</f>
        <v>1.4974553272116591</v>
      </c>
      <c r="S35" s="495">
        <f>Assumptions!$H$60*(1+Assumptions!$N$11)^(S7)</f>
        <v>1.5274044337558921</v>
      </c>
      <c r="T35" s="495">
        <f>Assumptions!$H$60*(1+Assumptions!$N$11)^(T7)</f>
        <v>1.55795252243101</v>
      </c>
      <c r="U35" s="495">
        <f>Assumptions!$H$60*(1+Assumptions!$N$11)^(U7)</f>
        <v>1.5891115728796301</v>
      </c>
      <c r="V35" s="495">
        <f>Assumptions!$H$60*(1+Assumptions!$N$11)^(V7)</f>
        <v>1.6208938043372227</v>
      </c>
      <c r="W35" s="495">
        <f>Assumptions!$H$60*(1+Assumptions!$N$11)^(W7)</f>
        <v>1.6533116804239674</v>
      </c>
      <c r="X35" s="495">
        <f>Assumptions!$H$60*(1+Assumptions!$N$11)^(X7)</f>
        <v>1.6863779140324466</v>
      </c>
      <c r="Y35" s="495">
        <f>Assumptions!$H$60*(1+Assumptions!$N$11)^(Y7)</f>
        <v>1.7201054723130957</v>
      </c>
      <c r="Z35" s="495">
        <f>Assumptions!$H$60*(1+Assumptions!$N$11)^(Z7)</f>
        <v>1.7545075817593576</v>
      </c>
      <c r="AA35" s="495">
        <f>Assumptions!$H$60*(1+Assumptions!$N$11)^(AA7)</f>
        <v>1.7895977333945445</v>
      </c>
      <c r="AB35" s="495">
        <f>Assumptions!$H$60*(1+Assumptions!$N$11)^(AB7)</f>
        <v>1.8253896880624356</v>
      </c>
      <c r="AC35" s="495">
        <f>Assumptions!$H$60*(1+Assumptions!$N$11)^(AC7)</f>
        <v>1.8618974818236846</v>
      </c>
      <c r="AD35" s="495">
        <f>Assumptions!$H$60*(1+Assumptions!$N$11)^(AD7)</f>
        <v>1.8991354314601583</v>
      </c>
      <c r="AE35" s="495">
        <f>Assumptions!$H$60*(1+Assumptions!$N$11)^(AE7)</f>
        <v>1.9371181400893616</v>
      </c>
      <c r="AF35" s="495">
        <f>Assumptions!$H$60*(1+Assumptions!$N$11)^(AF7)</f>
        <v>1.9758605028911489</v>
      </c>
      <c r="AG35" s="495">
        <f>Assumptions!$H$60*(1+Assumptions!$N$11)^(AG7)</f>
        <v>2.0153777129489718</v>
      </c>
      <c r="AH35" s="495">
        <f>Assumptions!$H$60*(1+Assumptions!$N$11)^(AH7)</f>
        <v>2.0556852672079509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401</v>
      </c>
      <c r="C36" s="12"/>
      <c r="D36" s="475">
        <f>SUM(D34:D35)</f>
        <v>47.888136963168492</v>
      </c>
      <c r="E36" s="475">
        <f t="shared" ref="E36:AH36" si="5">SUM(E34:E35)</f>
        <v>46.477083532908054</v>
      </c>
      <c r="F36" s="475">
        <f t="shared" si="5"/>
        <v>45.902070636601934</v>
      </c>
      <c r="G36" s="475">
        <f t="shared" si="5"/>
        <v>45.734508412845869</v>
      </c>
      <c r="H36" s="475">
        <f t="shared" si="5"/>
        <v>45.727463009198026</v>
      </c>
      <c r="I36" s="475">
        <f t="shared" si="5"/>
        <v>46.449033934024847</v>
      </c>
      <c r="J36" s="475">
        <f t="shared" si="5"/>
        <v>47.563122203062484</v>
      </c>
      <c r="K36" s="475">
        <f t="shared" si="5"/>
        <v>47.678906878909459</v>
      </c>
      <c r="L36" s="475">
        <f t="shared" si="5"/>
        <v>47.704979378451931</v>
      </c>
      <c r="M36" s="475">
        <f t="shared" si="5"/>
        <v>47.731573327985259</v>
      </c>
      <c r="N36" s="475">
        <f t="shared" si="5"/>
        <v>47.758699156509245</v>
      </c>
      <c r="O36" s="475">
        <f t="shared" si="5"/>
        <v>47.786367501603721</v>
      </c>
      <c r="P36" s="475">
        <f t="shared" si="5"/>
        <v>47.81458921360008</v>
      </c>
      <c r="Q36" s="475">
        <f t="shared" si="5"/>
        <v>47.843375359836365</v>
      </c>
      <c r="R36" s="475">
        <f t="shared" si="5"/>
        <v>47.87273722899738</v>
      </c>
      <c r="S36" s="475">
        <f t="shared" si="5"/>
        <v>47.90268633554161</v>
      </c>
      <c r="T36" s="475">
        <f t="shared" si="5"/>
        <v>47.944569022431004</v>
      </c>
      <c r="U36" s="475">
        <f t="shared" si="5"/>
        <v>47.975728072879626</v>
      </c>
      <c r="V36" s="475">
        <f t="shared" si="5"/>
        <v>48.007510304337217</v>
      </c>
      <c r="W36" s="475">
        <f t="shared" si="5"/>
        <v>48.039928180423964</v>
      </c>
      <c r="X36" s="475">
        <f t="shared" si="5"/>
        <v>48.072994414032443</v>
      </c>
      <c r="Y36" s="475">
        <f t="shared" si="5"/>
        <v>25.1800034723131</v>
      </c>
      <c r="Z36" s="475">
        <f t="shared" si="5"/>
        <v>25.214405581759362</v>
      </c>
      <c r="AA36" s="475">
        <f t="shared" si="5"/>
        <v>25.249495733394546</v>
      </c>
      <c r="AB36" s="475">
        <f t="shared" si="5"/>
        <v>25.285287688062439</v>
      </c>
      <c r="AC36" s="475">
        <f t="shared" si="5"/>
        <v>25.321795481823688</v>
      </c>
      <c r="AD36" s="475">
        <f t="shared" si="5"/>
        <v>25.359033431460162</v>
      </c>
      <c r="AE36" s="475">
        <f t="shared" si="5"/>
        <v>25.397016140089363</v>
      </c>
      <c r="AF36" s="475">
        <f t="shared" si="5"/>
        <v>25.435758502891151</v>
      </c>
      <c r="AG36" s="475">
        <f t="shared" si="5"/>
        <v>25.475275712948974</v>
      </c>
      <c r="AH36" s="475">
        <f t="shared" si="5"/>
        <v>25.515583267207955</v>
      </c>
      <c r="AI36" s="478"/>
      <c r="AJ36" s="47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0" t="str">
        <f>Assumptions!W14</f>
        <v>Pass-through</v>
      </c>
      <c r="B38" s="43" t="s">
        <v>230</v>
      </c>
      <c r="C38" s="12"/>
      <c r="D38" s="492">
        <f>IF($A$38="Pass-through",D36,D34)</f>
        <v>47.888136963168492</v>
      </c>
      <c r="E38" s="493">
        <f t="shared" ref="E38:AH38" si="6">IF($A$38="Pass-through",E36,E34)</f>
        <v>46.477083532908054</v>
      </c>
      <c r="F38" s="493">
        <f t="shared" si="6"/>
        <v>45.902070636601934</v>
      </c>
      <c r="G38" s="493">
        <f t="shared" si="6"/>
        <v>45.734508412845869</v>
      </c>
      <c r="H38" s="493">
        <f t="shared" si="6"/>
        <v>45.727463009198026</v>
      </c>
      <c r="I38" s="493">
        <f t="shared" si="6"/>
        <v>46.449033934024847</v>
      </c>
      <c r="J38" s="493">
        <f t="shared" si="6"/>
        <v>47.563122203062484</v>
      </c>
      <c r="K38" s="493">
        <f t="shared" si="6"/>
        <v>47.678906878909459</v>
      </c>
      <c r="L38" s="493">
        <f t="shared" si="6"/>
        <v>47.704979378451931</v>
      </c>
      <c r="M38" s="493">
        <f t="shared" si="6"/>
        <v>47.731573327985259</v>
      </c>
      <c r="N38" s="493">
        <f t="shared" si="6"/>
        <v>47.758699156509245</v>
      </c>
      <c r="O38" s="493">
        <f t="shared" si="6"/>
        <v>47.786367501603721</v>
      </c>
      <c r="P38" s="493">
        <f t="shared" si="6"/>
        <v>47.81458921360008</v>
      </c>
      <c r="Q38" s="493">
        <f t="shared" si="6"/>
        <v>47.843375359836365</v>
      </c>
      <c r="R38" s="494">
        <f t="shared" si="6"/>
        <v>47.87273722899738</v>
      </c>
      <c r="S38" s="492">
        <f t="shared" si="6"/>
        <v>47.90268633554161</v>
      </c>
      <c r="T38" s="493">
        <f t="shared" si="6"/>
        <v>47.944569022431004</v>
      </c>
      <c r="U38" s="493">
        <f t="shared" si="6"/>
        <v>47.975728072879626</v>
      </c>
      <c r="V38" s="493">
        <f t="shared" si="6"/>
        <v>48.007510304337217</v>
      </c>
      <c r="W38" s="493">
        <f t="shared" si="6"/>
        <v>48.039928180423964</v>
      </c>
      <c r="X38" s="493">
        <f t="shared" si="6"/>
        <v>48.072994414032443</v>
      </c>
      <c r="Y38" s="493">
        <f t="shared" si="6"/>
        <v>25.1800034723131</v>
      </c>
      <c r="Z38" s="493">
        <f t="shared" si="6"/>
        <v>25.214405581759362</v>
      </c>
      <c r="AA38" s="493">
        <f t="shared" si="6"/>
        <v>25.249495733394546</v>
      </c>
      <c r="AB38" s="493">
        <f t="shared" si="6"/>
        <v>25.285287688062439</v>
      </c>
      <c r="AC38" s="493">
        <f t="shared" si="6"/>
        <v>25.321795481823688</v>
      </c>
      <c r="AD38" s="493">
        <f t="shared" si="6"/>
        <v>25.359033431460162</v>
      </c>
      <c r="AE38" s="493">
        <f t="shared" si="6"/>
        <v>25.397016140089363</v>
      </c>
      <c r="AF38" s="493">
        <f t="shared" si="6"/>
        <v>25.435758502891151</v>
      </c>
      <c r="AG38" s="493">
        <f t="shared" si="6"/>
        <v>25.475275712948974</v>
      </c>
      <c r="AH38" s="494">
        <f t="shared" si="6"/>
        <v>25.515583267207955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3" t="s">
        <v>385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386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388</v>
      </c>
      <c r="C43" s="12"/>
      <c r="D43" s="500">
        <v>0.02</v>
      </c>
      <c r="E43" s="500">
        <v>0.02</v>
      </c>
      <c r="F43" s="500">
        <v>0.02</v>
      </c>
      <c r="G43" s="500">
        <v>0.02</v>
      </c>
      <c r="H43" s="500">
        <v>0.02</v>
      </c>
      <c r="I43" s="500">
        <v>0.02</v>
      </c>
      <c r="J43" s="500">
        <v>0.02</v>
      </c>
      <c r="K43" s="500">
        <v>0.02</v>
      </c>
      <c r="L43" s="500">
        <v>0.02</v>
      </c>
      <c r="M43" s="500">
        <v>0.02</v>
      </c>
      <c r="N43" s="500">
        <v>0.02</v>
      </c>
      <c r="O43" s="500">
        <v>0.02</v>
      </c>
      <c r="P43" s="500">
        <v>0.02</v>
      </c>
      <c r="Q43" s="500">
        <v>0.02</v>
      </c>
      <c r="R43" s="500">
        <v>0.02</v>
      </c>
      <c r="S43" s="500">
        <v>0.02</v>
      </c>
      <c r="T43" s="500">
        <v>0.02</v>
      </c>
      <c r="U43" s="500">
        <v>0.02</v>
      </c>
      <c r="V43" s="500">
        <v>0.02</v>
      </c>
      <c r="W43" s="500">
        <v>0.02</v>
      </c>
      <c r="X43" s="500">
        <v>0.02</v>
      </c>
      <c r="Y43" s="500">
        <v>0.02</v>
      </c>
      <c r="Z43" s="500">
        <v>0.02</v>
      </c>
      <c r="AA43" s="500">
        <v>0.02</v>
      </c>
      <c r="AB43" s="500">
        <v>0.02</v>
      </c>
      <c r="AC43" s="500">
        <v>0.02</v>
      </c>
      <c r="AD43" s="500">
        <v>0.02</v>
      </c>
      <c r="AE43" s="500">
        <v>0.02</v>
      </c>
      <c r="AF43" s="500">
        <v>0.02</v>
      </c>
      <c r="AG43" s="500">
        <v>0.02</v>
      </c>
      <c r="AH43" s="50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387</v>
      </c>
      <c r="C44" s="12"/>
      <c r="D44" s="497">
        <f>D42*(1+D43)</f>
        <v>10506</v>
      </c>
      <c r="E44" s="498">
        <f t="shared" ref="E44:AH44" si="7">E42*(1+E43)</f>
        <v>10506</v>
      </c>
      <c r="F44" s="498">
        <f t="shared" si="7"/>
        <v>10506</v>
      </c>
      <c r="G44" s="498">
        <f t="shared" si="7"/>
        <v>10506</v>
      </c>
      <c r="H44" s="498">
        <f t="shared" si="7"/>
        <v>10506</v>
      </c>
      <c r="I44" s="498">
        <f t="shared" si="7"/>
        <v>10506</v>
      </c>
      <c r="J44" s="498">
        <f t="shared" si="7"/>
        <v>10506</v>
      </c>
      <c r="K44" s="498">
        <f t="shared" si="7"/>
        <v>10506</v>
      </c>
      <c r="L44" s="498">
        <f t="shared" si="7"/>
        <v>10506</v>
      </c>
      <c r="M44" s="498">
        <f t="shared" si="7"/>
        <v>10506</v>
      </c>
      <c r="N44" s="498">
        <f t="shared" si="7"/>
        <v>10506</v>
      </c>
      <c r="O44" s="498">
        <f t="shared" si="7"/>
        <v>10506</v>
      </c>
      <c r="P44" s="498">
        <f t="shared" si="7"/>
        <v>10506</v>
      </c>
      <c r="Q44" s="498">
        <f t="shared" si="7"/>
        <v>10506</v>
      </c>
      <c r="R44" s="499">
        <f t="shared" si="7"/>
        <v>10506</v>
      </c>
      <c r="S44" s="497">
        <f t="shared" si="7"/>
        <v>10506</v>
      </c>
      <c r="T44" s="498">
        <f t="shared" si="7"/>
        <v>10506</v>
      </c>
      <c r="U44" s="498">
        <f t="shared" si="7"/>
        <v>10506</v>
      </c>
      <c r="V44" s="498">
        <f t="shared" si="7"/>
        <v>10506</v>
      </c>
      <c r="W44" s="498">
        <f t="shared" si="7"/>
        <v>10506</v>
      </c>
      <c r="X44" s="498">
        <f t="shared" si="7"/>
        <v>10506</v>
      </c>
      <c r="Y44" s="498">
        <f t="shared" si="7"/>
        <v>10506</v>
      </c>
      <c r="Z44" s="498">
        <f t="shared" si="7"/>
        <v>10506</v>
      </c>
      <c r="AA44" s="498">
        <f t="shared" si="7"/>
        <v>10506</v>
      </c>
      <c r="AB44" s="498">
        <f t="shared" si="7"/>
        <v>10506</v>
      </c>
      <c r="AC44" s="498">
        <f t="shared" si="7"/>
        <v>10506</v>
      </c>
      <c r="AD44" s="498">
        <f t="shared" si="7"/>
        <v>10506</v>
      </c>
      <c r="AE44" s="498">
        <f t="shared" si="7"/>
        <v>10506</v>
      </c>
      <c r="AF44" s="498">
        <f t="shared" si="7"/>
        <v>10506</v>
      </c>
      <c r="AG44" s="498">
        <f t="shared" si="7"/>
        <v>10506</v>
      </c>
      <c r="AH44" s="499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2.75"/>
  <cols>
    <col min="1" max="1" width="9.140625" style="521"/>
    <col min="4" max="4" width="13.140625" customWidth="1"/>
  </cols>
  <sheetData>
    <row r="2" spans="1:7">
      <c r="B2" t="s">
        <v>417</v>
      </c>
      <c r="D2" s="513" t="s">
        <v>420</v>
      </c>
    </row>
    <row r="3" spans="1:7">
      <c r="A3" s="521" t="s">
        <v>127</v>
      </c>
      <c r="B3" t="s">
        <v>418</v>
      </c>
      <c r="F3" s="515" t="s">
        <v>23</v>
      </c>
      <c r="G3" s="515" t="s">
        <v>414</v>
      </c>
    </row>
    <row r="4" spans="1:7">
      <c r="A4" s="521">
        <v>37257</v>
      </c>
      <c r="B4">
        <v>4.5994897959183678</v>
      </c>
      <c r="F4">
        <v>2002</v>
      </c>
      <c r="G4" s="514">
        <f>D15</f>
        <v>4.3843820861678013</v>
      </c>
    </row>
    <row r="5" spans="1:7">
      <c r="A5" s="521">
        <v>37288</v>
      </c>
      <c r="B5">
        <v>4.4852040816326531</v>
      </c>
      <c r="F5">
        <v>2003</v>
      </c>
      <c r="G5" s="514">
        <f>D27</f>
        <v>4.2499291383219955</v>
      </c>
    </row>
    <row r="6" spans="1:7">
      <c r="A6" s="521">
        <v>37316</v>
      </c>
      <c r="B6">
        <v>4.353741496598639</v>
      </c>
      <c r="F6">
        <v>2004</v>
      </c>
      <c r="G6" s="514">
        <f>D39</f>
        <v>4.1938350340136061</v>
      </c>
    </row>
    <row r="7" spans="1:7">
      <c r="A7" s="521">
        <v>37347</v>
      </c>
      <c r="B7">
        <v>4.3272108843537413</v>
      </c>
      <c r="F7">
        <v>2005</v>
      </c>
      <c r="G7" s="514">
        <f>D51</f>
        <v>4.1759070294784584</v>
      </c>
    </row>
    <row r="8" spans="1:7">
      <c r="A8" s="521">
        <v>37377</v>
      </c>
      <c r="B8">
        <v>4.2715986394557834</v>
      </c>
      <c r="F8">
        <v>2006</v>
      </c>
      <c r="G8" s="514">
        <f>D63</f>
        <v>4.1729875283446711</v>
      </c>
    </row>
    <row r="9" spans="1:7">
      <c r="A9" s="521">
        <v>37408</v>
      </c>
      <c r="B9">
        <v>4.2794217687074836</v>
      </c>
      <c r="F9">
        <v>2007</v>
      </c>
      <c r="G9" s="514">
        <f>D75</f>
        <v>4.2383503401360549</v>
      </c>
    </row>
    <row r="10" spans="1:7">
      <c r="A10" s="521">
        <v>37438</v>
      </c>
      <c r="B10">
        <v>4.3008503401360549</v>
      </c>
      <c r="F10">
        <v>2008</v>
      </c>
      <c r="G10" s="514">
        <f>D87</f>
        <v>4.340476190476191</v>
      </c>
    </row>
    <row r="11" spans="1:7">
      <c r="A11" s="521">
        <v>37469</v>
      </c>
      <c r="B11">
        <v>4.3515306122448987</v>
      </c>
      <c r="F11">
        <v>2009</v>
      </c>
      <c r="G11" s="514">
        <f>D99</f>
        <v>4.3489370748299327</v>
      </c>
    </row>
    <row r="12" spans="1:7">
      <c r="A12" s="521">
        <v>37500</v>
      </c>
      <c r="B12">
        <v>4.4030612244897958</v>
      </c>
      <c r="F12">
        <v>2010</v>
      </c>
      <c r="G12" s="514">
        <f>D111</f>
        <v>4.3489370748299327</v>
      </c>
    </row>
    <row r="13" spans="1:7">
      <c r="A13" s="521">
        <v>37530</v>
      </c>
      <c r="B13">
        <v>4.3602040816326531</v>
      </c>
      <c r="F13">
        <v>2011</v>
      </c>
      <c r="G13" s="514">
        <f>D123</f>
        <v>4.3489370748299327</v>
      </c>
    </row>
    <row r="14" spans="1:7">
      <c r="A14" s="521">
        <v>37561</v>
      </c>
      <c r="B14">
        <v>4.4193877551020408</v>
      </c>
      <c r="F14">
        <v>2012</v>
      </c>
      <c r="G14" s="514">
        <f>D135</f>
        <v>4.3489370748299327</v>
      </c>
    </row>
    <row r="15" spans="1:7">
      <c r="A15" s="521">
        <v>37591</v>
      </c>
      <c r="B15">
        <v>4.4608843537414966</v>
      </c>
      <c r="D15" s="523">
        <f>AVERAGE(B4:B15)</f>
        <v>4.3843820861678013</v>
      </c>
      <c r="F15">
        <v>2013</v>
      </c>
      <c r="G15" s="514">
        <f>D147</f>
        <v>4.3489370748299327</v>
      </c>
    </row>
    <row r="16" spans="1:7">
      <c r="A16" s="521">
        <v>37622</v>
      </c>
      <c r="B16">
        <v>4.4158163265306118</v>
      </c>
      <c r="F16">
        <v>2014</v>
      </c>
      <c r="G16" s="514">
        <f>D159</f>
        <v>4.3489370748299327</v>
      </c>
    </row>
    <row r="17" spans="1:7">
      <c r="A17" s="521">
        <v>37653</v>
      </c>
      <c r="B17">
        <v>4.3137755102040813</v>
      </c>
      <c r="F17">
        <v>2015</v>
      </c>
      <c r="G17" s="514">
        <f>D171</f>
        <v>4.3489370748299327</v>
      </c>
    </row>
    <row r="18" spans="1:7">
      <c r="A18" s="521">
        <v>37681</v>
      </c>
      <c r="B18">
        <v>4.1923469387755095</v>
      </c>
      <c r="F18">
        <v>2016</v>
      </c>
      <c r="G18" s="514">
        <f>D183</f>
        <v>4.3489370748299327</v>
      </c>
    </row>
    <row r="19" spans="1:7">
      <c r="A19" s="521">
        <v>37712</v>
      </c>
      <c r="B19">
        <v>4.1744897959183671</v>
      </c>
      <c r="F19">
        <v>2017</v>
      </c>
      <c r="G19" s="514">
        <f>D195</f>
        <v>4.3489370748299327</v>
      </c>
    </row>
    <row r="20" spans="1:7">
      <c r="A20" s="521">
        <v>37742</v>
      </c>
      <c r="B20">
        <v>4.1301020408163263</v>
      </c>
      <c r="F20">
        <v>2018</v>
      </c>
      <c r="G20" s="514">
        <v>4.3499999999999996</v>
      </c>
    </row>
    <row r="21" spans="1:7">
      <c r="A21" s="521">
        <v>37773</v>
      </c>
      <c r="B21">
        <v>4.1459183673469386</v>
      </c>
      <c r="F21">
        <v>2019</v>
      </c>
      <c r="G21" s="514">
        <v>4.3499999999999996</v>
      </c>
    </row>
    <row r="22" spans="1:7">
      <c r="A22" s="521">
        <v>37803</v>
      </c>
      <c r="B22">
        <v>4.1744897959183671</v>
      </c>
      <c r="F22">
        <v>2020</v>
      </c>
      <c r="G22" s="514">
        <v>4.3499999999999996</v>
      </c>
    </row>
    <row r="23" spans="1:7">
      <c r="A23" s="521">
        <v>37834</v>
      </c>
      <c r="B23">
        <v>4.2329931972789119</v>
      </c>
      <c r="F23">
        <v>2021</v>
      </c>
      <c r="G23" s="514">
        <v>4.3499999999999996</v>
      </c>
    </row>
    <row r="24" spans="1:7">
      <c r="A24" s="521">
        <v>37865</v>
      </c>
      <c r="B24">
        <v>4.2887755102040819</v>
      </c>
      <c r="F24">
        <v>2022</v>
      </c>
      <c r="G24" s="514">
        <v>4.3499999999999996</v>
      </c>
    </row>
    <row r="25" spans="1:7">
      <c r="A25" s="521">
        <v>37895</v>
      </c>
      <c r="B25">
        <v>4.2508503401360542</v>
      </c>
      <c r="G25" s="514"/>
    </row>
    <row r="26" spans="1:7">
      <c r="A26" s="521">
        <v>37926</v>
      </c>
      <c r="B26">
        <v>4.3158163265306122</v>
      </c>
      <c r="G26" s="514"/>
    </row>
    <row r="27" spans="1:7">
      <c r="A27" s="521">
        <v>37956</v>
      </c>
      <c r="B27">
        <v>4.3637755102040821</v>
      </c>
      <c r="D27" s="523">
        <f>AVERAGE(B16:B27)</f>
        <v>4.2499291383219955</v>
      </c>
      <c r="G27" s="514"/>
    </row>
    <row r="28" spans="1:7">
      <c r="A28" s="521">
        <v>37987</v>
      </c>
      <c r="B28">
        <v>4.3258503401360544</v>
      </c>
      <c r="G28" s="514"/>
    </row>
    <row r="29" spans="1:7">
      <c r="A29" s="521">
        <v>38018</v>
      </c>
      <c r="B29">
        <v>4.2294217687074838</v>
      </c>
      <c r="G29" s="514"/>
    </row>
    <row r="30" spans="1:7">
      <c r="A30" s="521">
        <v>38047</v>
      </c>
      <c r="B30">
        <v>4.1144557823129251</v>
      </c>
    </row>
    <row r="31" spans="1:7">
      <c r="A31" s="521">
        <v>38078</v>
      </c>
      <c r="B31">
        <v>4.1030612244897959</v>
      </c>
    </row>
    <row r="32" spans="1:7">
      <c r="A32" s="521">
        <v>38108</v>
      </c>
      <c r="B32">
        <v>4.0651360544217692</v>
      </c>
    </row>
    <row r="33" spans="1:4">
      <c r="A33" s="521">
        <v>38139</v>
      </c>
      <c r="B33">
        <v>4.0865646258503396</v>
      </c>
    </row>
    <row r="34" spans="1:4">
      <c r="A34" s="521">
        <v>38169</v>
      </c>
      <c r="B34">
        <v>4.1229591836734691</v>
      </c>
    </row>
    <row r="35" spans="1:4">
      <c r="A35" s="521">
        <v>38200</v>
      </c>
      <c r="B35">
        <v>4.1872448979591832</v>
      </c>
    </row>
    <row r="36" spans="1:4">
      <c r="A36" s="521">
        <v>38231</v>
      </c>
      <c r="B36">
        <v>4.2494897959183682</v>
      </c>
    </row>
    <row r="37" spans="1:4">
      <c r="A37" s="521">
        <v>38261</v>
      </c>
      <c r="B37">
        <v>4.2180272108843546</v>
      </c>
    </row>
    <row r="38" spans="1:4">
      <c r="A38" s="521">
        <v>38292</v>
      </c>
      <c r="B38">
        <v>4.2872448979591837</v>
      </c>
    </row>
    <row r="39" spans="1:4">
      <c r="A39" s="521">
        <v>38322</v>
      </c>
      <c r="B39">
        <v>4.3365646258503405</v>
      </c>
      <c r="D39" s="523">
        <f>AVERAGE(B28:B39)</f>
        <v>4.1938350340136061</v>
      </c>
    </row>
    <row r="40" spans="1:4">
      <c r="A40" s="521">
        <v>38353</v>
      </c>
      <c r="B40">
        <v>4.3001700680272101</v>
      </c>
    </row>
    <row r="41" spans="1:4">
      <c r="A41" s="521">
        <v>38384</v>
      </c>
      <c r="B41">
        <v>4.2051020408163264</v>
      </c>
    </row>
    <row r="42" spans="1:4">
      <c r="A42" s="521">
        <v>38412</v>
      </c>
      <c r="B42">
        <v>4.0914965986394556</v>
      </c>
    </row>
    <row r="43" spans="1:4">
      <c r="A43" s="521">
        <v>38443</v>
      </c>
      <c r="B43">
        <v>4.0816326530612237</v>
      </c>
    </row>
    <row r="44" spans="1:4">
      <c r="A44" s="521">
        <v>38473</v>
      </c>
      <c r="B44">
        <v>4.0450680272108848</v>
      </c>
    </row>
    <row r="45" spans="1:4">
      <c r="A45" s="521">
        <v>38504</v>
      </c>
      <c r="B45">
        <v>4.0680272108843543</v>
      </c>
    </row>
    <row r="46" spans="1:4">
      <c r="A46" s="521">
        <v>38534</v>
      </c>
      <c r="B46">
        <v>4.1057823129251698</v>
      </c>
    </row>
    <row r="47" spans="1:4">
      <c r="A47" s="521">
        <v>38565</v>
      </c>
      <c r="B47">
        <v>4.171598639455782</v>
      </c>
    </row>
    <row r="48" spans="1:4">
      <c r="A48" s="521">
        <v>38596</v>
      </c>
      <c r="B48">
        <v>4.2352040816326539</v>
      </c>
    </row>
    <row r="49" spans="1:4">
      <c r="A49" s="521">
        <v>38626</v>
      </c>
      <c r="B49">
        <v>4.2051020408163264</v>
      </c>
    </row>
    <row r="50" spans="1:4">
      <c r="A50" s="521">
        <v>38657</v>
      </c>
      <c r="B50">
        <v>4.2758503401360546</v>
      </c>
    </row>
    <row r="51" spans="1:4">
      <c r="A51" s="521">
        <v>38687</v>
      </c>
      <c r="B51">
        <v>4.3258503401360544</v>
      </c>
      <c r="D51" s="523">
        <f>AVERAGE(B40:B51)</f>
        <v>4.1759070294784584</v>
      </c>
    </row>
    <row r="52" spans="1:4">
      <c r="A52" s="521">
        <v>38718</v>
      </c>
      <c r="B52">
        <v>4.2901360544217688</v>
      </c>
    </row>
    <row r="53" spans="1:4">
      <c r="A53" s="521">
        <v>38749</v>
      </c>
      <c r="B53">
        <v>4.1965986394557824</v>
      </c>
    </row>
    <row r="54" spans="1:4">
      <c r="A54" s="521">
        <v>38777</v>
      </c>
      <c r="B54">
        <v>4.0843537414965976</v>
      </c>
    </row>
    <row r="55" spans="1:4">
      <c r="A55" s="521">
        <v>38808</v>
      </c>
      <c r="B55">
        <v>4.0751700680272105</v>
      </c>
    </row>
    <row r="56" spans="1:4">
      <c r="A56" s="521">
        <v>38838</v>
      </c>
      <c r="B56">
        <v>4.0394557823129249</v>
      </c>
    </row>
    <row r="57" spans="1:4">
      <c r="A57" s="521">
        <v>38869</v>
      </c>
      <c r="B57">
        <v>4.0637755102040813</v>
      </c>
    </row>
    <row r="58" spans="1:4">
      <c r="A58" s="521">
        <v>38899</v>
      </c>
      <c r="B58">
        <v>4.1022108843537417</v>
      </c>
    </row>
    <row r="59" spans="1:4">
      <c r="A59" s="521">
        <v>38930</v>
      </c>
      <c r="B59">
        <v>4.16938775510204</v>
      </c>
    </row>
    <row r="60" spans="1:4">
      <c r="A60" s="521">
        <v>38961</v>
      </c>
      <c r="B60">
        <v>4.2336734693877549</v>
      </c>
    </row>
    <row r="61" spans="1:4">
      <c r="A61" s="521">
        <v>38991</v>
      </c>
      <c r="B61">
        <v>4.2044217687074825</v>
      </c>
    </row>
    <row r="62" spans="1:4">
      <c r="A62" s="521">
        <v>39022</v>
      </c>
      <c r="B62">
        <v>4.2794217687074836</v>
      </c>
    </row>
    <row r="63" spans="1:4">
      <c r="A63" s="521">
        <v>39052</v>
      </c>
      <c r="B63">
        <v>4.3372448979591844</v>
      </c>
      <c r="D63" s="523">
        <f>AVERAGE(B52:B63)</f>
        <v>4.1729875283446711</v>
      </c>
    </row>
    <row r="64" spans="1:4">
      <c r="A64" s="521">
        <v>39083</v>
      </c>
      <c r="B64">
        <v>4.3108843537414963</v>
      </c>
    </row>
    <row r="65" spans="1:4">
      <c r="A65" s="521">
        <v>39114</v>
      </c>
      <c r="B65">
        <v>4.2244897959183678</v>
      </c>
    </row>
    <row r="66" spans="1:4">
      <c r="A66" s="521">
        <v>39142</v>
      </c>
      <c r="B66">
        <v>4.1215986394557822</v>
      </c>
    </row>
    <row r="67" spans="1:4">
      <c r="A67" s="521">
        <v>39173</v>
      </c>
      <c r="B67">
        <v>4.1200680272108841</v>
      </c>
    </row>
    <row r="68" spans="1:4">
      <c r="A68" s="521">
        <v>39203</v>
      </c>
      <c r="B68">
        <v>4.0937074829931976</v>
      </c>
    </row>
    <row r="69" spans="1:4">
      <c r="A69" s="521">
        <v>39234</v>
      </c>
      <c r="B69">
        <v>4.1258503401360542</v>
      </c>
    </row>
    <row r="70" spans="1:4">
      <c r="A70" s="521">
        <v>39264</v>
      </c>
      <c r="B70">
        <v>4.172959183673469</v>
      </c>
    </row>
    <row r="71" spans="1:4">
      <c r="A71" s="521">
        <v>39295</v>
      </c>
      <c r="B71">
        <v>4.2486394557823131</v>
      </c>
    </row>
    <row r="72" spans="1:4">
      <c r="A72" s="521">
        <v>39326</v>
      </c>
      <c r="B72">
        <v>4.3209183673469393</v>
      </c>
    </row>
    <row r="73" spans="1:4">
      <c r="A73" s="521">
        <v>39356</v>
      </c>
      <c r="B73">
        <v>4.3008503401360549</v>
      </c>
    </row>
    <row r="74" spans="1:4">
      <c r="A74" s="521">
        <v>39387</v>
      </c>
      <c r="B74">
        <v>4.3807823129251702</v>
      </c>
    </row>
    <row r="75" spans="1:4">
      <c r="A75" s="521">
        <v>39417</v>
      </c>
      <c r="B75">
        <v>4.4394557823129261</v>
      </c>
      <c r="D75" s="523">
        <f>AVERAGE(B64:B75)</f>
        <v>4.2383503401360549</v>
      </c>
    </row>
    <row r="76" spans="1:4">
      <c r="A76" s="521">
        <v>39448</v>
      </c>
      <c r="B76">
        <v>4.4129251700680276</v>
      </c>
    </row>
    <row r="77" spans="1:4">
      <c r="A77" s="521">
        <v>39479</v>
      </c>
      <c r="B77">
        <v>4.3272108843537413</v>
      </c>
    </row>
    <row r="78" spans="1:4">
      <c r="A78" s="521">
        <v>39508</v>
      </c>
      <c r="B78">
        <v>4.2229591836734688</v>
      </c>
    </row>
    <row r="79" spans="1:4">
      <c r="A79" s="521">
        <v>39539</v>
      </c>
      <c r="B79">
        <v>4.2229591836734688</v>
      </c>
    </row>
    <row r="80" spans="1:4">
      <c r="A80" s="521">
        <v>39569</v>
      </c>
      <c r="B80">
        <v>4.1959183673469393</v>
      </c>
    </row>
    <row r="81" spans="1:4">
      <c r="A81" s="521">
        <v>39600</v>
      </c>
      <c r="B81">
        <v>4.2272108843537408</v>
      </c>
    </row>
    <row r="82" spans="1:4">
      <c r="A82" s="521">
        <v>39630</v>
      </c>
      <c r="B82">
        <v>4.2758503401360546</v>
      </c>
    </row>
    <row r="83" spans="1:4">
      <c r="A83" s="521">
        <v>39661</v>
      </c>
      <c r="B83">
        <v>4.3501700680272108</v>
      </c>
    </row>
    <row r="84" spans="1:4">
      <c r="A84" s="521">
        <v>39692</v>
      </c>
      <c r="B84">
        <v>4.4229591836734699</v>
      </c>
    </row>
    <row r="85" spans="1:4">
      <c r="A85" s="521">
        <v>39722</v>
      </c>
      <c r="B85">
        <v>4.4037414965986397</v>
      </c>
    </row>
    <row r="86" spans="1:4">
      <c r="A86" s="521">
        <v>39753</v>
      </c>
      <c r="B86">
        <v>4.4823129251700671</v>
      </c>
    </row>
    <row r="87" spans="1:4">
      <c r="A87" s="521">
        <v>39783</v>
      </c>
      <c r="B87">
        <v>4.5414965986394558</v>
      </c>
      <c r="D87" s="523">
        <f>AVERAGE(B76:B87)</f>
        <v>4.340476190476191</v>
      </c>
    </row>
    <row r="88" spans="1:4">
      <c r="A88" s="521">
        <v>39814</v>
      </c>
      <c r="B88">
        <v>4.5144557823129254</v>
      </c>
    </row>
    <row r="89" spans="1:4">
      <c r="A89" s="521">
        <v>39845</v>
      </c>
      <c r="B89">
        <v>4.3272108843537413</v>
      </c>
    </row>
    <row r="90" spans="1:4">
      <c r="A90" s="521">
        <v>39873</v>
      </c>
      <c r="B90">
        <v>4.2229591836734688</v>
      </c>
    </row>
    <row r="91" spans="1:4">
      <c r="A91" s="521">
        <v>39904</v>
      </c>
      <c r="B91">
        <v>4.2229591836734688</v>
      </c>
    </row>
    <row r="92" spans="1:4">
      <c r="A92" s="521">
        <v>39934</v>
      </c>
      <c r="B92">
        <v>4.1959183673469393</v>
      </c>
    </row>
    <row r="93" spans="1:4">
      <c r="A93" s="521">
        <v>39965</v>
      </c>
      <c r="B93">
        <v>4.2272108843537408</v>
      </c>
    </row>
    <row r="94" spans="1:4">
      <c r="A94" s="521">
        <v>39995</v>
      </c>
      <c r="B94">
        <v>4.2758503401360546</v>
      </c>
    </row>
    <row r="95" spans="1:4">
      <c r="A95" s="521">
        <v>40026</v>
      </c>
      <c r="B95">
        <v>4.3501700680272108</v>
      </c>
    </row>
    <row r="96" spans="1:4">
      <c r="A96" s="521">
        <v>40057</v>
      </c>
      <c r="B96">
        <v>4.4229591836734699</v>
      </c>
    </row>
    <row r="97" spans="1:4">
      <c r="A97" s="521">
        <v>40087</v>
      </c>
      <c r="B97">
        <v>4.4037414965986397</v>
      </c>
    </row>
    <row r="98" spans="1:4">
      <c r="A98" s="521">
        <v>40118</v>
      </c>
      <c r="B98">
        <v>4.4823129251700671</v>
      </c>
    </row>
    <row r="99" spans="1:4">
      <c r="A99" s="521">
        <v>40148</v>
      </c>
      <c r="B99">
        <v>4.5414965986394558</v>
      </c>
      <c r="D99" s="523">
        <f>AVERAGE(B88:B99)</f>
        <v>4.3489370748299327</v>
      </c>
    </row>
    <row r="100" spans="1:4">
      <c r="A100" s="521">
        <v>40179</v>
      </c>
      <c r="B100">
        <v>4.5144557823129254</v>
      </c>
    </row>
    <row r="101" spans="1:4">
      <c r="A101" s="521">
        <v>40210</v>
      </c>
      <c r="B101">
        <v>4.3272108843537413</v>
      </c>
    </row>
    <row r="102" spans="1:4">
      <c r="A102" s="521">
        <v>40238</v>
      </c>
      <c r="B102">
        <v>4.2229591836734688</v>
      </c>
    </row>
    <row r="103" spans="1:4">
      <c r="A103" s="521">
        <v>40269</v>
      </c>
      <c r="B103">
        <v>4.2229591836734688</v>
      </c>
    </row>
    <row r="104" spans="1:4">
      <c r="A104" s="521">
        <v>40299</v>
      </c>
      <c r="B104">
        <v>4.1959183673469393</v>
      </c>
    </row>
    <row r="105" spans="1:4">
      <c r="A105" s="521">
        <v>40330</v>
      </c>
      <c r="B105">
        <v>4.2272108843537408</v>
      </c>
    </row>
    <row r="106" spans="1:4">
      <c r="A106" s="521">
        <v>40360</v>
      </c>
      <c r="B106">
        <v>4.2758503401360546</v>
      </c>
    </row>
    <row r="107" spans="1:4">
      <c r="A107" s="521">
        <v>40391</v>
      </c>
      <c r="B107">
        <v>4.3501700680272108</v>
      </c>
    </row>
    <row r="108" spans="1:4">
      <c r="A108" s="521">
        <v>40422</v>
      </c>
      <c r="B108">
        <v>4.4229591836734699</v>
      </c>
    </row>
    <row r="109" spans="1:4">
      <c r="A109" s="521">
        <v>40452</v>
      </c>
      <c r="B109">
        <v>4.4037414965986397</v>
      </c>
    </row>
    <row r="110" spans="1:4">
      <c r="A110" s="521">
        <v>40483</v>
      </c>
      <c r="B110">
        <v>4.4823129251700671</v>
      </c>
    </row>
    <row r="111" spans="1:4">
      <c r="A111" s="521">
        <v>40513</v>
      </c>
      <c r="B111">
        <v>4.5414965986394558</v>
      </c>
      <c r="D111" s="523">
        <f>AVERAGE(B100:B111)</f>
        <v>4.3489370748299327</v>
      </c>
    </row>
    <row r="112" spans="1:4">
      <c r="A112" s="521">
        <v>40544</v>
      </c>
      <c r="B112">
        <v>4.5144557823129254</v>
      </c>
    </row>
    <row r="113" spans="1:4">
      <c r="A113" s="521">
        <v>40575</v>
      </c>
      <c r="B113">
        <v>4.3272108843537413</v>
      </c>
    </row>
    <row r="114" spans="1:4">
      <c r="A114" s="521">
        <v>40603</v>
      </c>
      <c r="B114">
        <v>4.2229591836734688</v>
      </c>
    </row>
    <row r="115" spans="1:4">
      <c r="A115" s="521">
        <v>40634</v>
      </c>
      <c r="B115">
        <v>4.2229591836734688</v>
      </c>
    </row>
    <row r="116" spans="1:4">
      <c r="A116" s="521">
        <v>40664</v>
      </c>
      <c r="B116">
        <v>4.1959183673469393</v>
      </c>
    </row>
    <row r="117" spans="1:4">
      <c r="A117" s="521">
        <v>40695</v>
      </c>
      <c r="B117">
        <v>4.2272108843537408</v>
      </c>
    </row>
    <row r="118" spans="1:4">
      <c r="A118" s="521">
        <v>40725</v>
      </c>
      <c r="B118">
        <v>4.2758503401360546</v>
      </c>
    </row>
    <row r="119" spans="1:4">
      <c r="A119" s="521">
        <v>40756</v>
      </c>
      <c r="B119">
        <v>4.3501700680272108</v>
      </c>
    </row>
    <row r="120" spans="1:4">
      <c r="A120" s="521">
        <v>40787</v>
      </c>
      <c r="B120">
        <v>4.4229591836734699</v>
      </c>
    </row>
    <row r="121" spans="1:4">
      <c r="A121" s="521">
        <v>40817</v>
      </c>
      <c r="B121">
        <v>4.4037414965986397</v>
      </c>
    </row>
    <row r="122" spans="1:4">
      <c r="A122" s="521">
        <v>40848</v>
      </c>
      <c r="B122">
        <v>4.4823129251700671</v>
      </c>
    </row>
    <row r="123" spans="1:4">
      <c r="A123" s="521">
        <v>40878</v>
      </c>
      <c r="B123">
        <v>4.5414965986394558</v>
      </c>
      <c r="D123" s="523">
        <f>AVERAGE(B112:B123)</f>
        <v>4.3489370748299327</v>
      </c>
    </row>
    <row r="124" spans="1:4">
      <c r="A124" s="521">
        <v>40909</v>
      </c>
      <c r="B124">
        <v>4.5144557823129254</v>
      </c>
    </row>
    <row r="125" spans="1:4">
      <c r="A125" s="521">
        <v>40940</v>
      </c>
      <c r="B125">
        <v>4.3272108843537413</v>
      </c>
    </row>
    <row r="126" spans="1:4">
      <c r="A126" s="521">
        <v>40969</v>
      </c>
      <c r="B126">
        <v>4.2229591836734688</v>
      </c>
    </row>
    <row r="127" spans="1:4">
      <c r="A127" s="521">
        <v>41000</v>
      </c>
      <c r="B127">
        <v>4.2229591836734688</v>
      </c>
    </row>
    <row r="128" spans="1:4">
      <c r="A128" s="521">
        <v>41030</v>
      </c>
      <c r="B128">
        <v>4.1959183673469393</v>
      </c>
    </row>
    <row r="129" spans="1:4">
      <c r="A129" s="521">
        <v>41061</v>
      </c>
      <c r="B129">
        <v>4.2272108843537408</v>
      </c>
    </row>
    <row r="130" spans="1:4">
      <c r="A130" s="521">
        <v>41091</v>
      </c>
      <c r="B130">
        <v>4.2758503401360546</v>
      </c>
    </row>
    <row r="131" spans="1:4">
      <c r="A131" s="521">
        <v>41122</v>
      </c>
      <c r="B131">
        <v>4.3501700680272108</v>
      </c>
    </row>
    <row r="132" spans="1:4">
      <c r="A132" s="521">
        <v>41153</v>
      </c>
      <c r="B132">
        <v>4.4229591836734699</v>
      </c>
    </row>
    <row r="133" spans="1:4">
      <c r="A133" s="521">
        <v>41183</v>
      </c>
      <c r="B133">
        <v>4.4037414965986397</v>
      </c>
    </row>
    <row r="134" spans="1:4">
      <c r="A134" s="521">
        <v>41214</v>
      </c>
      <c r="B134">
        <v>4.4823129251700671</v>
      </c>
    </row>
    <row r="135" spans="1:4">
      <c r="A135" s="521">
        <v>41244</v>
      </c>
      <c r="B135">
        <v>4.5414965986394558</v>
      </c>
      <c r="D135" s="523">
        <f>AVERAGE(B124:B135)</f>
        <v>4.3489370748299327</v>
      </c>
    </row>
    <row r="136" spans="1:4">
      <c r="A136" s="521">
        <v>41275</v>
      </c>
      <c r="B136">
        <v>4.5144557823129254</v>
      </c>
    </row>
    <row r="137" spans="1:4">
      <c r="A137" s="521">
        <v>41306</v>
      </c>
      <c r="B137">
        <v>4.3272108843537413</v>
      </c>
    </row>
    <row r="138" spans="1:4">
      <c r="A138" s="521">
        <v>41334</v>
      </c>
      <c r="B138">
        <v>4.2229591836734688</v>
      </c>
    </row>
    <row r="139" spans="1:4">
      <c r="A139" s="521">
        <v>41365</v>
      </c>
      <c r="B139">
        <v>4.2229591836734688</v>
      </c>
    </row>
    <row r="140" spans="1:4">
      <c r="A140" s="521">
        <v>41395</v>
      </c>
      <c r="B140">
        <v>4.1959183673469393</v>
      </c>
    </row>
    <row r="141" spans="1:4">
      <c r="A141" s="521">
        <v>41426</v>
      </c>
      <c r="B141">
        <v>4.2272108843537408</v>
      </c>
    </row>
    <row r="142" spans="1:4">
      <c r="A142" s="521">
        <v>41456</v>
      </c>
      <c r="B142">
        <v>4.2758503401360546</v>
      </c>
    </row>
    <row r="143" spans="1:4">
      <c r="A143" s="521">
        <v>41487</v>
      </c>
      <c r="B143">
        <v>4.3501700680272108</v>
      </c>
    </row>
    <row r="144" spans="1:4">
      <c r="A144" s="521">
        <v>41518</v>
      </c>
      <c r="B144">
        <v>4.4229591836734699</v>
      </c>
    </row>
    <row r="145" spans="1:4">
      <c r="A145" s="521">
        <v>41548</v>
      </c>
      <c r="B145">
        <v>4.4037414965986397</v>
      </c>
    </row>
    <row r="146" spans="1:4">
      <c r="A146" s="521">
        <v>41579</v>
      </c>
      <c r="B146">
        <v>4.4823129251700671</v>
      </c>
    </row>
    <row r="147" spans="1:4">
      <c r="A147" s="521">
        <v>41609</v>
      </c>
      <c r="B147">
        <v>4.5414965986394558</v>
      </c>
      <c r="D147" s="523">
        <f>AVERAGE(B136:B147)</f>
        <v>4.3489370748299327</v>
      </c>
    </row>
    <row r="148" spans="1:4">
      <c r="A148" s="521">
        <v>41640</v>
      </c>
      <c r="B148">
        <v>4.5144557823129254</v>
      </c>
    </row>
    <row r="149" spans="1:4">
      <c r="A149" s="521">
        <v>41671</v>
      </c>
      <c r="B149">
        <v>4.3272108843537413</v>
      </c>
    </row>
    <row r="150" spans="1:4">
      <c r="A150" s="521">
        <v>41699</v>
      </c>
      <c r="B150">
        <v>4.2229591836734688</v>
      </c>
    </row>
    <row r="151" spans="1:4">
      <c r="A151" s="521">
        <v>41730</v>
      </c>
      <c r="B151">
        <v>4.2229591836734688</v>
      </c>
    </row>
    <row r="152" spans="1:4">
      <c r="A152" s="521">
        <v>41760</v>
      </c>
      <c r="B152">
        <v>4.1959183673469393</v>
      </c>
    </row>
    <row r="153" spans="1:4">
      <c r="A153" s="521">
        <v>41791</v>
      </c>
      <c r="B153">
        <v>4.2272108843537408</v>
      </c>
    </row>
    <row r="154" spans="1:4">
      <c r="A154" s="521">
        <v>41821</v>
      </c>
      <c r="B154">
        <v>4.2758503401360546</v>
      </c>
    </row>
    <row r="155" spans="1:4">
      <c r="A155" s="521">
        <v>41852</v>
      </c>
      <c r="B155">
        <v>4.3501700680272108</v>
      </c>
    </row>
    <row r="156" spans="1:4">
      <c r="A156" s="521">
        <v>41883</v>
      </c>
      <c r="B156">
        <v>4.4229591836734699</v>
      </c>
    </row>
    <row r="157" spans="1:4">
      <c r="A157" s="521">
        <v>41913</v>
      </c>
      <c r="B157">
        <v>4.4037414965986397</v>
      </c>
    </row>
    <row r="158" spans="1:4">
      <c r="A158" s="521">
        <v>41944</v>
      </c>
      <c r="B158">
        <v>4.4823129251700671</v>
      </c>
    </row>
    <row r="159" spans="1:4">
      <c r="A159" s="521">
        <v>41974</v>
      </c>
      <c r="B159">
        <v>4.5414965986394558</v>
      </c>
      <c r="D159" s="523">
        <f>AVERAGE(B148:B159)</f>
        <v>4.3489370748299327</v>
      </c>
    </row>
    <row r="160" spans="1:4">
      <c r="A160" s="521">
        <v>42005</v>
      </c>
      <c r="B160">
        <v>4.5144557823129254</v>
      </c>
    </row>
    <row r="161" spans="1:4">
      <c r="A161" s="521">
        <v>42036</v>
      </c>
      <c r="B161">
        <v>4.3272108843537413</v>
      </c>
    </row>
    <row r="162" spans="1:4">
      <c r="A162" s="521">
        <v>42064</v>
      </c>
      <c r="B162">
        <v>4.2229591836734688</v>
      </c>
    </row>
    <row r="163" spans="1:4">
      <c r="A163" s="521">
        <v>42095</v>
      </c>
      <c r="B163">
        <v>4.2229591836734688</v>
      </c>
    </row>
    <row r="164" spans="1:4">
      <c r="A164" s="521">
        <v>42125</v>
      </c>
      <c r="B164">
        <v>4.1959183673469393</v>
      </c>
    </row>
    <row r="165" spans="1:4">
      <c r="A165" s="521">
        <v>42156</v>
      </c>
      <c r="B165">
        <v>4.2272108843537408</v>
      </c>
    </row>
    <row r="166" spans="1:4">
      <c r="A166" s="521">
        <v>42186</v>
      </c>
      <c r="B166">
        <v>4.2758503401360546</v>
      </c>
    </row>
    <row r="167" spans="1:4">
      <c r="A167" s="521">
        <v>42217</v>
      </c>
      <c r="B167">
        <v>4.3501700680272108</v>
      </c>
    </row>
    <row r="168" spans="1:4">
      <c r="A168" s="521">
        <v>42248</v>
      </c>
      <c r="B168">
        <v>4.4229591836734699</v>
      </c>
    </row>
    <row r="169" spans="1:4">
      <c r="A169" s="521">
        <v>42278</v>
      </c>
      <c r="B169">
        <v>4.4037414965986397</v>
      </c>
    </row>
    <row r="170" spans="1:4">
      <c r="A170" s="521">
        <v>42309</v>
      </c>
      <c r="B170">
        <v>4.4823129251700671</v>
      </c>
    </row>
    <row r="171" spans="1:4">
      <c r="A171" s="521">
        <v>42339</v>
      </c>
      <c r="B171">
        <v>4.5414965986394558</v>
      </c>
      <c r="D171" s="523">
        <f>AVERAGE(B160:B171)</f>
        <v>4.3489370748299327</v>
      </c>
    </row>
    <row r="172" spans="1:4">
      <c r="A172" s="521">
        <v>42370</v>
      </c>
      <c r="B172">
        <v>4.5144557823129254</v>
      </c>
    </row>
    <row r="173" spans="1:4">
      <c r="A173" s="521">
        <v>42401</v>
      </c>
      <c r="B173">
        <v>4.3272108843537413</v>
      </c>
    </row>
    <row r="174" spans="1:4">
      <c r="A174" s="521">
        <v>42430</v>
      </c>
      <c r="B174">
        <v>4.2229591836734688</v>
      </c>
    </row>
    <row r="175" spans="1:4">
      <c r="A175" s="521">
        <v>42461</v>
      </c>
      <c r="B175">
        <v>4.2229591836734688</v>
      </c>
    </row>
    <row r="176" spans="1:4">
      <c r="A176" s="521">
        <v>42491</v>
      </c>
      <c r="B176">
        <v>4.1959183673469393</v>
      </c>
    </row>
    <row r="177" spans="1:4">
      <c r="A177" s="521">
        <v>42522</v>
      </c>
      <c r="B177">
        <v>4.2272108843537408</v>
      </c>
    </row>
    <row r="178" spans="1:4">
      <c r="A178" s="521">
        <v>42552</v>
      </c>
      <c r="B178">
        <v>4.2758503401360546</v>
      </c>
    </row>
    <row r="179" spans="1:4">
      <c r="A179" s="521">
        <v>42583</v>
      </c>
      <c r="B179">
        <v>4.3501700680272108</v>
      </c>
    </row>
    <row r="180" spans="1:4">
      <c r="A180" s="521">
        <v>42614</v>
      </c>
      <c r="B180">
        <v>4.4229591836734699</v>
      </c>
    </row>
    <row r="181" spans="1:4">
      <c r="A181" s="521">
        <v>42644</v>
      </c>
      <c r="B181">
        <v>4.4037414965986397</v>
      </c>
    </row>
    <row r="182" spans="1:4">
      <c r="A182" s="521">
        <v>42675</v>
      </c>
      <c r="B182">
        <v>4.4823129251700671</v>
      </c>
    </row>
    <row r="183" spans="1:4">
      <c r="A183" s="521">
        <v>42705</v>
      </c>
      <c r="B183">
        <v>4.5414965986394558</v>
      </c>
      <c r="D183" s="523">
        <f>AVERAGE(B172:B183)</f>
        <v>4.3489370748299327</v>
      </c>
    </row>
    <row r="184" spans="1:4">
      <c r="A184" s="521">
        <v>42736</v>
      </c>
      <c r="B184">
        <v>4.5144557823129254</v>
      </c>
    </row>
    <row r="185" spans="1:4">
      <c r="A185" s="521">
        <v>42767</v>
      </c>
      <c r="B185">
        <v>4.3272108843537413</v>
      </c>
    </row>
    <row r="186" spans="1:4">
      <c r="A186" s="521">
        <v>42795</v>
      </c>
      <c r="B186">
        <v>4.2229591836734688</v>
      </c>
    </row>
    <row r="187" spans="1:4">
      <c r="A187" s="521">
        <v>42826</v>
      </c>
      <c r="B187">
        <v>4.2229591836734688</v>
      </c>
    </row>
    <row r="188" spans="1:4">
      <c r="A188" s="521">
        <v>42856</v>
      </c>
      <c r="B188">
        <v>4.1959183673469393</v>
      </c>
    </row>
    <row r="189" spans="1:4">
      <c r="A189" s="521">
        <v>42887</v>
      </c>
      <c r="B189">
        <v>4.2272108843537408</v>
      </c>
    </row>
    <row r="190" spans="1:4">
      <c r="A190" s="521">
        <v>42917</v>
      </c>
      <c r="B190">
        <v>4.2758503401360546</v>
      </c>
    </row>
    <row r="191" spans="1:4">
      <c r="A191" s="521">
        <v>42948</v>
      </c>
      <c r="B191">
        <v>4.3501700680272108</v>
      </c>
    </row>
    <row r="192" spans="1:4">
      <c r="A192" s="521">
        <v>42979</v>
      </c>
      <c r="B192">
        <v>4.4229591836734699</v>
      </c>
    </row>
    <row r="193" spans="1:4">
      <c r="A193" s="521">
        <v>43009</v>
      </c>
      <c r="B193">
        <v>4.4037414965986397</v>
      </c>
    </row>
    <row r="194" spans="1:4">
      <c r="A194" s="521">
        <v>43040</v>
      </c>
      <c r="B194">
        <v>4.4823129251700671</v>
      </c>
    </row>
    <row r="195" spans="1:4">
      <c r="A195" s="521">
        <v>43070</v>
      </c>
      <c r="B195">
        <v>4.5414965986394558</v>
      </c>
      <c r="D195" s="523">
        <f>AVERAGE(B184:B195)</f>
        <v>4.3489370748299327</v>
      </c>
    </row>
    <row r="207" spans="1:4">
      <c r="D207" s="523"/>
    </row>
    <row r="219" spans="4:4">
      <c r="D219" s="523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M3" sqref="M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5" t="str">
        <f>Assumptions!A3</f>
        <v>PROJECT NAME: Homestead, Florida</v>
      </c>
    </row>
    <row r="4" spans="1:33" ht="18.75">
      <c r="A4" s="60" t="s">
        <v>91</v>
      </c>
      <c r="B4" s="5"/>
    </row>
    <row r="6" spans="1:33">
      <c r="C6" s="207">
        <f>'Price_Technical Assumption'!D7</f>
        <v>0.66666666666666663</v>
      </c>
      <c r="D6" s="207">
        <f>'Price_Technical Assumption'!E7</f>
        <v>1.6666666666666665</v>
      </c>
      <c r="E6" s="207">
        <f>'Price_Technical Assumption'!F7</f>
        <v>2.6666666666666665</v>
      </c>
      <c r="F6" s="207">
        <f>'Price_Technical Assumption'!G7</f>
        <v>3.6666666666666665</v>
      </c>
      <c r="G6" s="207">
        <f>'Price_Technical Assumption'!H7</f>
        <v>4.6666666666666661</v>
      </c>
      <c r="H6" s="207">
        <f>'Price_Technical Assumption'!I7</f>
        <v>5.6666666666666661</v>
      </c>
      <c r="I6" s="207">
        <f>'Price_Technical Assumption'!J7</f>
        <v>6.6666666666666661</v>
      </c>
      <c r="J6" s="207">
        <f>'Price_Technical Assumption'!K7</f>
        <v>7.6666666666666661</v>
      </c>
      <c r="K6" s="207">
        <f>'Price_Technical Assumption'!L7</f>
        <v>8.6666666666666661</v>
      </c>
      <c r="L6" s="207">
        <f>'Price_Technical Assumption'!M7</f>
        <v>9.6666666666666661</v>
      </c>
      <c r="M6" s="207">
        <f>'Price_Technical Assumption'!N7</f>
        <v>10.666666666666666</v>
      </c>
      <c r="N6" s="207">
        <f>'Price_Technical Assumption'!O7</f>
        <v>11.666666666666666</v>
      </c>
      <c r="O6" s="207">
        <f>'Price_Technical Assumption'!P7</f>
        <v>12.666666666666666</v>
      </c>
      <c r="P6" s="207">
        <f>'Price_Technical Assumption'!Q7</f>
        <v>13.666666666666666</v>
      </c>
      <c r="Q6" s="207">
        <f>'Price_Technical Assumption'!R7</f>
        <v>14.666666666666666</v>
      </c>
      <c r="R6" s="207">
        <f>'Price_Technical Assumption'!S7</f>
        <v>15.666666666666666</v>
      </c>
      <c r="S6" s="207">
        <f>'Price_Technical Assumption'!T7</f>
        <v>16.666666666666664</v>
      </c>
      <c r="T6" s="207">
        <f>'Price_Technical Assumption'!U7</f>
        <v>17.666666666666664</v>
      </c>
      <c r="U6" s="207">
        <f>'Price_Technical Assumption'!V7</f>
        <v>18.666666666666664</v>
      </c>
      <c r="V6" s="207">
        <f>'Price_Technical Assumption'!W7</f>
        <v>19.666666666666664</v>
      </c>
      <c r="W6" s="207">
        <f>'Price_Technical Assumption'!X7</f>
        <v>20.666666666666664</v>
      </c>
      <c r="X6" s="207">
        <f>'Price_Technical Assumption'!Y7</f>
        <v>21.666666666666664</v>
      </c>
      <c r="Y6" s="207">
        <f>'Price_Technical Assumption'!Z7</f>
        <v>22.666666666666664</v>
      </c>
      <c r="Z6" s="207">
        <f>'Price_Technical Assumption'!AA7</f>
        <v>23.666666666666664</v>
      </c>
      <c r="AA6" s="207">
        <f>'Price_Technical Assumption'!AB7</f>
        <v>24.666666666666664</v>
      </c>
      <c r="AB6" s="207">
        <f>'Price_Technical Assumption'!AC7</f>
        <v>25.666666666666664</v>
      </c>
      <c r="AC6" s="207">
        <f>'Price_Technical Assumption'!AD7</f>
        <v>26.666666666666664</v>
      </c>
      <c r="AD6" s="207">
        <f>'Price_Technical Assumption'!AE7</f>
        <v>27.666666666666664</v>
      </c>
      <c r="AE6" s="207">
        <f>'Price_Technical Assumption'!AF7</f>
        <v>28.666666666666664</v>
      </c>
      <c r="AF6" s="207">
        <f>'Price_Technical Assumption'!AG7</f>
        <v>29.666666666666664</v>
      </c>
      <c r="AG6" s="207">
        <f>'Price_Technical Assumption'!AH7</f>
        <v>30.666666666666664</v>
      </c>
    </row>
    <row r="7" spans="1:33" s="6" customFormat="1" ht="13.5" thickBot="1">
      <c r="A7" s="120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3">
        <v>37256</v>
      </c>
      <c r="D8" s="353">
        <v>37621</v>
      </c>
      <c r="E8" s="353">
        <v>37986</v>
      </c>
      <c r="F8" s="353">
        <v>38352</v>
      </c>
      <c r="G8" s="353">
        <v>38717</v>
      </c>
      <c r="H8" s="353">
        <v>39082</v>
      </c>
      <c r="I8" s="353">
        <v>39447</v>
      </c>
      <c r="J8" s="353">
        <v>39813</v>
      </c>
      <c r="K8" s="353">
        <v>40178</v>
      </c>
      <c r="L8" s="353">
        <v>40543</v>
      </c>
      <c r="M8" s="353">
        <v>40908</v>
      </c>
      <c r="N8" s="353">
        <v>41274</v>
      </c>
      <c r="O8" s="353">
        <v>41639</v>
      </c>
      <c r="P8" s="353">
        <v>42004</v>
      </c>
      <c r="Q8" s="353">
        <v>42369</v>
      </c>
      <c r="R8" s="353">
        <v>42735</v>
      </c>
      <c r="S8" s="353">
        <v>43100</v>
      </c>
      <c r="T8" s="353">
        <v>43465</v>
      </c>
      <c r="U8" s="353">
        <v>43830</v>
      </c>
      <c r="V8" s="353">
        <v>44196</v>
      </c>
      <c r="W8" s="353">
        <v>44561</v>
      </c>
      <c r="X8" s="353">
        <v>44926</v>
      </c>
      <c r="Y8" s="353">
        <v>45291</v>
      </c>
      <c r="Z8" s="353">
        <v>45657</v>
      </c>
      <c r="AA8" s="353">
        <v>46022</v>
      </c>
      <c r="AB8" s="353">
        <v>46387</v>
      </c>
      <c r="AC8" s="353">
        <v>46752</v>
      </c>
      <c r="AD8" s="353">
        <v>47118</v>
      </c>
      <c r="AE8" s="353">
        <v>47483</v>
      </c>
      <c r="AF8" s="353">
        <v>47848</v>
      </c>
      <c r="AG8" s="353">
        <v>48213</v>
      </c>
    </row>
    <row r="9" spans="1:33">
      <c r="A9" s="1" t="s">
        <v>39</v>
      </c>
      <c r="B9" s="22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13437.80599490339</v>
      </c>
      <c r="D10" s="74">
        <f>IF(D6&lt;Assumptions!$H$19,12*'Price_Technical Assumption'!E21*Assumptions!$H$68,IF(AND(C6&lt;Assumptions!$H$19,D6&gt;Assumptions!$H$19),(1-$C$6)*12*'Price_Technical Assumption'!E21*Assumptions!$H$68,0))</f>
        <v>20156.708992355081</v>
      </c>
      <c r="E10" s="74">
        <f>IF(E6&lt;Assumptions!$H$19,12*'Price_Technical Assumption'!F21*Assumptions!$H$68,IF(AND(D6&lt;Assumptions!$H$19,E6&gt;Assumptions!$H$19),(1-$C$6)*12*'Price_Technical Assumption'!F21*Assumptions!$H$68,0))</f>
        <v>20156.708992355081</v>
      </c>
      <c r="F10" s="74">
        <f>IF(F6&lt;Assumptions!$H$19,12*'Price_Technical Assumption'!G21*Assumptions!$H$68,IF(AND(E6&lt;Assumptions!$H$19,F6&gt;Assumptions!$H$19),(1-$C$6)*12*'Price_Technical Assumption'!G21*Assumptions!$H$68,0))</f>
        <v>20156.708992355081</v>
      </c>
      <c r="G10" s="74">
        <f>IF(G6&lt;Assumptions!$H$19,12*'Price_Technical Assumption'!H21*Assumptions!$H$68,IF(AND(F6&lt;Assumptions!$H$19,G6&gt;Assumptions!$H$19),(1-$C$6)*12*'Price_Technical Assumption'!H21*Assumptions!$H$68,0))</f>
        <v>20156.708992355081</v>
      </c>
      <c r="H10" s="74">
        <f>IF(H6&lt;Assumptions!$H$19,12*'Price_Technical Assumption'!I21*Assumptions!$H$68,IF(AND(G6&lt;Assumptions!$H$19,H6&gt;Assumptions!$H$19),(1-$C$6)*12*'Price_Technical Assumption'!I21*Assumptions!$H$68,0))</f>
        <v>20156.708992355081</v>
      </c>
      <c r="I10" s="74">
        <f>IF(I6&lt;Assumptions!$H$19,12*'Price_Technical Assumption'!J21*Assumptions!$H$68,IF(AND(H6&lt;Assumptions!$H$19,I6&gt;Assumptions!$H$19),(1-$C$6)*12*'Price_Technical Assumption'!J21*Assumptions!$H$68,0))</f>
        <v>20156.708992355081</v>
      </c>
      <c r="J10" s="74">
        <f>IF(J6&lt;Assumptions!$H$19,12*'Price_Technical Assumption'!K21*Assumptions!$H$68,IF(AND(I6&lt;Assumptions!$H$19,J6&gt;Assumptions!$H$19),(1-$C$6)*12*'Price_Technical Assumption'!K21*Assumptions!$H$68,0))</f>
        <v>20156.708992355081</v>
      </c>
      <c r="K10" s="74">
        <f>IF(K6&lt;Assumptions!$H$19,12*'Price_Technical Assumption'!L21*Assumptions!$H$68,IF(AND(J6&lt;Assumptions!$H$19,K6&gt;Assumptions!$H$19),(1-$C$6)*12*'Price_Technical Assumption'!L21*Assumptions!$H$68,0))</f>
        <v>20156.708992355081</v>
      </c>
      <c r="L10" s="74">
        <f>IF(L6&lt;Assumptions!$H$19,12*'Price_Technical Assumption'!M21*Assumptions!$H$68,IF(AND(K6&lt;Assumptions!$H$19,L6&gt;Assumptions!$H$19),(1-$C$6)*12*'Price_Technical Assumption'!M21*Assumptions!$H$68,0))</f>
        <v>20156.708992355081</v>
      </c>
      <c r="M10" s="74">
        <f>IF(M6&lt;Assumptions!$H$19,12*'Price_Technical Assumption'!N21*Assumptions!$H$68,IF(AND(L6&lt;Assumptions!$H$19,M6&gt;Assumptions!$H$19),(1-$C$6)*12*'Price_Technical Assumption'!N21*Assumptions!$H$68,0))</f>
        <v>20156.708992355081</v>
      </c>
      <c r="N10" s="74">
        <f>IF(N6&lt;Assumptions!$H$19,12*'Price_Technical Assumption'!O21*Assumptions!$H$68,IF(AND(M6&lt;Assumptions!$H$19,N6&gt;Assumptions!$H$19),(1-$C$6)*12*'Price_Technical Assumption'!O21*Assumptions!$H$68,0))</f>
        <v>20156.708992355081</v>
      </c>
      <c r="O10" s="74">
        <f>IF(O6&lt;Assumptions!$H$19,12*'Price_Technical Assumption'!P21*Assumptions!$H$68,IF(AND(N6&lt;Assumptions!$H$19,O6&gt;Assumptions!$H$19),(1-$C$6)*12*'Price_Technical Assumption'!P21*Assumptions!$H$68,0))</f>
        <v>20156.708992355081</v>
      </c>
      <c r="P10" s="74">
        <f>IF(P6&lt;Assumptions!$H$19,12*'Price_Technical Assumption'!Q21*Assumptions!$H$68,IF(AND(O6&lt;Assumptions!$H$19,P6&gt;Assumptions!$H$19),(1-$C$6)*12*'Price_Technical Assumption'!Q21*Assumptions!$H$68,0))</f>
        <v>20156.708992355081</v>
      </c>
      <c r="Q10" s="74">
        <f>IF(Q6&lt;Assumptions!$H$19,12*'Price_Technical Assumption'!R21*Assumptions!$H$68,IF(AND(P6&lt;Assumptions!$H$19,Q6&gt;Assumptions!$H$19),(1-$C$6)*12*'Price_Technical Assumption'!R21*Assumptions!$H$68,0))</f>
        <v>20156.708992355081</v>
      </c>
      <c r="R10" s="74">
        <f>IF(R6&lt;Assumptions!$H$19,12*'Price_Technical Assumption'!S21*Assumptions!$H$68,IF(AND(Q6&lt;Assumptions!$H$19,R6&gt;Assumptions!$H$19),(1-$C$6)*12*'Price_Technical Assumption'!S21*Assumptions!$H$68,0))</f>
        <v>20156.708992355081</v>
      </c>
      <c r="S10" s="74">
        <f>IF(S6&lt;Assumptions!$H$19,12*'Price_Technical Assumption'!T21*Assumptions!$H$68,IF(AND(R6&lt;Assumptions!$H$19,S6&gt;Assumptions!$H$19),(1-$C$6)*12*'Price_Technical Assumption'!T21*Assumptions!$H$68,0))</f>
        <v>20156.708992355081</v>
      </c>
      <c r="T10" s="74">
        <f>IF(T6&lt;Assumptions!$H$19,12*'Price_Technical Assumption'!U21*Assumptions!$H$68,IF(AND(S6&lt;Assumptions!$H$19,T6&gt;Assumptions!$H$19),(1-$C$6)*12*'Price_Technical Assumption'!U21*Assumptions!$H$68,0))</f>
        <v>20156.708992355081</v>
      </c>
      <c r="U10" s="74">
        <f>IF(U6&lt;Assumptions!$H$19,12*'Price_Technical Assumption'!V21*Assumptions!$H$68,IF(AND(T6&lt;Assumptions!$H$19,U6&gt;Assumptions!$H$19),(1-$C$6)*12*'Price_Technical Assumption'!V21*Assumptions!$H$68,0))</f>
        <v>20156.708992355081</v>
      </c>
      <c r="V10" s="74">
        <f>IF(V6&lt;Assumptions!$H$19,12*'Price_Technical Assumption'!W21*Assumptions!$H$68,IF(AND(U6&lt;Assumptions!$H$19,V6&gt;Assumptions!$H$19),(1-$C$6)*12*'Price_Technical Assumption'!W21*Assumptions!$H$68,0))</f>
        <v>20156.708992355081</v>
      </c>
      <c r="W10" s="74">
        <f>IF(W6&lt;Assumptions!$H$19,12*'Price_Technical Assumption'!X21*Assumptions!$H$68,IF(AND(V6&lt;Assumptions!$H$19,W6&gt;Assumptions!$H$19),(1-$C$6)*12*'Price_Technical Assumption'!X21*Assumptions!$H$68,0))</f>
        <v>20156.708992355081</v>
      </c>
      <c r="X10" s="74">
        <f>IF(X6&lt;Assumptions!$H$19,12*'Price_Technical Assumption'!Y21*Assumptions!$H$68,IF(AND(W6&lt;Assumptions!$H$19,X6&gt;Assumptions!$H$19),(1-$C$6)*12*'Price_Technical Assumption'!Y21*Assumptions!$H$68,0))</f>
        <v>20156.708992355081</v>
      </c>
      <c r="Y10" s="74">
        <f>IF(Y6&lt;Assumptions!$H$19,12*'Price_Technical Assumption'!Z21*Assumptions!$H$68,IF(AND(X6&lt;Assumptions!$H$19,Y6&gt;Assumptions!$H$19),(1-$C$6)*12*'Price_Technical Assumption'!Z21*Assumptions!$H$68,0))</f>
        <v>20156.708992355081</v>
      </c>
      <c r="Z10" s="74">
        <f>IF(Z6&lt;Assumptions!$H$19,12*'Price_Technical Assumption'!AA21*Assumptions!$H$68,IF(AND(Y6&lt;Assumptions!$H$19,Z6&gt;Assumptions!$H$19),(1-$C$6)*12*'Price_Technical Assumption'!AA21*Assumptions!$H$68,0))</f>
        <v>20156.708992355081</v>
      </c>
      <c r="AA10" s="74">
        <f>IF(AA6&lt;Assumptions!$H$19,12*'Price_Technical Assumption'!AB21*Assumptions!$H$68,IF(AND(Z6&lt;Assumptions!$H$19,AA6&gt;Assumptions!$H$19),(1-$C$6)*12*'Price_Technical Assumption'!AB21*Assumptions!$H$68,0))</f>
        <v>20156.708992355081</v>
      </c>
      <c r="AB10" s="74">
        <f>IF(AB6&lt;Assumptions!$H$19,12*'Price_Technical Assumption'!AC21*Assumptions!$H$68,IF(AND(AA6&lt;Assumptions!$H$19,AB6&gt;Assumptions!$H$19),(1-$C$6)*12*'Price_Technical Assumption'!AC21*Assumptions!$H$68,0))</f>
        <v>20156.708992355081</v>
      </c>
      <c r="AC10" s="74">
        <f>IF(AC6&lt;Assumptions!$H$19,12*'Price_Technical Assumption'!AD21*Assumptions!$H$68,IF(AND(AB6&lt;Assumptions!$H$19,AC6&gt;Assumptions!$H$19),(1-$C$6)*12*'Price_Technical Assumption'!AD21*Assumptions!$H$68,0))</f>
        <v>20156.708992355081</v>
      </c>
      <c r="AD10" s="74">
        <f>IF(AD6&lt;Assumptions!$H$19,12*'Price_Technical Assumption'!AE21*Assumptions!$H$68,IF(AND(AC6&lt;Assumptions!$H$19,AD6&gt;Assumptions!$H$19),(1-$C$6)*12*'Price_Technical Assumption'!AE21*Assumptions!$H$68,0))</f>
        <v>20156.708992355081</v>
      </c>
      <c r="AE10" s="74">
        <f>IF(AE6&lt;Assumptions!$H$19,12*'Price_Technical Assumption'!AF21*Assumptions!$H$68,IF(AND(AD6&lt;Assumptions!$H$19,AE6&gt;Assumptions!$H$19),(1-$C$6)*12*'Price_Technical Assumption'!AF21*Assumptions!$H$68,0))</f>
        <v>20156.708992355081</v>
      </c>
      <c r="AF10" s="74">
        <f>IF(AF6&lt;Assumptions!$H$19,12*'Price_Technical Assumption'!AG21*Assumptions!$H$68,IF(AND(AE6&lt;Assumptions!$H$19,AF6&gt;Assumptions!$H$19),(1-$C$6)*12*'Price_Technical Assumption'!AG21*Assumptions!$H$68,0))</f>
        <v>20156.708992355081</v>
      </c>
      <c r="AG10" s="74">
        <f>IF(AG6&lt;Assumptions!$H$19,12*'Price_Technical Assumption'!AH21*Assumptions!$H$68,IF(AND(AF6&lt;Assumptions!$H$19,AG6&gt;Assumptions!$H$19),(1-$C$6)*12*'Price_Technical Assumption'!AH21*Assumptions!$H$68,0))</f>
        <v>7826.0989313275113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3" t="s">
        <v>115</v>
      </c>
      <c r="C12" s="354">
        <v>0</v>
      </c>
      <c r="D12" s="354">
        <v>0</v>
      </c>
      <c r="E12" s="354">
        <v>0</v>
      </c>
      <c r="F12" s="354">
        <v>0</v>
      </c>
      <c r="G12" s="354">
        <v>0</v>
      </c>
      <c r="H12" s="354">
        <v>0</v>
      </c>
      <c r="I12" s="354">
        <v>0</v>
      </c>
      <c r="J12" s="354">
        <v>0</v>
      </c>
      <c r="K12" s="354">
        <v>0</v>
      </c>
      <c r="L12" s="354">
        <v>0</v>
      </c>
      <c r="M12" s="354">
        <v>0</v>
      </c>
      <c r="N12" s="354">
        <v>0</v>
      </c>
      <c r="O12" s="354">
        <v>0</v>
      </c>
      <c r="P12" s="354">
        <v>0</v>
      </c>
      <c r="Q12" s="354">
        <v>0</v>
      </c>
      <c r="R12" s="354">
        <v>0</v>
      </c>
      <c r="S12" s="354">
        <v>0</v>
      </c>
      <c r="T12" s="354">
        <v>0</v>
      </c>
      <c r="U12" s="354">
        <v>0</v>
      </c>
      <c r="V12" s="354">
        <v>0</v>
      </c>
      <c r="W12" s="354">
        <v>0</v>
      </c>
      <c r="X12" s="354">
        <v>0</v>
      </c>
      <c r="Y12" s="354">
        <v>0</v>
      </c>
      <c r="Z12" s="354">
        <v>0</v>
      </c>
      <c r="AA12" s="354">
        <v>0</v>
      </c>
      <c r="AB12" s="354">
        <v>0</v>
      </c>
      <c r="AC12" s="354">
        <v>0</v>
      </c>
      <c r="AD12" s="354">
        <v>0</v>
      </c>
      <c r="AE12" s="354">
        <v>0</v>
      </c>
      <c r="AF12" s="354">
        <v>0</v>
      </c>
      <c r="AG12" s="354">
        <v>0</v>
      </c>
    </row>
    <row r="13" spans="1:33">
      <c r="A13" s="170" t="s">
        <v>40</v>
      </c>
      <c r="B13" s="579"/>
      <c r="C13" s="65">
        <f t="shared" ref="C13:AG13" si="0">SUM(C10:C12)</f>
        <v>13437.80599490339</v>
      </c>
      <c r="D13" s="65">
        <f t="shared" si="0"/>
        <v>20156.708992355081</v>
      </c>
      <c r="E13" s="65">
        <f t="shared" si="0"/>
        <v>20156.708992355081</v>
      </c>
      <c r="F13" s="65">
        <f t="shared" si="0"/>
        <v>20156.708992355081</v>
      </c>
      <c r="G13" s="65">
        <f t="shared" si="0"/>
        <v>20156.708992355081</v>
      </c>
      <c r="H13" s="65">
        <f t="shared" si="0"/>
        <v>20156.708992355081</v>
      </c>
      <c r="I13" s="65">
        <f t="shared" si="0"/>
        <v>20156.708992355081</v>
      </c>
      <c r="J13" s="65">
        <f t="shared" si="0"/>
        <v>20156.708992355081</v>
      </c>
      <c r="K13" s="65">
        <f t="shared" si="0"/>
        <v>20156.708992355081</v>
      </c>
      <c r="L13" s="65">
        <f t="shared" si="0"/>
        <v>20156.708992355081</v>
      </c>
      <c r="M13" s="65">
        <f t="shared" si="0"/>
        <v>20156.708992355081</v>
      </c>
      <c r="N13" s="65">
        <f t="shared" si="0"/>
        <v>20156.708992355081</v>
      </c>
      <c r="O13" s="65">
        <f t="shared" si="0"/>
        <v>20156.708992355081</v>
      </c>
      <c r="P13" s="65">
        <f t="shared" si="0"/>
        <v>20156.708992355081</v>
      </c>
      <c r="Q13" s="65">
        <f t="shared" si="0"/>
        <v>20156.708992355081</v>
      </c>
      <c r="R13" s="65">
        <f t="shared" si="0"/>
        <v>20156.708992355081</v>
      </c>
      <c r="S13" s="65">
        <f t="shared" si="0"/>
        <v>20156.708992355081</v>
      </c>
      <c r="T13" s="65">
        <f t="shared" si="0"/>
        <v>20156.708992355081</v>
      </c>
      <c r="U13" s="65">
        <f t="shared" si="0"/>
        <v>20156.708992355081</v>
      </c>
      <c r="V13" s="65">
        <f t="shared" si="0"/>
        <v>20156.708992355081</v>
      </c>
      <c r="W13" s="65">
        <f t="shared" si="0"/>
        <v>20156.708992355081</v>
      </c>
      <c r="X13" s="65">
        <f t="shared" si="0"/>
        <v>20156.708992355081</v>
      </c>
      <c r="Y13" s="65">
        <f t="shared" si="0"/>
        <v>20156.708992355081</v>
      </c>
      <c r="Z13" s="65">
        <f t="shared" si="0"/>
        <v>20156.708992355081</v>
      </c>
      <c r="AA13" s="65">
        <f t="shared" si="0"/>
        <v>20156.708992355081</v>
      </c>
      <c r="AB13" s="65">
        <f t="shared" si="0"/>
        <v>20156.708992355081</v>
      </c>
      <c r="AC13" s="65">
        <f t="shared" si="0"/>
        <v>20156.708992355081</v>
      </c>
      <c r="AD13" s="65">
        <f t="shared" si="0"/>
        <v>20156.708992355081</v>
      </c>
      <c r="AE13" s="65">
        <f t="shared" si="0"/>
        <v>20156.708992355081</v>
      </c>
      <c r="AF13" s="65">
        <f t="shared" si="0"/>
        <v>20156.708992355081</v>
      </c>
      <c r="AG13" s="65">
        <f t="shared" si="0"/>
        <v>7826.0989313275113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3">
        <f>IF(Assumptions!$W$14="Pass-through",0,Assumptions!$H$62*'Price_Technical Assumption'!D30*'Price_Technical Assumption'!D44/1000000)</f>
        <v>0</v>
      </c>
      <c r="D16" s="213">
        <f>IF(Assumptions!$W$14="Pass-through",0,Assumptions!$H$62*'Price_Technical Assumption'!E30*'Price_Technical Assumption'!E44/1000000)</f>
        <v>0</v>
      </c>
      <c r="E16" s="213">
        <f>IF(Assumptions!$W$14="Pass-through",0,Assumptions!$H$62*'Price_Technical Assumption'!F30*'Price_Technical Assumption'!F44/1000000)</f>
        <v>0</v>
      </c>
      <c r="F16" s="213">
        <f>IF(Assumptions!$W$14="Pass-through",0,Assumptions!$H$62*'Price_Technical Assumption'!G30*'Price_Technical Assumption'!G44/1000000)</f>
        <v>0</v>
      </c>
      <c r="G16" s="213">
        <f>IF(Assumptions!$W$14="Pass-through",0,Assumptions!$H$62*'Price_Technical Assumption'!H30*'Price_Technical Assumption'!H44/1000000)</f>
        <v>0</v>
      </c>
      <c r="H16" s="213">
        <f>IF(Assumptions!$W$14="Pass-through",0,Assumptions!$H$62*'Price_Technical Assumption'!I30*'Price_Technical Assumption'!I44/1000000)</f>
        <v>0</v>
      </c>
      <c r="I16" s="213">
        <f>IF(Assumptions!$W$14="Pass-through",0,Assumptions!$H$62*'Price_Technical Assumption'!J30*'Price_Technical Assumption'!J44/1000000)</f>
        <v>0</v>
      </c>
      <c r="J16" s="213">
        <f>IF(Assumptions!$W$14="Pass-through",0,Assumptions!$H$62*'Price_Technical Assumption'!K30*'Price_Technical Assumption'!K44/1000000)</f>
        <v>0</v>
      </c>
      <c r="K16" s="213">
        <f>IF(Assumptions!$W$14="Pass-through",0,Assumptions!$H$62*'Price_Technical Assumption'!L30*'Price_Technical Assumption'!L44/1000000)</f>
        <v>0</v>
      </c>
      <c r="L16" s="213">
        <f>IF(Assumptions!$W$14="Pass-through",0,Assumptions!$H$62*'Price_Technical Assumption'!M30*'Price_Technical Assumption'!M44/1000000)</f>
        <v>0</v>
      </c>
      <c r="M16" s="213">
        <f>IF(Assumptions!$W$14="Pass-through",0,Assumptions!$H$62*'Price_Technical Assumption'!N30*'Price_Technical Assumption'!N44/1000000)</f>
        <v>0</v>
      </c>
      <c r="N16" s="213">
        <f>IF(Assumptions!$W$14="Pass-through",0,Assumptions!$H$62*'Price_Technical Assumption'!O30*'Price_Technical Assumption'!O44/1000000)</f>
        <v>0</v>
      </c>
      <c r="O16" s="213">
        <f>IF(Assumptions!$W$14="Pass-through",0,Assumptions!$H$62*'Price_Technical Assumption'!P30*'Price_Technical Assumption'!P44/1000000)</f>
        <v>0</v>
      </c>
      <c r="P16" s="213">
        <f>IF(Assumptions!$W$14="Pass-through",0,Assumptions!$H$62*'Price_Technical Assumption'!Q30*'Price_Technical Assumption'!Q44/1000000)</f>
        <v>0</v>
      </c>
      <c r="Q16" s="213">
        <f>IF(Assumptions!$W$14="Pass-through",0,Assumptions!$H$62*'Price_Technical Assumption'!R30*'Price_Technical Assumption'!R44/1000000)</f>
        <v>0</v>
      </c>
      <c r="R16" s="213">
        <f>IF(Assumptions!$W$14="Pass-through",0,Assumptions!$H$62*'Price_Technical Assumption'!S30*'Price_Technical Assumption'!S44/1000000)</f>
        <v>0</v>
      </c>
      <c r="S16" s="213">
        <f>IF(Assumptions!$W$14="Pass-through",0,Assumptions!$H$62*'Price_Technical Assumption'!T30*'Price_Technical Assumption'!T44/1000000)</f>
        <v>0</v>
      </c>
      <c r="T16" s="213">
        <f>IF(Assumptions!$W$14="Pass-through",0,Assumptions!$H$62*'Price_Technical Assumption'!U30*'Price_Technical Assumption'!U44/1000000)</f>
        <v>0</v>
      </c>
      <c r="U16" s="213">
        <f>IF(Assumptions!$W$14="Pass-through",0,Assumptions!$H$62*'Price_Technical Assumption'!V30*'Price_Technical Assumption'!V44/1000000)</f>
        <v>0</v>
      </c>
      <c r="V16" s="213">
        <f>IF(Assumptions!$W$14="Pass-through",0,Assumptions!$H$62*'Price_Technical Assumption'!W30*'Price_Technical Assumption'!W44/1000000)</f>
        <v>0</v>
      </c>
      <c r="W16" s="213">
        <f>IF(Assumptions!$W$14="Pass-through",0,Assumptions!$H$62*'Price_Technical Assumption'!X30*'Price_Technical Assumption'!X44/1000000)</f>
        <v>0</v>
      </c>
      <c r="X16" s="213">
        <f>IF(Assumptions!$W$14="Pass-through",0,Assumptions!$H$62*'Price_Technical Assumption'!Y30*'Price_Technical Assumption'!Y44/1000000)</f>
        <v>0</v>
      </c>
      <c r="Y16" s="213">
        <f>IF(Assumptions!$W$14="Pass-through",0,Assumptions!$H$62*'Price_Technical Assumption'!Z30*'Price_Technical Assumption'!Z44/1000000)</f>
        <v>0</v>
      </c>
      <c r="Z16" s="213">
        <f>IF(Assumptions!$W$14="Pass-through",0,Assumptions!$H$62*'Price_Technical Assumption'!AA30*'Price_Technical Assumption'!AA44/1000000)</f>
        <v>0</v>
      </c>
      <c r="AA16" s="213">
        <f>IF(Assumptions!$W$14="Pass-through",0,Assumptions!$H$62*'Price_Technical Assumption'!AB30*'Price_Technical Assumption'!AB44/1000000)</f>
        <v>0</v>
      </c>
      <c r="AB16" s="213">
        <f>IF(Assumptions!$W$14="Pass-through",0,Assumptions!$H$62*'Price_Technical Assumption'!AC30*'Price_Technical Assumption'!AC44/1000000)</f>
        <v>0</v>
      </c>
      <c r="AC16" s="213">
        <f>IF(Assumptions!$W$14="Pass-through",0,Assumptions!$H$62*'Price_Technical Assumption'!AD30*'Price_Technical Assumption'!AD44/1000000)</f>
        <v>0</v>
      </c>
      <c r="AD16" s="213">
        <f>IF(Assumptions!$W$14="Pass-through",0,Assumptions!$H$62*'Price_Technical Assumption'!AE30*'Price_Technical Assumption'!AE44/1000000)</f>
        <v>0</v>
      </c>
      <c r="AE16" s="213">
        <f>IF(Assumptions!$W$14="Pass-through",0,Assumptions!$H$62*'Price_Technical Assumption'!AF30*'Price_Technical Assumption'!AF44/1000000)</f>
        <v>0</v>
      </c>
      <c r="AF16" s="213">
        <f>IF(Assumptions!$W$14="Pass-through",0,Assumptions!$H$62*'Price_Technical Assumption'!AG30*'Price_Technical Assumption'!AG44/1000000)</f>
        <v>0</v>
      </c>
      <c r="AG16" s="213">
        <f>IF(Assumptions!$W$14="Pass-through",0,Assumptions!$H$62*'Price_Technical Assumption'!AH30*'Price_Technical Assumption'!AH44/1000000)</f>
        <v>0</v>
      </c>
    </row>
    <row r="17" spans="1:47">
      <c r="A17" s="3" t="s">
        <v>189</v>
      </c>
      <c r="B17" s="65"/>
      <c r="C17" s="74">
        <f>Assumptions!$N19*C6</f>
        <v>500</v>
      </c>
      <c r="D17" s="74">
        <f>Assumptions!$N19*(1+Assumptions!$N$11)</f>
        <v>765</v>
      </c>
      <c r="E17" s="74">
        <f>D17*(1+Assumptions!$N$11)</f>
        <v>780.30000000000007</v>
      </c>
      <c r="F17" s="74">
        <f>E17*(1+Assumptions!$N$11)</f>
        <v>795.90600000000006</v>
      </c>
      <c r="G17" s="74">
        <f>F17*(1+Assumptions!$N$11)</f>
        <v>811.82412000000011</v>
      </c>
      <c r="H17" s="74">
        <f>G17*(1+Assumptions!$N$11)</f>
        <v>828.06060240000011</v>
      </c>
      <c r="I17" s="74">
        <f>H17*(1+Assumptions!$N$11)</f>
        <v>844.62181444800012</v>
      </c>
      <c r="J17" s="74">
        <f>I17*(1+Assumptions!$N$11)</f>
        <v>861.51425073696009</v>
      </c>
      <c r="K17" s="74">
        <f>J17*(1+Assumptions!$N$11)</f>
        <v>878.74453575169935</v>
      </c>
      <c r="L17" s="74">
        <f>K17*(1+Assumptions!$N$11)</f>
        <v>896.31942646673338</v>
      </c>
      <c r="M17" s="74">
        <f>L17*(1+Assumptions!$N$11)</f>
        <v>914.24581499606802</v>
      </c>
      <c r="N17" s="74">
        <f>M17*(1+Assumptions!$N$11)</f>
        <v>932.53073129598943</v>
      </c>
      <c r="O17" s="74">
        <f>N17*(1+Assumptions!$N$11)</f>
        <v>951.18134592190927</v>
      </c>
      <c r="P17" s="74">
        <f>O17*(1+Assumptions!$N$11)</f>
        <v>970.20497284034752</v>
      </c>
      <c r="Q17" s="74">
        <f>P17*(1+Assumptions!$N$11)</f>
        <v>989.60907229715451</v>
      </c>
      <c r="R17" s="74">
        <f>Q17*(1+Assumptions!$N$11)</f>
        <v>1009.4012537430976</v>
      </c>
      <c r="S17" s="74">
        <f>R17*(1+Assumptions!$N$11)</f>
        <v>1029.5892788179597</v>
      </c>
      <c r="T17" s="74">
        <f>S17*(1+Assumptions!$N$11)</f>
        <v>1050.1810643943188</v>
      </c>
      <c r="U17" s="74">
        <f>T17*(1+Assumptions!$N$11)</f>
        <v>1071.1846856822051</v>
      </c>
      <c r="V17" s="74">
        <f>U17*(1+Assumptions!$N$11)</f>
        <v>1092.6083793958492</v>
      </c>
      <c r="W17" s="74">
        <f>V17*(1+Assumptions!$N$11)</f>
        <v>1114.4605469837661</v>
      </c>
      <c r="X17" s="74">
        <f>W17*(1+Assumptions!$N$11)</f>
        <v>1136.7497579234414</v>
      </c>
      <c r="Y17" s="74">
        <f>X17*(1+Assumptions!$N$11)</f>
        <v>1159.4847530819102</v>
      </c>
      <c r="Z17" s="74">
        <f>Y17*(1+Assumptions!$N$11)</f>
        <v>1182.6744481435485</v>
      </c>
      <c r="AA17" s="74">
        <f>Z17*(1+Assumptions!$N$11)</f>
        <v>1206.3279371064195</v>
      </c>
      <c r="AB17" s="74">
        <f>AA17*(1+Assumptions!$N$11)</f>
        <v>1230.454495848548</v>
      </c>
      <c r="AC17" s="74">
        <f>AB17*(1+Assumptions!$N$11)</f>
        <v>1255.0635857655191</v>
      </c>
      <c r="AD17" s="74">
        <f>AC17*(1+Assumptions!$N$11)</f>
        <v>1280.1648574808294</v>
      </c>
      <c r="AE17" s="74">
        <f>AD17*(1+Assumptions!$N$11)</f>
        <v>1305.7681546304459</v>
      </c>
      <c r="AF17" s="74">
        <f>AE17*(1+Assumptions!$N$11)</f>
        <v>1331.8835177230549</v>
      </c>
      <c r="AG17" s="74">
        <f>AF17*(1+Assumptions!$N$11)</f>
        <v>1358.5211880775159</v>
      </c>
    </row>
    <row r="18" spans="1:47">
      <c r="A18" s="3" t="s">
        <v>234</v>
      </c>
      <c r="C18" s="213">
        <f>IF(Assumptions!W14="Pass-through",0,+(Assumptions!$N$15*Assumptions!$H$62)/1000*(1+Assumptions!$N$11)^IS!C6)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235</v>
      </c>
      <c r="B19" s="65"/>
      <c r="C19" s="74">
        <f>IF(Assumptions!W14="Pass-through",0,Assumptions!$N$16*Assumptions!$H$62/1000*(1+Assumptions!$N$11)^IS!C6)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337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201</v>
      </c>
      <c r="C23" s="190">
        <f>Assumptions!N30</f>
        <v>2351.0082862698287</v>
      </c>
      <c r="D23" s="190">
        <f>C23*(1+Assumptions!$P$30)</f>
        <v>2351.0082862698287</v>
      </c>
      <c r="E23" s="190">
        <f>D23*(1+Assumptions!$P$30)</f>
        <v>2351.0082862698287</v>
      </c>
      <c r="F23" s="190">
        <f>E23*(1+Assumptions!$P$30)</f>
        <v>2351.0082862698287</v>
      </c>
      <c r="G23" s="190">
        <f>F23*(1+Assumptions!$P$30)</f>
        <v>2351.0082862698287</v>
      </c>
      <c r="H23" s="190">
        <f>G23*(1+Assumptions!$P$30)</f>
        <v>2351.0082862698287</v>
      </c>
      <c r="I23" s="190">
        <f>H23*(1+Assumptions!$P$30)</f>
        <v>2351.0082862698287</v>
      </c>
      <c r="J23" s="190">
        <f>I23*(1+Assumptions!$P$30)</f>
        <v>2351.0082862698287</v>
      </c>
      <c r="K23" s="190">
        <f>J23*(1+Assumptions!$P$30)</f>
        <v>2351.0082862698287</v>
      </c>
      <c r="L23" s="190">
        <f>K23*(1+Assumptions!$P$30)</f>
        <v>2351.0082862698287</v>
      </c>
      <c r="M23" s="190">
        <f>L23*(1+Assumptions!$P$30)</f>
        <v>2351.0082862698287</v>
      </c>
      <c r="N23" s="190">
        <f>M23*(1+Assumptions!$P$30)</f>
        <v>2351.0082862698287</v>
      </c>
      <c r="O23" s="190">
        <f>N23*(1+Assumptions!$P$30)</f>
        <v>2351.0082862698287</v>
      </c>
      <c r="P23" s="190">
        <f>O23*(1+Assumptions!$P$30)</f>
        <v>2351.0082862698287</v>
      </c>
      <c r="Q23" s="190">
        <f>P23*(1+Assumptions!$P$30)</f>
        <v>2351.0082862698287</v>
      </c>
      <c r="R23" s="190">
        <f>Q23*(1+Assumptions!$P$30)</f>
        <v>2351.0082862698287</v>
      </c>
      <c r="S23" s="190">
        <f>R23*(1+Assumptions!$P$30)</f>
        <v>2351.0082862698287</v>
      </c>
      <c r="T23" s="190">
        <f>S23*(1+Assumptions!$P$30)</f>
        <v>2351.0082862698287</v>
      </c>
      <c r="U23" s="190">
        <f>T23*(1+Assumptions!$P$30)</f>
        <v>2351.0082862698287</v>
      </c>
      <c r="V23" s="190">
        <f>U23*(1+Assumptions!$P$30)</f>
        <v>2351.0082862698287</v>
      </c>
      <c r="W23" s="190">
        <f>V23*(1+Assumptions!$P$30)</f>
        <v>2351.0082862698287</v>
      </c>
      <c r="X23" s="190">
        <f>W23*(1+Assumptions!$P$30)</f>
        <v>2351.0082862698287</v>
      </c>
      <c r="Y23" s="190">
        <f>X23*(1+Assumptions!$P$30)</f>
        <v>2351.0082862698287</v>
      </c>
      <c r="Z23" s="190">
        <f>Y23*(1+Assumptions!$P$30)</f>
        <v>2351.0082862698287</v>
      </c>
      <c r="AA23" s="190">
        <f>Z23*(1+Assumptions!$P$30)</f>
        <v>2351.0082862698287</v>
      </c>
      <c r="AB23" s="190">
        <f>AA23*(1+Assumptions!$P$30)</f>
        <v>2351.0082862698287</v>
      </c>
      <c r="AC23" s="190">
        <f>AB23*(1+Assumptions!$P$30)</f>
        <v>2351.0082862698287</v>
      </c>
      <c r="AD23" s="190">
        <f>AC23*(1+Assumptions!$P$30)</f>
        <v>2351.0082862698287</v>
      </c>
      <c r="AE23" s="190">
        <f>AD23*(1+Assumptions!$P$30)</f>
        <v>2351.0082862698287</v>
      </c>
      <c r="AF23" s="190">
        <f>AE23*(1+Assumptions!$P$30)</f>
        <v>2351.0082862698287</v>
      </c>
      <c r="AG23" s="190">
        <f>AF23*(1+Assumptions!$P$30)</f>
        <v>2351.0082862698287</v>
      </c>
    </row>
    <row r="24" spans="1:47">
      <c r="A24" s="5" t="s">
        <v>191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195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90">
        <v>0</v>
      </c>
      <c r="O25" s="190">
        <v>0</v>
      </c>
      <c r="P25" s="190">
        <v>0</v>
      </c>
      <c r="Q25" s="190">
        <v>0</v>
      </c>
      <c r="R25" s="190">
        <v>0</v>
      </c>
      <c r="S25" s="190">
        <v>0</v>
      </c>
      <c r="T25" s="190"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0</v>
      </c>
      <c r="AB25" s="190">
        <v>0</v>
      </c>
      <c r="AC25" s="190">
        <v>0</v>
      </c>
      <c r="AD25" s="190">
        <v>0</v>
      </c>
      <c r="AE25" s="190">
        <v>0</v>
      </c>
      <c r="AF25" s="190">
        <v>0</v>
      </c>
      <c r="AG25" s="190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400</v>
      </c>
      <c r="D27" s="74">
        <f>Assumptions!$O$23*Assumptions!$H$68*(1+Assumptions!$N$11)</f>
        <v>612</v>
      </c>
      <c r="E27" s="74">
        <f>Assumptions!$O$23*Assumptions!$H$68*(1+Assumptions!$N$11)</f>
        <v>612</v>
      </c>
      <c r="F27" s="74">
        <f>Assumptions!$O$23*Assumptions!$H$68*(1+Assumptions!$N$11)</f>
        <v>612</v>
      </c>
      <c r="G27" s="74">
        <f>Assumptions!$O$23*Assumptions!$H$68*(1+Assumptions!$N$11)</f>
        <v>612</v>
      </c>
      <c r="H27" s="74">
        <f>Assumptions!$O$23*Assumptions!$H$68*(1+Assumptions!$N$11)</f>
        <v>612</v>
      </c>
      <c r="I27" s="74">
        <f>Assumptions!$O$23*Assumptions!$H$68*(1+Assumptions!$N$11)</f>
        <v>612</v>
      </c>
      <c r="J27" s="74">
        <f>Assumptions!$O$23*Assumptions!$H$68*(1+Assumptions!$N$11)</f>
        <v>612</v>
      </c>
      <c r="K27" s="74">
        <f>Assumptions!$O$23*Assumptions!$H$68*(1+Assumptions!$N$11)</f>
        <v>612</v>
      </c>
      <c r="L27" s="74">
        <f>Assumptions!$O$23*Assumptions!$H$68*(1+Assumptions!$N$11)</f>
        <v>612</v>
      </c>
      <c r="M27" s="74">
        <f>Assumptions!$O$23*Assumptions!$H$68*(1+Assumptions!$N$11)</f>
        <v>612</v>
      </c>
      <c r="N27" s="74">
        <f>Assumptions!$O$23*Assumptions!$H$68*(1+Assumptions!$N$11)</f>
        <v>612</v>
      </c>
      <c r="O27" s="74">
        <f>Assumptions!$O$23*Assumptions!$H$68*(1+Assumptions!$N$11)</f>
        <v>612</v>
      </c>
      <c r="P27" s="74">
        <f>Assumptions!$O$23*Assumptions!$H$68*(1+Assumptions!$N$11)</f>
        <v>612</v>
      </c>
      <c r="Q27" s="74">
        <f>Assumptions!$O$23*Assumptions!$H$68*(1+Assumptions!$N$11)</f>
        <v>612</v>
      </c>
      <c r="R27" s="74">
        <f>Assumptions!$O$23*Assumptions!$H$68*(1+Assumptions!$N$11)</f>
        <v>612</v>
      </c>
      <c r="S27" s="74">
        <f>Assumptions!$O$23*Assumptions!$H$68*(1+Assumptions!$N$11)</f>
        <v>612</v>
      </c>
      <c r="T27" s="74">
        <f>Assumptions!$O$23*Assumptions!$H$68*(1+Assumptions!$N$11)</f>
        <v>612</v>
      </c>
      <c r="U27" s="74">
        <f>Assumptions!$O$23*Assumptions!$H$68*(1+Assumptions!$N$11)</f>
        <v>612</v>
      </c>
      <c r="V27" s="74">
        <f>Assumptions!$O$23*Assumptions!$H$68*(1+Assumptions!$N$11)</f>
        <v>612</v>
      </c>
      <c r="W27" s="74">
        <f>Assumptions!$O$23*Assumptions!$H$68*(1+Assumptions!$N$11)</f>
        <v>612</v>
      </c>
      <c r="X27" s="74">
        <f>Assumptions!$O$23*Assumptions!$H$68*(1+Assumptions!$N$11)</f>
        <v>612</v>
      </c>
      <c r="Y27" s="74">
        <f>Assumptions!$O$23*Assumptions!$H$68*(1+Assumptions!$N$11)</f>
        <v>612</v>
      </c>
      <c r="Z27" s="74">
        <f>Assumptions!$O$23*Assumptions!$H$68*(1+Assumptions!$N$11)</f>
        <v>612</v>
      </c>
      <c r="AA27" s="74">
        <f>Assumptions!$O$23*Assumptions!$H$68*(1+Assumptions!$N$11)</f>
        <v>612</v>
      </c>
      <c r="AB27" s="74">
        <f>Assumptions!$O$23*Assumptions!$H$68*(1+Assumptions!$N$11)</f>
        <v>612</v>
      </c>
      <c r="AC27" s="74">
        <f>Assumptions!$O$23*Assumptions!$H$68*(1+Assumptions!$N$11)</f>
        <v>612</v>
      </c>
      <c r="AD27" s="74">
        <f>Assumptions!$O$23*Assumptions!$H$68*(1+Assumptions!$N$11)</f>
        <v>612</v>
      </c>
      <c r="AE27" s="74">
        <f>Assumptions!$O$23*Assumptions!$H$68*(1+Assumptions!$N$11)</f>
        <v>612</v>
      </c>
      <c r="AF27" s="74">
        <f>Assumptions!$O$23*Assumptions!$H$68*(1+Assumptions!$N$11)</f>
        <v>612</v>
      </c>
      <c r="AG27" s="74">
        <f>Assumptions!$O$23*Assumptions!$H$68*(1+Assumptions!$N$11)</f>
        <v>612</v>
      </c>
    </row>
    <row r="28" spans="1:47">
      <c r="A28" s="3" t="s">
        <v>44</v>
      </c>
      <c r="C28" s="74">
        <f>Assumptions!$N24*Assumptions!H18/12</f>
        <v>50</v>
      </c>
      <c r="D28" s="74">
        <f>Assumptions!$N24*(1+Assumptions!$N$11)</f>
        <v>76.5</v>
      </c>
      <c r="E28" s="74">
        <f>D28*(1+Assumptions!$N$11)</f>
        <v>78.03</v>
      </c>
      <c r="F28" s="74">
        <f>E28*(1+Assumptions!$N$11)</f>
        <v>79.590600000000009</v>
      </c>
      <c r="G28" s="74">
        <f>F28*(1+Assumptions!$N$11)</f>
        <v>81.182412000000014</v>
      </c>
      <c r="H28" s="74">
        <f>G28*(1+Assumptions!$N$11)</f>
        <v>82.806060240000022</v>
      </c>
      <c r="I28" s="74">
        <f>H28*(1+Assumptions!$N$11)</f>
        <v>84.462181444800024</v>
      </c>
      <c r="J28" s="74">
        <f>I28*(1+Assumptions!$N$11)</f>
        <v>86.151425073696032</v>
      </c>
      <c r="K28" s="74">
        <f>J28*(1+Assumptions!$N$11)</f>
        <v>87.874453575169952</v>
      </c>
      <c r="L28" s="74">
        <f>K28*(1+Assumptions!$N$11)</f>
        <v>89.631942646673352</v>
      </c>
      <c r="M28" s="74">
        <f>L28*(1+Assumptions!$N$11)</f>
        <v>91.424581499606816</v>
      </c>
      <c r="N28" s="74">
        <f>M28*(1+Assumptions!$N$11)</f>
        <v>93.25307312959896</v>
      </c>
      <c r="O28" s="74">
        <f>N28*(1+Assumptions!$N$11)</f>
        <v>95.118134592190941</v>
      </c>
      <c r="P28" s="74">
        <f>O28*(1+Assumptions!$N$11)</f>
        <v>97.020497284034761</v>
      </c>
      <c r="Q28" s="74">
        <f>P28*(1+Assumptions!$N$11)</f>
        <v>98.96090722971546</v>
      </c>
      <c r="R28" s="74">
        <f>Q28*(1+Assumptions!$N$11)</f>
        <v>100.94012537430977</v>
      </c>
      <c r="S28" s="74">
        <f>R28*(1+Assumptions!$N$11)</f>
        <v>102.95892788179597</v>
      </c>
      <c r="T28" s="74">
        <f>S28*(1+Assumptions!$N$11)</f>
        <v>105.01810643943189</v>
      </c>
      <c r="U28" s="74">
        <f>T28*(1+Assumptions!$N$11)</f>
        <v>107.11846856822054</v>
      </c>
      <c r="V28" s="74">
        <f>U28*(1+Assumptions!$N$11)</f>
        <v>109.26083793958495</v>
      </c>
      <c r="W28" s="74">
        <f>V28*(1+Assumptions!$N$11)</f>
        <v>111.44605469837664</v>
      </c>
      <c r="X28" s="74">
        <f>W28*(1+Assumptions!$N$11)</f>
        <v>113.67497579234417</v>
      </c>
      <c r="Y28" s="74">
        <f>X28*(1+Assumptions!$N$11)</f>
        <v>115.94847530819105</v>
      </c>
      <c r="Z28" s="74">
        <f>Y28*(1+Assumptions!$N$11)</f>
        <v>118.26744481435487</v>
      </c>
      <c r="AA28" s="74">
        <f>Z28*(1+Assumptions!$N$11)</f>
        <v>120.63279371064198</v>
      </c>
      <c r="AB28" s="74">
        <f>AA28*(1+Assumptions!$N$11)</f>
        <v>123.04544958485482</v>
      </c>
      <c r="AC28" s="74">
        <f>AB28*(1+Assumptions!$N$11)</f>
        <v>125.50635857655192</v>
      </c>
      <c r="AD28" s="74">
        <f>AC28*(1+Assumptions!$N$11)</f>
        <v>128.01648574808297</v>
      </c>
      <c r="AE28" s="74">
        <f>AD28*(1+Assumptions!$N$11)</f>
        <v>130.57681546304462</v>
      </c>
      <c r="AF28" s="74">
        <f>AE28*(1+Assumptions!$N$11)</f>
        <v>133.18835177230551</v>
      </c>
      <c r="AG28" s="74">
        <f>AF28*(1+Assumptions!$N$11)</f>
        <v>135.85211880775162</v>
      </c>
    </row>
    <row r="29" spans="1:47">
      <c r="A29" s="3" t="s">
        <v>45</v>
      </c>
      <c r="C29" s="75">
        <f>Assumptions!$N25*Assumptions!H18/12</f>
        <v>100</v>
      </c>
      <c r="D29" s="75">
        <f>Assumptions!$N25*(1+Assumptions!$N$11)</f>
        <v>153</v>
      </c>
      <c r="E29" s="75">
        <f>D29*(1+Assumptions!$N$11)</f>
        <v>156.06</v>
      </c>
      <c r="F29" s="75">
        <f>E29*(1+Assumptions!$N$11)</f>
        <v>159.18120000000002</v>
      </c>
      <c r="G29" s="75">
        <f>F29*(1+Assumptions!$N$11)</f>
        <v>162.36482400000003</v>
      </c>
      <c r="H29" s="75">
        <f>G29*(1+Assumptions!$N$11)</f>
        <v>165.61212048000004</v>
      </c>
      <c r="I29" s="75">
        <f>H29*(1+Assumptions!$N$11)</f>
        <v>168.92436288960005</v>
      </c>
      <c r="J29" s="75">
        <f>I29*(1+Assumptions!$N$11)</f>
        <v>172.30285014739206</v>
      </c>
      <c r="K29" s="75">
        <f>J29*(1+Assumptions!$N$11)</f>
        <v>175.7489071503399</v>
      </c>
      <c r="L29" s="75">
        <f>K29*(1+Assumptions!$N$11)</f>
        <v>179.2638852933467</v>
      </c>
      <c r="M29" s="75">
        <f>L29*(1+Assumptions!$N$11)</f>
        <v>182.84916299921363</v>
      </c>
      <c r="N29" s="75">
        <f>M29*(1+Assumptions!$N$11)</f>
        <v>186.50614625919792</v>
      </c>
      <c r="O29" s="75">
        <f>N29*(1+Assumptions!$N$11)</f>
        <v>190.23626918438188</v>
      </c>
      <c r="P29" s="75">
        <f>O29*(1+Assumptions!$N$11)</f>
        <v>194.04099456806952</v>
      </c>
      <c r="Q29" s="75">
        <f>P29*(1+Assumptions!$N$11)</f>
        <v>197.92181445943092</v>
      </c>
      <c r="R29" s="75">
        <f>Q29*(1+Assumptions!$N$11)</f>
        <v>201.88025074861955</v>
      </c>
      <c r="S29" s="75">
        <f>R29*(1+Assumptions!$N$11)</f>
        <v>205.91785576359194</v>
      </c>
      <c r="T29" s="75">
        <f>S29*(1+Assumptions!$N$11)</f>
        <v>210.03621287886378</v>
      </c>
      <c r="U29" s="75">
        <f>T29*(1+Assumptions!$N$11)</f>
        <v>214.23693713644107</v>
      </c>
      <c r="V29" s="75">
        <f>U29*(1+Assumptions!$N$11)</f>
        <v>218.52167587916989</v>
      </c>
      <c r="W29" s="75">
        <f>V29*(1+Assumptions!$N$11)</f>
        <v>222.89210939675328</v>
      </c>
      <c r="X29" s="75">
        <f>W29*(1+Assumptions!$N$11)</f>
        <v>227.34995158468834</v>
      </c>
      <c r="Y29" s="75">
        <f>X29*(1+Assumptions!$N$11)</f>
        <v>231.8969506163821</v>
      </c>
      <c r="Z29" s="75">
        <f>Y29*(1+Assumptions!$N$11)</f>
        <v>236.53488962870975</v>
      </c>
      <c r="AA29" s="75">
        <f>Z29*(1+Assumptions!$N$11)</f>
        <v>241.26558742128395</v>
      </c>
      <c r="AB29" s="75">
        <f>AA29*(1+Assumptions!$N$11)</f>
        <v>246.09089916970964</v>
      </c>
      <c r="AC29" s="75">
        <f>AB29*(1+Assumptions!$N$11)</f>
        <v>251.01271715310384</v>
      </c>
      <c r="AD29" s="75">
        <f>AC29*(1+Assumptions!$N$11)</f>
        <v>256.03297149616594</v>
      </c>
      <c r="AE29" s="75">
        <f>AD29*(1+Assumptions!$N$11)</f>
        <v>261.15363092608925</v>
      </c>
      <c r="AF29" s="75">
        <f>AE29*(1+Assumptions!$N$11)</f>
        <v>266.37670354461102</v>
      </c>
      <c r="AG29" s="75">
        <f>AF29*(1+Assumptions!$N$11)</f>
        <v>271.70423761550325</v>
      </c>
    </row>
    <row r="30" spans="1:47">
      <c r="A30" s="3" t="s">
        <v>46</v>
      </c>
      <c r="C30" s="65">
        <f t="shared" ref="C30:X30" si="1">SUM(C16:C29)</f>
        <v>3567.6749529364952</v>
      </c>
      <c r="D30" s="65">
        <f t="shared" si="1"/>
        <v>4212.5082862698291</v>
      </c>
      <c r="E30" s="65">
        <f t="shared" si="1"/>
        <v>4237.4982862698289</v>
      </c>
      <c r="F30" s="65">
        <f t="shared" si="1"/>
        <v>4262.9880862698292</v>
      </c>
      <c r="G30" s="65">
        <f t="shared" si="1"/>
        <v>4288.9876822698288</v>
      </c>
      <c r="H30" s="65">
        <f t="shared" si="1"/>
        <v>4315.5072701898289</v>
      </c>
      <c r="I30" s="65">
        <f t="shared" si="1"/>
        <v>4342.5572498682286</v>
      </c>
      <c r="J30" s="65">
        <f t="shared" si="1"/>
        <v>4370.1482291401971</v>
      </c>
      <c r="K30" s="65">
        <f t="shared" si="1"/>
        <v>4398.291027997604</v>
      </c>
      <c r="L30" s="65">
        <f t="shared" si="1"/>
        <v>4426.9966828321603</v>
      </c>
      <c r="M30" s="65">
        <f t="shared" si="1"/>
        <v>4456.2764507634065</v>
      </c>
      <c r="N30" s="65">
        <f t="shared" si="1"/>
        <v>4486.1418140532778</v>
      </c>
      <c r="O30" s="65">
        <f t="shared" si="1"/>
        <v>4516.604484608948</v>
      </c>
      <c r="P30" s="65">
        <f t="shared" si="1"/>
        <v>4547.6764085757295</v>
      </c>
      <c r="Q30" s="65">
        <f t="shared" si="1"/>
        <v>4579.3697710218476</v>
      </c>
      <c r="R30" s="65">
        <f t="shared" si="1"/>
        <v>4611.6970007168884</v>
      </c>
      <c r="S30" s="65">
        <f t="shared" si="1"/>
        <v>4644.6707750058295</v>
      </c>
      <c r="T30" s="65">
        <f t="shared" si="1"/>
        <v>4678.3040247805493</v>
      </c>
      <c r="U30" s="65">
        <f t="shared" si="1"/>
        <v>4712.6099395507636</v>
      </c>
      <c r="V30" s="65">
        <f t="shared" si="1"/>
        <v>4747.6019726163831</v>
      </c>
      <c r="W30" s="65">
        <f t="shared" si="1"/>
        <v>4783.2938463433129</v>
      </c>
      <c r="X30" s="65">
        <f t="shared" si="1"/>
        <v>4819.6995575447827</v>
      </c>
      <c r="Y30" s="65">
        <f t="shared" ref="Y30:AG30" si="2">SUM(Y16:Y29)</f>
        <v>4856.8333829702815</v>
      </c>
      <c r="Z30" s="65">
        <f t="shared" si="2"/>
        <v>4894.7098849042914</v>
      </c>
      <c r="AA30" s="65">
        <f t="shared" si="2"/>
        <v>4933.343916876981</v>
      </c>
      <c r="AB30" s="65">
        <f t="shared" si="2"/>
        <v>4972.7506294891236</v>
      </c>
      <c r="AC30" s="65">
        <f t="shared" si="2"/>
        <v>5012.9454763535095</v>
      </c>
      <c r="AD30" s="65">
        <f t="shared" si="2"/>
        <v>5053.9442201551838</v>
      </c>
      <c r="AE30" s="65">
        <f t="shared" si="2"/>
        <v>5095.7629388328905</v>
      </c>
      <c r="AF30" s="65">
        <f t="shared" si="2"/>
        <v>5138.4180318841518</v>
      </c>
      <c r="AG30" s="65">
        <f t="shared" si="2"/>
        <v>5181.9262267964386</v>
      </c>
    </row>
    <row r="31" spans="1:47">
      <c r="A31" s="4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55"/>
    </row>
    <row r="32" spans="1:47">
      <c r="A32" s="1" t="s">
        <v>47</v>
      </c>
      <c r="C32" s="121">
        <f t="shared" ref="C32:X32" si="3">C13-C30</f>
        <v>9870.1310419668953</v>
      </c>
      <c r="D32" s="121">
        <f t="shared" si="3"/>
        <v>15944.200706085252</v>
      </c>
      <c r="E32" s="121">
        <f t="shared" si="3"/>
        <v>15919.210706085252</v>
      </c>
      <c r="F32" s="121">
        <f t="shared" si="3"/>
        <v>15893.720906085251</v>
      </c>
      <c r="G32" s="121">
        <f t="shared" si="3"/>
        <v>15867.721310085253</v>
      </c>
      <c r="H32" s="121">
        <f t="shared" si="3"/>
        <v>15841.201722165253</v>
      </c>
      <c r="I32" s="121">
        <f t="shared" si="3"/>
        <v>15814.151742486853</v>
      </c>
      <c r="J32" s="121">
        <f t="shared" si="3"/>
        <v>15786.560763214884</v>
      </c>
      <c r="K32" s="121">
        <f t="shared" si="3"/>
        <v>15758.417964357477</v>
      </c>
      <c r="L32" s="121">
        <f t="shared" si="3"/>
        <v>15729.712309522922</v>
      </c>
      <c r="M32" s="121">
        <f t="shared" si="3"/>
        <v>15700.432541591676</v>
      </c>
      <c r="N32" s="121">
        <f t="shared" si="3"/>
        <v>15670.567178301804</v>
      </c>
      <c r="O32" s="121">
        <f t="shared" si="3"/>
        <v>15640.104507746133</v>
      </c>
      <c r="P32" s="121">
        <f t="shared" si="3"/>
        <v>15609.032583779352</v>
      </c>
      <c r="Q32" s="121">
        <f t="shared" si="3"/>
        <v>15577.339221333234</v>
      </c>
      <c r="R32" s="121">
        <f t="shared" si="3"/>
        <v>15545.011991638192</v>
      </c>
      <c r="S32" s="121">
        <f t="shared" si="3"/>
        <v>15512.038217349251</v>
      </c>
      <c r="T32" s="121">
        <f t="shared" si="3"/>
        <v>15478.404967574532</v>
      </c>
      <c r="U32" s="121">
        <f t="shared" si="3"/>
        <v>15444.099052804318</v>
      </c>
      <c r="V32" s="121">
        <f t="shared" si="3"/>
        <v>15409.107019738698</v>
      </c>
      <c r="W32" s="121">
        <f t="shared" si="3"/>
        <v>15373.415146011768</v>
      </c>
      <c r="X32" s="121">
        <f t="shared" si="3"/>
        <v>15337.009434810298</v>
      </c>
      <c r="Y32" s="121">
        <f t="shared" ref="Y32:AG32" si="4">Y13-Y30</f>
        <v>15299.875609384799</v>
      </c>
      <c r="Z32" s="121">
        <f t="shared" si="4"/>
        <v>15261.999107450789</v>
      </c>
      <c r="AA32" s="121">
        <f t="shared" si="4"/>
        <v>15223.365075478101</v>
      </c>
      <c r="AB32" s="121">
        <f t="shared" si="4"/>
        <v>15183.958362865957</v>
      </c>
      <c r="AC32" s="121">
        <f t="shared" si="4"/>
        <v>15143.763516001571</v>
      </c>
      <c r="AD32" s="121">
        <f t="shared" si="4"/>
        <v>15102.764772199898</v>
      </c>
      <c r="AE32" s="121">
        <f t="shared" si="4"/>
        <v>15060.946053522192</v>
      </c>
      <c r="AF32" s="121">
        <f t="shared" si="4"/>
        <v>15018.290960470929</v>
      </c>
      <c r="AG32" s="121">
        <f t="shared" si="4"/>
        <v>2644.1727045310727</v>
      </c>
    </row>
    <row r="33" spans="1:33">
      <c r="A33" s="1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</row>
    <row r="34" spans="1:33">
      <c r="A34" s="3" t="s">
        <v>48</v>
      </c>
      <c r="C34" s="65">
        <f>Depreciation!D48</f>
        <v>3582.9674737903815</v>
      </c>
      <c r="D34" s="65">
        <f>Depreciation!E48</f>
        <v>5374.4512106855727</v>
      </c>
      <c r="E34" s="65">
        <f>Depreciation!F48</f>
        <v>5374.4512106855727</v>
      </c>
      <c r="F34" s="65">
        <f>Depreciation!G48</f>
        <v>5374.4512106855727</v>
      </c>
      <c r="G34" s="65">
        <f>Depreciation!H48</f>
        <v>5374.4512106855727</v>
      </c>
      <c r="H34" s="65">
        <f>Depreciation!I48</f>
        <v>4554.890704018906</v>
      </c>
      <c r="I34" s="65">
        <f>Depreciation!J48</f>
        <v>4145.1104506855727</v>
      </c>
      <c r="J34" s="65">
        <f>Depreciation!K48</f>
        <v>4145.1104506855727</v>
      </c>
      <c r="K34" s="65">
        <f>Depreciation!L48</f>
        <v>4145.1104506855727</v>
      </c>
      <c r="L34" s="65">
        <f>Depreciation!M48</f>
        <v>4145.1104506855727</v>
      </c>
      <c r="M34" s="65">
        <f>Depreciation!N48</f>
        <v>4145.1104506855727</v>
      </c>
      <c r="N34" s="65">
        <f>Depreciation!O48</f>
        <v>4145.1104506855727</v>
      </c>
      <c r="O34" s="65">
        <f>Depreciation!P48</f>
        <v>4145.1104506855727</v>
      </c>
      <c r="P34" s="65">
        <f>Depreciation!Q48</f>
        <v>4145.1104506855727</v>
      </c>
      <c r="Q34" s="65">
        <f>Depreciation!R48</f>
        <v>4145.1104506855727</v>
      </c>
      <c r="R34" s="65">
        <f>Depreciation!S48</f>
        <v>4145.1104506855727</v>
      </c>
      <c r="S34" s="65">
        <f>Depreciation!T48</f>
        <v>4145.1104506855727</v>
      </c>
      <c r="T34" s="65">
        <f>Depreciation!U48</f>
        <v>4145.1104506855727</v>
      </c>
      <c r="U34" s="65">
        <f>Depreciation!V48</f>
        <v>4145.1104506855727</v>
      </c>
      <c r="V34" s="65">
        <f>Depreciation!W48</f>
        <v>4145.1104506855727</v>
      </c>
      <c r="W34" s="65">
        <f>Depreciation!X48</f>
        <v>4145.1104506855727</v>
      </c>
      <c r="X34" s="65">
        <f>Depreciation!Y48</f>
        <v>4145.1104506855727</v>
      </c>
      <c r="Y34" s="65">
        <f>Depreciation!Z48</f>
        <v>4145.1104506855727</v>
      </c>
      <c r="Z34" s="65">
        <f>Depreciation!AA48</f>
        <v>4145.1104506855727</v>
      </c>
      <c r="AA34" s="65">
        <f>Depreciation!AB48</f>
        <v>4145.1104506855727</v>
      </c>
      <c r="AB34" s="65">
        <f>Depreciation!AC48</f>
        <v>4145.1104506855727</v>
      </c>
      <c r="AC34" s="65">
        <f>Depreciation!AD48</f>
        <v>4145.1104506855727</v>
      </c>
      <c r="AD34" s="65">
        <f>Depreciation!AE48</f>
        <v>4145.1104506855727</v>
      </c>
      <c r="AE34" s="65">
        <f>Depreciation!AF48</f>
        <v>4145.1104506855727</v>
      </c>
      <c r="AF34" s="65">
        <f>Depreciation!AG48</f>
        <v>4145.1104506855727</v>
      </c>
      <c r="AG34" s="65">
        <f>Depreciation!AH48</f>
        <v>1381.7034835618581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1">
        <f>C32-C34</f>
        <v>6287.1635681765138</v>
      </c>
      <c r="D36" s="121">
        <f t="shared" ref="D36:X36" si="5">D32-D34</f>
        <v>10569.749495399679</v>
      </c>
      <c r="E36" s="121">
        <f t="shared" si="5"/>
        <v>10544.75949539968</v>
      </c>
      <c r="F36" s="121">
        <f t="shared" si="5"/>
        <v>10519.269695399678</v>
      </c>
      <c r="G36" s="121">
        <f t="shared" si="5"/>
        <v>10493.27009939968</v>
      </c>
      <c r="H36" s="121">
        <f t="shared" si="5"/>
        <v>11286.311018146347</v>
      </c>
      <c r="I36" s="121">
        <f t="shared" si="5"/>
        <v>11669.041291801281</v>
      </c>
      <c r="J36" s="121">
        <f t="shared" si="5"/>
        <v>11641.450312529312</v>
      </c>
      <c r="K36" s="121">
        <f t="shared" si="5"/>
        <v>11613.307513671905</v>
      </c>
      <c r="L36" s="121">
        <f t="shared" si="5"/>
        <v>11584.601858837348</v>
      </c>
      <c r="M36" s="121">
        <f t="shared" si="5"/>
        <v>11555.322090906102</v>
      </c>
      <c r="N36" s="121">
        <f t="shared" si="5"/>
        <v>11525.456727616231</v>
      </c>
      <c r="O36" s="121">
        <f t="shared" si="5"/>
        <v>11494.994057060561</v>
      </c>
      <c r="P36" s="121">
        <f t="shared" si="5"/>
        <v>11463.92213309378</v>
      </c>
      <c r="Q36" s="121">
        <f t="shared" si="5"/>
        <v>11432.22877064766</v>
      </c>
      <c r="R36" s="121">
        <f t="shared" si="5"/>
        <v>11399.901540952618</v>
      </c>
      <c r="S36" s="121">
        <f t="shared" si="5"/>
        <v>11366.927766663677</v>
      </c>
      <c r="T36" s="121">
        <f t="shared" si="5"/>
        <v>11333.29451688896</v>
      </c>
      <c r="U36" s="121">
        <f t="shared" si="5"/>
        <v>11298.988602118745</v>
      </c>
      <c r="V36" s="121">
        <f t="shared" si="5"/>
        <v>11263.996569053124</v>
      </c>
      <c r="W36" s="121">
        <f t="shared" si="5"/>
        <v>11228.304695326195</v>
      </c>
      <c r="X36" s="121">
        <f t="shared" si="5"/>
        <v>11191.898984124724</v>
      </c>
      <c r="Y36" s="121">
        <f t="shared" ref="Y36:AG36" si="6">Y32-Y34</f>
        <v>11154.765158699225</v>
      </c>
      <c r="Z36" s="121">
        <f t="shared" si="6"/>
        <v>11116.888656765215</v>
      </c>
      <c r="AA36" s="121">
        <f t="shared" si="6"/>
        <v>11078.254624792527</v>
      </c>
      <c r="AB36" s="121">
        <f t="shared" si="6"/>
        <v>11038.847912180383</v>
      </c>
      <c r="AC36" s="121">
        <f t="shared" si="6"/>
        <v>10998.653065315997</v>
      </c>
      <c r="AD36" s="121">
        <f t="shared" si="6"/>
        <v>10957.654321514325</v>
      </c>
      <c r="AE36" s="121">
        <f t="shared" si="6"/>
        <v>10915.835602836618</v>
      </c>
      <c r="AF36" s="121">
        <f t="shared" si="6"/>
        <v>10873.180509785358</v>
      </c>
      <c r="AG36" s="121">
        <f t="shared" si="6"/>
        <v>1262.4692209692146</v>
      </c>
    </row>
    <row r="37" spans="1:33">
      <c r="A37" s="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</row>
    <row r="38" spans="1:33">
      <c r="A38" s="3" t="s">
        <v>129</v>
      </c>
      <c r="C38" s="65">
        <f>'Revised Debt'!C18*7/12</f>
        <v>4359.7306594643105</v>
      </c>
      <c r="D38" s="65">
        <f>'Revised Debt'!D18</f>
        <v>7394.703071148786</v>
      </c>
      <c r="E38" s="65">
        <f>'Revised Debt'!E18</f>
        <v>7310.0436904891658</v>
      </c>
      <c r="F38" s="65">
        <f>'Revised Debt'!F18</f>
        <v>7219.4581531833728</v>
      </c>
      <c r="G38" s="65">
        <f>'Revised Debt'!G18</f>
        <v>7122.5316282661743</v>
      </c>
      <c r="H38" s="65">
        <f>'Revised Debt'!H18</f>
        <v>7018.8202466047705</v>
      </c>
      <c r="I38" s="65">
        <f>'Revised Debt'!I18</f>
        <v>6907.8490682270694</v>
      </c>
      <c r="J38" s="65">
        <f>'Revised Debt'!J18</f>
        <v>6789.1099073629284</v>
      </c>
      <c r="K38" s="65">
        <f>'Revised Debt'!K18</f>
        <v>6662.0590052382986</v>
      </c>
      <c r="L38" s="65">
        <f>'Revised Debt'!L18</f>
        <v>6526.114539964944</v>
      </c>
      <c r="M38" s="65">
        <f>'Revised Debt'!M18</f>
        <v>6380.6539621224556</v>
      </c>
      <c r="N38" s="65">
        <f>'Revised Debt'!N18</f>
        <v>6225.0111438309923</v>
      </c>
      <c r="O38" s="65">
        <f>'Revised Debt'!O18</f>
        <v>6058.4733282591269</v>
      </c>
      <c r="P38" s="65">
        <f>'Revised Debt'!P18</f>
        <v>5880.2778655972306</v>
      </c>
      <c r="Q38" s="65">
        <f>'Revised Debt'!Q18</f>
        <v>5689.6087205490021</v>
      </c>
      <c r="R38" s="65">
        <f>'Revised Debt'!R18</f>
        <v>5485.5927353473971</v>
      </c>
      <c r="S38" s="65">
        <f>'Revised Debt'!S18</f>
        <v>5267.2956311816797</v>
      </c>
      <c r="T38" s="65">
        <f>'Revised Debt'!T18</f>
        <v>5033.7177297243625</v>
      </c>
      <c r="U38" s="65">
        <f>'Revised Debt'!U18</f>
        <v>4783.7893751650336</v>
      </c>
      <c r="V38" s="65">
        <f>'Revised Debt'!V18</f>
        <v>4516.3660357865501</v>
      </c>
      <c r="W38" s="65">
        <f>'Revised Debt'!W18</f>
        <v>4230.2230626515739</v>
      </c>
      <c r="X38" s="65">
        <f>'Revised Debt'!X18</f>
        <v>3924.0500813971494</v>
      </c>
      <c r="Y38" s="65">
        <f>'Revised Debt'!Y18</f>
        <v>3596.4449914549145</v>
      </c>
      <c r="Z38" s="65">
        <f>'Revised Debt'!Z18</f>
        <v>3245.9075452167235</v>
      </c>
      <c r="AA38" s="65">
        <f>'Revised Debt'!AA18</f>
        <v>2870.8324777418593</v>
      </c>
      <c r="AB38" s="65">
        <f>'Revised Debt'!AB18</f>
        <v>2469.5021555437547</v>
      </c>
      <c r="AC38" s="65">
        <f>'Revised Debt'!AC18</f>
        <v>2040.0787107917822</v>
      </c>
      <c r="AD38" s="65">
        <f>'Revised Debt'!AD18</f>
        <v>1580.5956249071721</v>
      </c>
      <c r="AE38" s="65">
        <f>'Revised Debt'!AE18</f>
        <v>1088.948723010639</v>
      </c>
      <c r="AF38" s="65">
        <f>'Revised Debt'!AF18</f>
        <v>562.88653798134874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197</v>
      </c>
      <c r="C40" s="121">
        <f>C36-C38</f>
        <v>1927.4329087122032</v>
      </c>
      <c r="D40" s="121">
        <f t="shared" ref="D40:X40" si="7">D36-D38</f>
        <v>3175.0464242508933</v>
      </c>
      <c r="E40" s="121">
        <f t="shared" si="7"/>
        <v>3234.7158049105137</v>
      </c>
      <c r="F40" s="121">
        <f t="shared" si="7"/>
        <v>3299.8115422163055</v>
      </c>
      <c r="G40" s="121">
        <f t="shared" si="7"/>
        <v>3370.7384711335062</v>
      </c>
      <c r="H40" s="121">
        <f t="shared" si="7"/>
        <v>4267.4907715415766</v>
      </c>
      <c r="I40" s="121">
        <f t="shared" si="7"/>
        <v>4761.1922235742113</v>
      </c>
      <c r="J40" s="121">
        <f t="shared" si="7"/>
        <v>4852.3404051663838</v>
      </c>
      <c r="K40" s="121">
        <f t="shared" si="7"/>
        <v>4951.2485084336067</v>
      </c>
      <c r="L40" s="121">
        <f t="shared" si="7"/>
        <v>5058.4873188724041</v>
      </c>
      <c r="M40" s="121">
        <f t="shared" si="7"/>
        <v>5174.6681287836464</v>
      </c>
      <c r="N40" s="121">
        <f t="shared" si="7"/>
        <v>5300.4455837852383</v>
      </c>
      <c r="O40" s="121">
        <f t="shared" si="7"/>
        <v>5436.5207288014344</v>
      </c>
      <c r="P40" s="121">
        <f t="shared" si="7"/>
        <v>5583.6442674965492</v>
      </c>
      <c r="Q40" s="121">
        <f t="shared" si="7"/>
        <v>5742.6200500986579</v>
      </c>
      <c r="R40" s="121">
        <f t="shared" si="7"/>
        <v>5914.3088056052211</v>
      </c>
      <c r="S40" s="121">
        <f t="shared" si="7"/>
        <v>6099.6321354819975</v>
      </c>
      <c r="T40" s="121">
        <f t="shared" si="7"/>
        <v>6299.5767871645976</v>
      </c>
      <c r="U40" s="121">
        <f t="shared" si="7"/>
        <v>6515.1992269537113</v>
      </c>
      <c r="V40" s="121">
        <f t="shared" si="7"/>
        <v>6747.6305332665743</v>
      </c>
      <c r="W40" s="121">
        <f t="shared" si="7"/>
        <v>6998.0816326746208</v>
      </c>
      <c r="X40" s="121">
        <f t="shared" si="7"/>
        <v>7267.8489027275746</v>
      </c>
      <c r="Y40" s="121">
        <f t="shared" ref="Y40:AG40" si="8">Y36-Y38</f>
        <v>7558.3201672443101</v>
      </c>
      <c r="Z40" s="121">
        <f t="shared" si="8"/>
        <v>7870.9811115484918</v>
      </c>
      <c r="AA40" s="121">
        <f t="shared" si="8"/>
        <v>8207.4221470506673</v>
      </c>
      <c r="AB40" s="121">
        <f t="shared" si="8"/>
        <v>8569.3457566366287</v>
      </c>
      <c r="AC40" s="121">
        <f t="shared" si="8"/>
        <v>8958.5743545242149</v>
      </c>
      <c r="AD40" s="121">
        <f t="shared" si="8"/>
        <v>9377.0586966071533</v>
      </c>
      <c r="AE40" s="121">
        <f t="shared" si="8"/>
        <v>9826.8868798259791</v>
      </c>
      <c r="AF40" s="121">
        <f t="shared" si="8"/>
        <v>10310.293971804009</v>
      </c>
      <c r="AG40" s="121">
        <f t="shared" si="8"/>
        <v>1262.4692209692146</v>
      </c>
    </row>
    <row r="41" spans="1:33">
      <c r="A41" s="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</row>
    <row r="42" spans="1:33">
      <c r="A42" s="3" t="s">
        <v>50</v>
      </c>
      <c r="B42" s="331">
        <f>Assumptions!N51</f>
        <v>7.0000000000000007E-2</v>
      </c>
      <c r="C42" s="74">
        <f>-C40*$B$42</f>
        <v>-134.92030360985424</v>
      </c>
      <c r="D42" s="74">
        <f t="shared" ref="D42:AG42" si="9">-D40*$B$42</f>
        <v>-222.25324969756255</v>
      </c>
      <c r="E42" s="74">
        <f t="shared" si="9"/>
        <v>-226.43010634373599</v>
      </c>
      <c r="F42" s="74">
        <f t="shared" si="9"/>
        <v>-230.98680795514142</v>
      </c>
      <c r="G42" s="74">
        <f t="shared" si="9"/>
        <v>-235.95169297934547</v>
      </c>
      <c r="H42" s="74">
        <f t="shared" si="9"/>
        <v>-298.72435400791039</v>
      </c>
      <c r="I42" s="74">
        <f t="shared" si="9"/>
        <v>-333.28345565019481</v>
      </c>
      <c r="J42" s="74">
        <f t="shared" si="9"/>
        <v>-339.66382836164689</v>
      </c>
      <c r="K42" s="74">
        <f t="shared" si="9"/>
        <v>-346.58739559035251</v>
      </c>
      <c r="L42" s="74">
        <f t="shared" si="9"/>
        <v>-354.09411232106834</v>
      </c>
      <c r="M42" s="74">
        <f t="shared" si="9"/>
        <v>-362.22676901485528</v>
      </c>
      <c r="N42" s="74">
        <f t="shared" si="9"/>
        <v>-371.03119086496673</v>
      </c>
      <c r="O42" s="74">
        <f t="shared" si="9"/>
        <v>-380.55645101610043</v>
      </c>
      <c r="P42" s="74">
        <f t="shared" si="9"/>
        <v>-390.85509872475848</v>
      </c>
      <c r="Q42" s="74">
        <f t="shared" si="9"/>
        <v>-401.98340350690609</v>
      </c>
      <c r="R42" s="74">
        <f t="shared" si="9"/>
        <v>-414.00161639236552</v>
      </c>
      <c r="S42" s="74">
        <f t="shared" si="9"/>
        <v>-426.97424948373987</v>
      </c>
      <c r="T42" s="74">
        <f t="shared" si="9"/>
        <v>-440.97037510152188</v>
      </c>
      <c r="U42" s="74">
        <f t="shared" si="9"/>
        <v>-456.06394588675983</v>
      </c>
      <c r="V42" s="74">
        <f t="shared" si="9"/>
        <v>-472.33413732866023</v>
      </c>
      <c r="W42" s="74">
        <f t="shared" si="9"/>
        <v>-489.86571428722351</v>
      </c>
      <c r="X42" s="74">
        <f t="shared" si="9"/>
        <v>-508.74942319093026</v>
      </c>
      <c r="Y42" s="74">
        <f t="shared" si="9"/>
        <v>-529.08241170710176</v>
      </c>
      <c r="Z42" s="74">
        <f t="shared" si="9"/>
        <v>-550.96867780839443</v>
      </c>
      <c r="AA42" s="74">
        <f t="shared" si="9"/>
        <v>-574.51955029354679</v>
      </c>
      <c r="AB42" s="74">
        <f t="shared" si="9"/>
        <v>-599.85420296456402</v>
      </c>
      <c r="AC42" s="74">
        <f t="shared" si="9"/>
        <v>-627.10020481669505</v>
      </c>
      <c r="AD42" s="74">
        <f t="shared" si="9"/>
        <v>-656.39410876250076</v>
      </c>
      <c r="AE42" s="74">
        <f t="shared" si="9"/>
        <v>-687.88208158781856</v>
      </c>
      <c r="AF42" s="74">
        <f t="shared" si="9"/>
        <v>-721.72057802628069</v>
      </c>
      <c r="AG42" s="74">
        <f t="shared" si="9"/>
        <v>-88.372845467845025</v>
      </c>
    </row>
    <row r="43" spans="1:33">
      <c r="A43" s="3" t="s">
        <v>51</v>
      </c>
      <c r="B43" s="331">
        <f>Assumptions!N50</f>
        <v>0.35</v>
      </c>
      <c r="C43" s="74">
        <f t="shared" ref="C43:AG43" si="10">(C40+C42)*-$B$43</f>
        <v>-627.37941178582207</v>
      </c>
      <c r="D43" s="74">
        <f t="shared" si="10"/>
        <v>-1033.4776110936657</v>
      </c>
      <c r="E43" s="74">
        <f t="shared" si="10"/>
        <v>-1052.8999944983721</v>
      </c>
      <c r="F43" s="74">
        <f t="shared" si="10"/>
        <v>-1074.0886569914073</v>
      </c>
      <c r="G43" s="74">
        <f t="shared" si="10"/>
        <v>-1097.1753723539562</v>
      </c>
      <c r="H43" s="74">
        <f t="shared" si="10"/>
        <v>-1389.068246136783</v>
      </c>
      <c r="I43" s="74">
        <f t="shared" si="10"/>
        <v>-1549.7680687734057</v>
      </c>
      <c r="J43" s="74">
        <f t="shared" si="10"/>
        <v>-1579.4368018816579</v>
      </c>
      <c r="K43" s="74">
        <f t="shared" si="10"/>
        <v>-1611.6313894951388</v>
      </c>
      <c r="L43" s="74">
        <f t="shared" si="10"/>
        <v>-1646.5376222929674</v>
      </c>
      <c r="M43" s="74">
        <f t="shared" si="10"/>
        <v>-1684.3544759190768</v>
      </c>
      <c r="N43" s="74">
        <f t="shared" si="10"/>
        <v>-1725.2950375220951</v>
      </c>
      <c r="O43" s="74">
        <f t="shared" si="10"/>
        <v>-1769.5874972248669</v>
      </c>
      <c r="P43" s="74">
        <f t="shared" si="10"/>
        <v>-1817.4762090701267</v>
      </c>
      <c r="Q43" s="74">
        <f t="shared" si="10"/>
        <v>-1869.2228263071129</v>
      </c>
      <c r="R43" s="74">
        <f t="shared" si="10"/>
        <v>-1925.1075162244992</v>
      </c>
      <c r="S43" s="74">
        <f t="shared" si="10"/>
        <v>-1985.4302600993899</v>
      </c>
      <c r="T43" s="74">
        <f t="shared" si="10"/>
        <v>-2050.5122442220763</v>
      </c>
      <c r="U43" s="74">
        <f t="shared" si="10"/>
        <v>-2120.6973483734328</v>
      </c>
      <c r="V43" s="74">
        <f t="shared" si="10"/>
        <v>-2196.3537385782697</v>
      </c>
      <c r="W43" s="74">
        <f t="shared" si="10"/>
        <v>-2277.8755714355889</v>
      </c>
      <c r="X43" s="74">
        <f t="shared" si="10"/>
        <v>-2365.6848178378254</v>
      </c>
      <c r="Y43" s="74">
        <f t="shared" si="10"/>
        <v>-2460.233214438023</v>
      </c>
      <c r="Z43" s="74">
        <f t="shared" si="10"/>
        <v>-2562.0043518090338</v>
      </c>
      <c r="AA43" s="74">
        <f t="shared" si="10"/>
        <v>-2671.5159088649921</v>
      </c>
      <c r="AB43" s="74">
        <f t="shared" si="10"/>
        <v>-2789.3220437852224</v>
      </c>
      <c r="AC43" s="74">
        <f t="shared" si="10"/>
        <v>-2916.0159523976317</v>
      </c>
      <c r="AD43" s="74">
        <f t="shared" si="10"/>
        <v>-3052.232605745628</v>
      </c>
      <c r="AE43" s="74">
        <f t="shared" si="10"/>
        <v>-3198.6516793833557</v>
      </c>
      <c r="AF43" s="74">
        <f t="shared" si="10"/>
        <v>-3356.0006878222043</v>
      </c>
      <c r="AG43" s="74">
        <f t="shared" si="10"/>
        <v>-410.93373142547932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56">
        <f t="shared" ref="C45:AG45" si="11">C40+C42+C43</f>
        <v>1165.133193316527</v>
      </c>
      <c r="D45" s="356">
        <f t="shared" si="11"/>
        <v>1919.3155634596649</v>
      </c>
      <c r="E45" s="356">
        <f t="shared" si="11"/>
        <v>1955.3857040684056</v>
      </c>
      <c r="F45" s="356">
        <f t="shared" si="11"/>
        <v>1994.7360772697566</v>
      </c>
      <c r="G45" s="356">
        <f t="shared" si="11"/>
        <v>2037.6114058002047</v>
      </c>
      <c r="H45" s="356">
        <f t="shared" si="11"/>
        <v>2579.6981713968835</v>
      </c>
      <c r="I45" s="356">
        <f t="shared" si="11"/>
        <v>2878.140699150611</v>
      </c>
      <c r="J45" s="356">
        <f t="shared" si="11"/>
        <v>2933.2397749230795</v>
      </c>
      <c r="K45" s="356">
        <f t="shared" si="11"/>
        <v>2993.0297233481151</v>
      </c>
      <c r="L45" s="356">
        <f t="shared" si="11"/>
        <v>3057.8555842583683</v>
      </c>
      <c r="M45" s="356">
        <f t="shared" si="11"/>
        <v>3128.086883849714</v>
      </c>
      <c r="N45" s="356">
        <f t="shared" si="11"/>
        <v>3204.1193553981766</v>
      </c>
      <c r="O45" s="356">
        <f t="shared" si="11"/>
        <v>3286.3767805604675</v>
      </c>
      <c r="P45" s="356">
        <f t="shared" si="11"/>
        <v>3375.3129597016641</v>
      </c>
      <c r="Q45" s="356">
        <f t="shared" si="11"/>
        <v>3471.4138202846389</v>
      </c>
      <c r="R45" s="356">
        <f t="shared" si="11"/>
        <v>3575.1996729883563</v>
      </c>
      <c r="S45" s="356">
        <f t="shared" si="11"/>
        <v>3687.2276258988677</v>
      </c>
      <c r="T45" s="356">
        <f t="shared" si="11"/>
        <v>3808.094167840999</v>
      </c>
      <c r="U45" s="356">
        <f t="shared" si="11"/>
        <v>3938.4379326935186</v>
      </c>
      <c r="V45" s="356">
        <f t="shared" si="11"/>
        <v>4078.9426573596443</v>
      </c>
      <c r="W45" s="356">
        <f t="shared" si="11"/>
        <v>4230.3403469518089</v>
      </c>
      <c r="X45" s="356">
        <f t="shared" si="11"/>
        <v>4393.4146616988182</v>
      </c>
      <c r="Y45" s="356">
        <f t="shared" si="11"/>
        <v>4569.0045410991861</v>
      </c>
      <c r="Z45" s="356">
        <f t="shared" si="11"/>
        <v>4758.0080819310642</v>
      </c>
      <c r="AA45" s="356">
        <f t="shared" si="11"/>
        <v>4961.386687892129</v>
      </c>
      <c r="AB45" s="356">
        <f t="shared" si="11"/>
        <v>5180.1695098868422</v>
      </c>
      <c r="AC45" s="356">
        <f t="shared" si="11"/>
        <v>5415.4581973098875</v>
      </c>
      <c r="AD45" s="356">
        <f t="shared" si="11"/>
        <v>5668.431982099024</v>
      </c>
      <c r="AE45" s="356">
        <f t="shared" si="11"/>
        <v>5940.3531188548041</v>
      </c>
      <c r="AF45" s="356">
        <f t="shared" si="11"/>
        <v>6232.5727059555229</v>
      </c>
      <c r="AG45" s="356">
        <f t="shared" si="11"/>
        <v>763.16264407589017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</row>
    <row r="50" spans="1:33">
      <c r="A50" s="11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57"/>
      <c r="AB50" s="357"/>
      <c r="AC50" s="357"/>
      <c r="AD50" s="357"/>
      <c r="AE50" s="357"/>
      <c r="AF50" s="357"/>
      <c r="AG50" s="357"/>
    </row>
    <row r="51" spans="1:33">
      <c r="C51" s="357"/>
      <c r="D51" s="357"/>
      <c r="E51" s="357"/>
      <c r="F51" s="357"/>
      <c r="G51" s="357"/>
    </row>
    <row r="52" spans="1:33">
      <c r="C52" s="6"/>
      <c r="D52" s="6"/>
      <c r="E52" s="6"/>
      <c r="F52" s="6"/>
      <c r="G52" s="6"/>
    </row>
    <row r="53" spans="1:33">
      <c r="C53" s="357"/>
      <c r="D53" s="357"/>
      <c r="E53" s="357"/>
      <c r="F53" s="357"/>
      <c r="G53" s="357"/>
    </row>
    <row r="54" spans="1:33">
      <c r="C54" s="357"/>
      <c r="D54" s="357"/>
      <c r="E54" s="357"/>
      <c r="F54" s="357"/>
      <c r="G54" s="357"/>
    </row>
    <row r="55" spans="1:33">
      <c r="C55" s="357"/>
      <c r="D55" s="357"/>
      <c r="E55" s="357"/>
      <c r="F55" s="357"/>
      <c r="G55" s="357"/>
    </row>
    <row r="56" spans="1:33">
      <c r="C56" s="357"/>
      <c r="D56" s="357"/>
      <c r="E56" s="357"/>
      <c r="F56" s="357"/>
      <c r="G56" s="357"/>
    </row>
    <row r="57" spans="1:33">
      <c r="C57" s="357"/>
      <c r="D57" s="357"/>
      <c r="E57" s="357"/>
      <c r="F57" s="357"/>
      <c r="G57" s="357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8"/>
      <c r="D60" s="358"/>
      <c r="E60" s="358"/>
      <c r="F60" s="358"/>
      <c r="G60" s="6"/>
    </row>
    <row r="61" spans="1:33">
      <c r="C61" s="6"/>
      <c r="D61" s="6"/>
      <c r="E61" s="6"/>
      <c r="F61" s="6"/>
      <c r="G61" s="6"/>
    </row>
    <row r="62" spans="1:33">
      <c r="C62" s="358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B38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0" sqref="C20"/>
    </sheetView>
  </sheetViews>
  <sheetFormatPr defaultRowHeight="12.75"/>
  <cols>
    <col min="1" max="1" width="16" style="12" customWidth="1"/>
    <col min="2" max="2" width="22.42578125" style="12" bestFit="1" customWidth="1"/>
    <col min="3" max="3" width="9" style="12" customWidth="1"/>
    <col min="4" max="24" width="9.140625" style="12"/>
  </cols>
  <sheetData>
    <row r="1" spans="1:28" ht="20.25">
      <c r="A1" s="602" t="str">
        <f>Assumptions!A3</f>
        <v>PROJECT NAME: Homestead, Florida</v>
      </c>
      <c r="B1" s="6"/>
      <c r="C1" s="6"/>
      <c r="D1" s="6"/>
    </row>
    <row r="2" spans="1:28">
      <c r="A2" s="63" t="s">
        <v>572</v>
      </c>
      <c r="B2" s="6"/>
      <c r="C2" s="6"/>
      <c r="D2" s="6"/>
    </row>
    <row r="3" spans="1:28">
      <c r="C3" s="603">
        <v>1</v>
      </c>
      <c r="D3" s="603">
        <v>2</v>
      </c>
      <c r="E3" s="603">
        <v>3</v>
      </c>
      <c r="F3" s="603">
        <v>4</v>
      </c>
      <c r="G3" s="603">
        <v>5</v>
      </c>
      <c r="H3" s="603">
        <v>6</v>
      </c>
      <c r="I3" s="603">
        <v>7</v>
      </c>
      <c r="J3" s="603">
        <v>8</v>
      </c>
      <c r="K3" s="603">
        <v>9</v>
      </c>
      <c r="L3" s="603">
        <v>10</v>
      </c>
      <c r="M3" s="603">
        <v>11</v>
      </c>
      <c r="N3" s="603">
        <v>12</v>
      </c>
      <c r="O3" s="603">
        <v>13</v>
      </c>
      <c r="P3" s="603">
        <v>14</v>
      </c>
      <c r="Q3" s="603">
        <v>15</v>
      </c>
      <c r="R3" s="603">
        <v>16</v>
      </c>
      <c r="S3" s="603">
        <v>17</v>
      </c>
      <c r="T3" s="509">
        <f>S3+1</f>
        <v>18</v>
      </c>
      <c r="U3" s="509">
        <f t="shared" ref="U3:AB3" si="0">T3+1</f>
        <v>19</v>
      </c>
      <c r="V3" s="509">
        <f t="shared" si="0"/>
        <v>20</v>
      </c>
      <c r="W3" s="509">
        <f t="shared" si="0"/>
        <v>21</v>
      </c>
      <c r="X3" s="509">
        <f t="shared" si="0"/>
        <v>22</v>
      </c>
      <c r="Y3" s="509">
        <f t="shared" si="0"/>
        <v>23</v>
      </c>
      <c r="Z3" s="509">
        <f t="shared" si="0"/>
        <v>24</v>
      </c>
      <c r="AA3" s="509">
        <f t="shared" si="0"/>
        <v>25</v>
      </c>
      <c r="AB3" s="509">
        <f t="shared" si="0"/>
        <v>26</v>
      </c>
    </row>
    <row r="4" spans="1:28">
      <c r="A4" s="318"/>
      <c r="B4" s="57"/>
      <c r="C4" s="604">
        <f>[6]IS!C7</f>
        <v>2001</v>
      </c>
      <c r="D4" s="604">
        <f>[6]IS!D7</f>
        <v>2002</v>
      </c>
      <c r="E4" s="604">
        <f>[6]IS!E7</f>
        <v>2003</v>
      </c>
      <c r="F4" s="604">
        <f>[6]IS!F7</f>
        <v>2004</v>
      </c>
      <c r="G4" s="604">
        <f>[6]IS!G7</f>
        <v>2005</v>
      </c>
      <c r="H4" s="604">
        <f>[6]IS!H7</f>
        <v>2006</v>
      </c>
      <c r="I4" s="604">
        <f>[6]IS!I7</f>
        <v>2007</v>
      </c>
      <c r="J4" s="604">
        <f>[6]IS!J7</f>
        <v>2008</v>
      </c>
      <c r="K4" s="604">
        <f>[6]IS!K7</f>
        <v>2009</v>
      </c>
      <c r="L4" s="604">
        <f>[6]IS!L7</f>
        <v>2010</v>
      </c>
      <c r="M4" s="604">
        <f>[6]IS!M7</f>
        <v>2011</v>
      </c>
      <c r="N4" s="604">
        <f>[6]IS!N7</f>
        <v>2012</v>
      </c>
      <c r="O4" s="604">
        <f>[6]IS!O7</f>
        <v>2013</v>
      </c>
      <c r="P4" s="604">
        <f>[6]IS!P7</f>
        <v>2014</v>
      </c>
      <c r="Q4" s="604">
        <f>[6]IS!Q7</f>
        <v>2015</v>
      </c>
      <c r="R4" s="604">
        <f>[6]IS!R7</f>
        <v>2016</v>
      </c>
      <c r="S4" s="604">
        <f>[6]IS!S7</f>
        <v>2017</v>
      </c>
      <c r="T4" s="604">
        <f>[6]IS!T7</f>
        <v>2018</v>
      </c>
      <c r="U4" s="604">
        <f>[6]IS!U7</f>
        <v>2019</v>
      </c>
      <c r="V4" s="604">
        <f>[6]IS!V7</f>
        <v>2020</v>
      </c>
      <c r="W4" s="604">
        <f>[6]IS!W7</f>
        <v>2021</v>
      </c>
      <c r="X4" s="604">
        <f>[6]IS!X7</f>
        <v>2022</v>
      </c>
      <c r="Y4" s="604">
        <f>[6]IS!Y7</f>
        <v>2023</v>
      </c>
      <c r="Z4" s="604">
        <f>[6]IS!Z7</f>
        <v>2024</v>
      </c>
      <c r="AA4" s="604">
        <f>[6]IS!AA7</f>
        <v>2025</v>
      </c>
      <c r="AB4" s="604">
        <f>[6]IS!AB7</f>
        <v>2026</v>
      </c>
    </row>
    <row r="5" spans="1:28">
      <c r="A5" s="605" t="s">
        <v>573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8">
      <c r="A6" s="326"/>
      <c r="B6" s="606" t="s">
        <v>133</v>
      </c>
      <c r="C6" s="607">
        <v>0</v>
      </c>
      <c r="D6" s="607">
        <v>0</v>
      </c>
      <c r="E6" s="607">
        <v>0</v>
      </c>
      <c r="F6" s="607">
        <v>0</v>
      </c>
      <c r="G6" s="607">
        <v>0</v>
      </c>
      <c r="H6" s="607">
        <v>0</v>
      </c>
      <c r="I6" s="607">
        <v>0</v>
      </c>
      <c r="J6" s="607">
        <v>0</v>
      </c>
      <c r="K6" s="607">
        <v>0</v>
      </c>
      <c r="L6" s="607">
        <v>0</v>
      </c>
      <c r="M6" s="607">
        <v>0</v>
      </c>
      <c r="N6" s="607">
        <v>0</v>
      </c>
      <c r="O6" s="607">
        <v>0</v>
      </c>
      <c r="P6" s="607">
        <v>0</v>
      </c>
      <c r="Q6" s="607">
        <v>0</v>
      </c>
      <c r="R6" s="607">
        <v>0</v>
      </c>
      <c r="S6" s="607">
        <v>0</v>
      </c>
      <c r="T6" s="607">
        <v>0</v>
      </c>
      <c r="U6" s="607">
        <v>0</v>
      </c>
      <c r="V6" s="607">
        <v>0</v>
      </c>
      <c r="W6" s="607">
        <v>0</v>
      </c>
      <c r="X6" s="607">
        <v>0</v>
      </c>
      <c r="Y6" s="607">
        <v>0</v>
      </c>
      <c r="Z6" s="607">
        <v>0</v>
      </c>
      <c r="AA6" s="607">
        <v>0</v>
      </c>
      <c r="AB6" s="607">
        <v>0</v>
      </c>
    </row>
    <row r="7" spans="1:28">
      <c r="A7" s="326"/>
      <c r="B7" s="606" t="s">
        <v>134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</row>
    <row r="8" spans="1:28">
      <c r="A8" s="326"/>
      <c r="B8" s="606" t="s">
        <v>135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</row>
    <row r="9" spans="1:28">
      <c r="A9" s="326"/>
      <c r="B9" s="606" t="s">
        <v>136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</row>
    <row r="10" spans="1:28">
      <c r="A10" s="326"/>
      <c r="B10" s="606" t="s">
        <v>137</v>
      </c>
      <c r="C10" s="608">
        <v>0</v>
      </c>
      <c r="D10" s="608">
        <v>0</v>
      </c>
      <c r="E10" s="608">
        <v>0</v>
      </c>
      <c r="F10" s="608">
        <v>0</v>
      </c>
      <c r="G10" s="608">
        <v>0</v>
      </c>
      <c r="H10" s="608">
        <v>0</v>
      </c>
      <c r="I10" s="608">
        <v>0</v>
      </c>
      <c r="J10" s="608">
        <v>0</v>
      </c>
      <c r="K10" s="608">
        <v>0</v>
      </c>
      <c r="L10" s="608">
        <v>0</v>
      </c>
      <c r="M10" s="608">
        <v>0</v>
      </c>
      <c r="N10" s="608">
        <v>0</v>
      </c>
      <c r="O10" s="608">
        <v>0</v>
      </c>
      <c r="P10" s="608">
        <v>0</v>
      </c>
      <c r="Q10" s="608">
        <v>0</v>
      </c>
      <c r="R10" s="608">
        <v>0</v>
      </c>
      <c r="S10" s="608">
        <v>0</v>
      </c>
      <c r="T10" s="608">
        <v>0</v>
      </c>
      <c r="U10" s="608">
        <v>0</v>
      </c>
      <c r="V10" s="608">
        <v>0</v>
      </c>
      <c r="W10" s="608">
        <v>0</v>
      </c>
      <c r="X10" s="608">
        <v>0</v>
      </c>
      <c r="Y10" s="608">
        <v>0</v>
      </c>
      <c r="Z10" s="608">
        <v>0</v>
      </c>
      <c r="AA10" s="608">
        <v>0</v>
      </c>
      <c r="AB10" s="608">
        <v>0</v>
      </c>
    </row>
    <row r="11" spans="1:28">
      <c r="A11" s="326"/>
      <c r="B11" s="606" t="s">
        <v>574</v>
      </c>
      <c r="C11" s="609">
        <v>0</v>
      </c>
      <c r="D11" s="609">
        <v>0</v>
      </c>
      <c r="E11" s="609">
        <v>0</v>
      </c>
      <c r="F11" s="609">
        <v>0</v>
      </c>
      <c r="G11" s="609">
        <v>0</v>
      </c>
      <c r="H11" s="609">
        <v>0</v>
      </c>
      <c r="I11" s="609">
        <v>0</v>
      </c>
      <c r="J11" s="609">
        <v>0</v>
      </c>
      <c r="K11" s="609">
        <v>0</v>
      </c>
      <c r="L11" s="609">
        <v>0</v>
      </c>
      <c r="M11" s="609">
        <v>0</v>
      </c>
      <c r="N11" s="609">
        <v>0</v>
      </c>
      <c r="O11" s="609">
        <v>0</v>
      </c>
      <c r="P11" s="609">
        <v>0</v>
      </c>
      <c r="Q11" s="609">
        <v>0</v>
      </c>
      <c r="R11" s="609">
        <v>0</v>
      </c>
      <c r="S11" s="609">
        <v>0</v>
      </c>
      <c r="T11" s="609">
        <v>0</v>
      </c>
      <c r="U11" s="609">
        <v>0</v>
      </c>
      <c r="V11" s="609">
        <v>0</v>
      </c>
      <c r="W11" s="609">
        <v>0</v>
      </c>
      <c r="X11" s="609">
        <v>0</v>
      </c>
      <c r="Y11" s="609">
        <v>0</v>
      </c>
      <c r="Z11" s="609">
        <v>0</v>
      </c>
      <c r="AA11" s="609">
        <v>0</v>
      </c>
      <c r="AB11" s="609">
        <v>0</v>
      </c>
    </row>
    <row r="12" spans="1:28">
      <c r="A12" s="326"/>
      <c r="B12" s="606" t="s">
        <v>138</v>
      </c>
      <c r="C12" s="607">
        <f>SUM(C6:C11)</f>
        <v>0</v>
      </c>
      <c r="D12" s="607">
        <f t="shared" ref="D12:S12" si="1">SUM(D6:D11)</f>
        <v>0</v>
      </c>
      <c r="E12" s="607">
        <f t="shared" si="1"/>
        <v>0</v>
      </c>
      <c r="F12" s="607">
        <f t="shared" si="1"/>
        <v>0</v>
      </c>
      <c r="G12" s="607">
        <f t="shared" si="1"/>
        <v>0</v>
      </c>
      <c r="H12" s="607">
        <f t="shared" si="1"/>
        <v>0</v>
      </c>
      <c r="I12" s="607">
        <f t="shared" si="1"/>
        <v>0</v>
      </c>
      <c r="J12" s="607">
        <f t="shared" si="1"/>
        <v>0</v>
      </c>
      <c r="K12" s="607">
        <f t="shared" si="1"/>
        <v>0</v>
      </c>
      <c r="L12" s="607">
        <f t="shared" si="1"/>
        <v>0</v>
      </c>
      <c r="M12" s="607">
        <f t="shared" si="1"/>
        <v>0</v>
      </c>
      <c r="N12" s="607">
        <f t="shared" si="1"/>
        <v>0</v>
      </c>
      <c r="O12" s="607">
        <f t="shared" si="1"/>
        <v>0</v>
      </c>
      <c r="P12" s="607">
        <f t="shared" si="1"/>
        <v>0</v>
      </c>
      <c r="Q12" s="607">
        <f t="shared" si="1"/>
        <v>0</v>
      </c>
      <c r="R12" s="607">
        <f t="shared" si="1"/>
        <v>0</v>
      </c>
      <c r="S12" s="607">
        <f t="shared" si="1"/>
        <v>0</v>
      </c>
      <c r="T12" s="607">
        <f t="shared" ref="T12:AB12" si="2">SUM(T6:T11)</f>
        <v>0</v>
      </c>
      <c r="U12" s="607">
        <f t="shared" si="2"/>
        <v>0</v>
      </c>
      <c r="V12" s="607">
        <f t="shared" si="2"/>
        <v>0</v>
      </c>
      <c r="W12" s="607">
        <f t="shared" si="2"/>
        <v>0</v>
      </c>
      <c r="X12" s="607">
        <f t="shared" si="2"/>
        <v>0</v>
      </c>
      <c r="Y12" s="607">
        <f t="shared" si="2"/>
        <v>0</v>
      </c>
      <c r="Z12" s="607">
        <f t="shared" si="2"/>
        <v>0</v>
      </c>
      <c r="AA12" s="607">
        <f t="shared" si="2"/>
        <v>0</v>
      </c>
      <c r="AB12" s="607">
        <f t="shared" si="2"/>
        <v>0</v>
      </c>
    </row>
    <row r="13" spans="1:28">
      <c r="A13" s="61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28">
      <c r="A14" s="61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28">
      <c r="A15" s="326"/>
      <c r="B15" s="606" t="s">
        <v>139</v>
      </c>
      <c r="C15" s="607">
        <f>Depreciation!$B$48</f>
        <v>144317.05215618576</v>
      </c>
      <c r="D15" s="607">
        <f>Depreciation!$B$48</f>
        <v>144317.05215618576</v>
      </c>
      <c r="E15" s="607">
        <f>Depreciation!$B$48</f>
        <v>144317.05215618576</v>
      </c>
      <c r="F15" s="607">
        <f>Depreciation!$B$48</f>
        <v>144317.05215618576</v>
      </c>
      <c r="G15" s="607">
        <f>Depreciation!$B$48</f>
        <v>144317.05215618576</v>
      </c>
      <c r="H15" s="607">
        <f>Depreciation!$B$48</f>
        <v>144317.05215618576</v>
      </c>
      <c r="I15" s="607">
        <f>Depreciation!$B$48</f>
        <v>144317.05215618576</v>
      </c>
      <c r="J15" s="607">
        <f>Depreciation!$B$48</f>
        <v>144317.05215618576</v>
      </c>
      <c r="K15" s="607">
        <f>Depreciation!$B$48</f>
        <v>144317.05215618576</v>
      </c>
      <c r="L15" s="607">
        <f>Depreciation!$B$48</f>
        <v>144317.05215618576</v>
      </c>
      <c r="M15" s="607">
        <f>Depreciation!$B$48</f>
        <v>144317.05215618576</v>
      </c>
      <c r="N15" s="607">
        <f>Depreciation!$B$48</f>
        <v>144317.05215618576</v>
      </c>
      <c r="O15" s="607">
        <f>Depreciation!$B$48</f>
        <v>144317.05215618576</v>
      </c>
      <c r="P15" s="607">
        <f>Depreciation!$B$48</f>
        <v>144317.05215618576</v>
      </c>
      <c r="Q15" s="607">
        <f>Depreciation!$B$48</f>
        <v>144317.05215618576</v>
      </c>
      <c r="R15" s="607">
        <f>Depreciation!$B$48</f>
        <v>144317.05215618576</v>
      </c>
      <c r="S15" s="607">
        <f>Depreciation!$B$48</f>
        <v>144317.05215618576</v>
      </c>
      <c r="T15" s="607">
        <f>Depreciation!$B$48</f>
        <v>144317.05215618576</v>
      </c>
      <c r="U15" s="607">
        <f>Depreciation!$B$48</f>
        <v>144317.05215618576</v>
      </c>
      <c r="V15" s="607">
        <f>Depreciation!$B$48</f>
        <v>144317.05215618576</v>
      </c>
      <c r="W15" s="607">
        <f>Depreciation!$B$48</f>
        <v>144317.05215618576</v>
      </c>
      <c r="X15" s="607">
        <f>Depreciation!$B$48</f>
        <v>144317.05215618576</v>
      </c>
      <c r="Y15" s="607">
        <f>Depreciation!$B$48</f>
        <v>144317.05215618576</v>
      </c>
      <c r="Z15" s="607">
        <f>Depreciation!$B$48</f>
        <v>144317.05215618576</v>
      </c>
      <c r="AA15" s="607">
        <f>Depreciation!$B$48</f>
        <v>144317.05215618576</v>
      </c>
      <c r="AB15" s="607">
        <f>Depreciation!$B$48</f>
        <v>144317.05215618576</v>
      </c>
    </row>
    <row r="16" spans="1:28">
      <c r="A16" s="326"/>
      <c r="B16" s="606" t="s">
        <v>140</v>
      </c>
      <c r="C16" s="611">
        <f>IS!C34</f>
        <v>3582.9674737903815</v>
      </c>
      <c r="D16" s="611">
        <f>IS!D34+C16</f>
        <v>8957.4186844759533</v>
      </c>
      <c r="E16" s="611">
        <f>IS!E34+D16</f>
        <v>14331.869895161526</v>
      </c>
      <c r="F16" s="611">
        <f>IS!F34+E16</f>
        <v>19706.321105847099</v>
      </c>
      <c r="G16" s="611">
        <f>IS!G34+F16</f>
        <v>25080.772316532672</v>
      </c>
      <c r="H16" s="611">
        <f>IS!H34+G16</f>
        <v>29635.663020551576</v>
      </c>
      <c r="I16" s="611">
        <f>IS!I34+H16</f>
        <v>33780.773471237146</v>
      </c>
      <c r="J16" s="611">
        <f>IS!J34+I16</f>
        <v>37925.883921922716</v>
      </c>
      <c r="K16" s="611">
        <f>IS!K34+J16</f>
        <v>42070.994372608286</v>
      </c>
      <c r="L16" s="611">
        <f>IS!L34+K16</f>
        <v>46216.104823293856</v>
      </c>
      <c r="M16" s="611">
        <f>IS!M34+L16</f>
        <v>50361.215273979426</v>
      </c>
      <c r="N16" s="611">
        <f>IS!N34+M16</f>
        <v>54506.325724664996</v>
      </c>
      <c r="O16" s="611">
        <f>IS!O34+N16</f>
        <v>58651.436175350565</v>
      </c>
      <c r="P16" s="611">
        <f>IS!P34+O16</f>
        <v>62796.546626036135</v>
      </c>
      <c r="Q16" s="611">
        <f>IS!Q34+P16</f>
        <v>66941.657076721705</v>
      </c>
      <c r="R16" s="611">
        <f>IS!R34+Q16</f>
        <v>71086.767527407283</v>
      </c>
      <c r="S16" s="611">
        <f>IS!S34+R16</f>
        <v>75231.87797809286</v>
      </c>
      <c r="T16" s="611">
        <f>IS!T34+S16</f>
        <v>79376.988428778437</v>
      </c>
      <c r="U16" s="611">
        <f>IS!U34+T16</f>
        <v>83522.098879464014</v>
      </c>
      <c r="V16" s="611">
        <f>IS!V34+U16</f>
        <v>87667.209330149592</v>
      </c>
      <c r="W16" s="611">
        <f>IS!W34+V16</f>
        <v>91812.319780835169</v>
      </c>
      <c r="X16" s="611">
        <f>IS!X34+W16</f>
        <v>95957.430231520746</v>
      </c>
      <c r="Y16" s="611">
        <f>IS!Y34+X16</f>
        <v>100102.54068220632</v>
      </c>
      <c r="Z16" s="611">
        <f>IS!Z34+Y16</f>
        <v>104247.6511328919</v>
      </c>
      <c r="AA16" s="611">
        <f>IS!AA34+Z16</f>
        <v>108392.76158357748</v>
      </c>
      <c r="AB16" s="611">
        <f>IS!AB34+AA16</f>
        <v>112537.87203426305</v>
      </c>
    </row>
    <row r="17" spans="1:28">
      <c r="A17" s="326"/>
      <c r="B17" s="606" t="s">
        <v>141</v>
      </c>
      <c r="C17" s="607">
        <f t="shared" ref="C17:S17" si="3">C15-C16</f>
        <v>140734.08468239539</v>
      </c>
      <c r="D17" s="607">
        <f t="shared" si="3"/>
        <v>135359.63347170979</v>
      </c>
      <c r="E17" s="607">
        <f t="shared" si="3"/>
        <v>129985.18226102424</v>
      </c>
      <c r="F17" s="607">
        <f t="shared" si="3"/>
        <v>124610.73105033865</v>
      </c>
      <c r="G17" s="607">
        <f t="shared" si="3"/>
        <v>119236.27983965309</v>
      </c>
      <c r="H17" s="607">
        <f t="shared" si="3"/>
        <v>114681.38913563418</v>
      </c>
      <c r="I17" s="607">
        <f t="shared" si="3"/>
        <v>110536.27868494861</v>
      </c>
      <c r="J17" s="607">
        <f t="shared" si="3"/>
        <v>106391.16823426305</v>
      </c>
      <c r="K17" s="607">
        <f t="shared" si="3"/>
        <v>102246.05778357747</v>
      </c>
      <c r="L17" s="607">
        <f t="shared" si="3"/>
        <v>98100.947332891898</v>
      </c>
      <c r="M17" s="607">
        <f t="shared" si="3"/>
        <v>93955.836882206335</v>
      </c>
      <c r="N17" s="607">
        <f t="shared" si="3"/>
        <v>89810.726431520772</v>
      </c>
      <c r="O17" s="607">
        <f t="shared" si="3"/>
        <v>85665.615980835195</v>
      </c>
      <c r="P17" s="607">
        <f t="shared" si="3"/>
        <v>81520.505530149618</v>
      </c>
      <c r="Q17" s="607">
        <f t="shared" si="3"/>
        <v>77375.395079464055</v>
      </c>
      <c r="R17" s="607">
        <f t="shared" si="3"/>
        <v>73230.284628778478</v>
      </c>
      <c r="S17" s="607">
        <f t="shared" si="3"/>
        <v>69085.174178092901</v>
      </c>
      <c r="T17" s="607">
        <f t="shared" ref="T17:AB17" si="4">T15-T16</f>
        <v>64940.063727407323</v>
      </c>
      <c r="U17" s="607">
        <f t="shared" si="4"/>
        <v>60794.953276721746</v>
      </c>
      <c r="V17" s="607">
        <f t="shared" si="4"/>
        <v>56649.842826036169</v>
      </c>
      <c r="W17" s="607">
        <f t="shared" si="4"/>
        <v>52504.732375350592</v>
      </c>
      <c r="X17" s="607">
        <f t="shared" si="4"/>
        <v>48359.621924665014</v>
      </c>
      <c r="Y17" s="607">
        <f t="shared" si="4"/>
        <v>44214.511473979437</v>
      </c>
      <c r="Z17" s="607">
        <f t="shared" si="4"/>
        <v>40069.40102329386</v>
      </c>
      <c r="AA17" s="607">
        <f t="shared" si="4"/>
        <v>35924.290572608283</v>
      </c>
      <c r="AB17" s="607">
        <f t="shared" si="4"/>
        <v>31779.180121922705</v>
      </c>
    </row>
    <row r="18" spans="1:28">
      <c r="A18" s="326"/>
      <c r="B18" s="606" t="s">
        <v>143</v>
      </c>
      <c r="C18" s="609">
        <v>0</v>
      </c>
      <c r="D18" s="609">
        <v>0</v>
      </c>
      <c r="E18" s="609">
        <v>0</v>
      </c>
      <c r="F18" s="609">
        <v>0</v>
      </c>
      <c r="G18" s="609">
        <v>0</v>
      </c>
      <c r="H18" s="609">
        <v>0</v>
      </c>
      <c r="I18" s="609">
        <v>0</v>
      </c>
      <c r="J18" s="609">
        <v>0</v>
      </c>
      <c r="K18" s="609">
        <v>0</v>
      </c>
      <c r="L18" s="609">
        <v>0</v>
      </c>
      <c r="M18" s="609">
        <v>0</v>
      </c>
      <c r="N18" s="609">
        <v>0</v>
      </c>
      <c r="O18" s="609">
        <v>0</v>
      </c>
      <c r="P18" s="609">
        <v>0</v>
      </c>
      <c r="Q18" s="609">
        <v>0</v>
      </c>
      <c r="R18" s="609">
        <v>0</v>
      </c>
      <c r="S18" s="609">
        <v>0</v>
      </c>
      <c r="T18" s="609">
        <v>0</v>
      </c>
      <c r="U18" s="609">
        <v>0</v>
      </c>
      <c r="V18" s="609">
        <v>0</v>
      </c>
      <c r="W18" s="609">
        <v>0</v>
      </c>
      <c r="X18" s="609">
        <v>0</v>
      </c>
      <c r="Y18" s="609">
        <v>0</v>
      </c>
      <c r="Z18" s="609">
        <v>0</v>
      </c>
      <c r="AA18" s="609">
        <v>0</v>
      </c>
      <c r="AB18" s="609">
        <v>0</v>
      </c>
    </row>
    <row r="19" spans="1:28">
      <c r="A19" s="610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>
      <c r="A20" s="612" t="s">
        <v>144</v>
      </c>
      <c r="B20" s="58"/>
      <c r="C20" s="613">
        <f>C12+SUM(C17:C18)</f>
        <v>140734.08468239539</v>
      </c>
      <c r="D20" s="613">
        <f t="shared" ref="D20:S20" si="5">D12+SUM(D17:D18)</f>
        <v>135359.63347170979</v>
      </c>
      <c r="E20" s="613">
        <f t="shared" si="5"/>
        <v>129985.18226102424</v>
      </c>
      <c r="F20" s="613">
        <f t="shared" si="5"/>
        <v>124610.73105033865</v>
      </c>
      <c r="G20" s="613">
        <f t="shared" si="5"/>
        <v>119236.27983965309</v>
      </c>
      <c r="H20" s="613">
        <f t="shared" si="5"/>
        <v>114681.38913563418</v>
      </c>
      <c r="I20" s="613">
        <f t="shared" si="5"/>
        <v>110536.27868494861</v>
      </c>
      <c r="J20" s="613">
        <f t="shared" si="5"/>
        <v>106391.16823426305</v>
      </c>
      <c r="K20" s="613">
        <f t="shared" si="5"/>
        <v>102246.05778357747</v>
      </c>
      <c r="L20" s="613">
        <f t="shared" si="5"/>
        <v>98100.947332891898</v>
      </c>
      <c r="M20" s="613">
        <f t="shared" si="5"/>
        <v>93955.836882206335</v>
      </c>
      <c r="N20" s="613">
        <f t="shared" si="5"/>
        <v>89810.726431520772</v>
      </c>
      <c r="O20" s="613">
        <f t="shared" si="5"/>
        <v>85665.615980835195</v>
      </c>
      <c r="P20" s="613">
        <f t="shared" si="5"/>
        <v>81520.505530149618</v>
      </c>
      <c r="Q20" s="613">
        <f t="shared" si="5"/>
        <v>77375.395079464055</v>
      </c>
      <c r="R20" s="613">
        <f t="shared" si="5"/>
        <v>73230.284628778478</v>
      </c>
      <c r="S20" s="613">
        <f t="shared" si="5"/>
        <v>69085.174178092901</v>
      </c>
      <c r="T20" s="613">
        <f t="shared" ref="T20:AB20" si="6">T12+SUM(T17:T18)</f>
        <v>64940.063727407323</v>
      </c>
      <c r="U20" s="613">
        <f t="shared" si="6"/>
        <v>60794.953276721746</v>
      </c>
      <c r="V20" s="613">
        <f t="shared" si="6"/>
        <v>56649.842826036169</v>
      </c>
      <c r="W20" s="613">
        <f t="shared" si="6"/>
        <v>52504.732375350592</v>
      </c>
      <c r="X20" s="613">
        <f t="shared" si="6"/>
        <v>48359.621924665014</v>
      </c>
      <c r="Y20" s="613">
        <f t="shared" si="6"/>
        <v>44214.511473979437</v>
      </c>
      <c r="Z20" s="613">
        <f t="shared" si="6"/>
        <v>40069.40102329386</v>
      </c>
      <c r="AA20" s="613">
        <f t="shared" si="6"/>
        <v>35924.290572608283</v>
      </c>
      <c r="AB20" s="613">
        <f t="shared" si="6"/>
        <v>31779.180121922705</v>
      </c>
    </row>
    <row r="21" spans="1:28">
      <c r="A21" s="20"/>
      <c r="Y21" s="12"/>
      <c r="Z21" s="12"/>
      <c r="AA21" s="12"/>
      <c r="AB21" s="12"/>
    </row>
    <row r="22" spans="1:28">
      <c r="A22" s="614" t="s">
        <v>145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615"/>
      <c r="Z22" s="615"/>
      <c r="AA22" s="615"/>
      <c r="AB22" s="615"/>
    </row>
    <row r="23" spans="1:28">
      <c r="A23" s="326"/>
      <c r="B23" s="606" t="s">
        <v>146</v>
      </c>
      <c r="C23" s="616">
        <f>[6]WC!C11</f>
        <v>0</v>
      </c>
      <c r="D23" s="616">
        <f>[6]WC!D11</f>
        <v>0</v>
      </c>
      <c r="E23" s="616">
        <f>[6]WC!E11</f>
        <v>0</v>
      </c>
      <c r="F23" s="616">
        <f>[6]WC!F11</f>
        <v>0</v>
      </c>
      <c r="G23" s="616">
        <f>[6]WC!G11</f>
        <v>0</v>
      </c>
      <c r="H23" s="616">
        <f>[6]WC!H11</f>
        <v>0</v>
      </c>
      <c r="I23" s="616">
        <f>[6]WC!I11</f>
        <v>0</v>
      </c>
      <c r="J23" s="616">
        <f>[6]WC!J11</f>
        <v>0</v>
      </c>
      <c r="K23" s="616">
        <f>[6]WC!K11</f>
        <v>0</v>
      </c>
      <c r="L23" s="616">
        <f>[6]WC!L11</f>
        <v>0</v>
      </c>
      <c r="M23" s="616">
        <f>[6]WC!M11</f>
        <v>0</v>
      </c>
      <c r="N23" s="616">
        <f>[6]WC!N11</f>
        <v>0</v>
      </c>
      <c r="O23" s="616">
        <f>[6]WC!O11</f>
        <v>0</v>
      </c>
      <c r="P23" s="616">
        <f>[6]WC!P11</f>
        <v>0</v>
      </c>
      <c r="Q23" s="616">
        <f>[6]WC!Q11</f>
        <v>0</v>
      </c>
      <c r="R23" s="616">
        <f>[6]WC!R11</f>
        <v>0</v>
      </c>
      <c r="S23" s="616">
        <f>[6]WC!S11</f>
        <v>0</v>
      </c>
      <c r="T23" s="616">
        <f>[6]WC!T11</f>
        <v>0</v>
      </c>
      <c r="U23" s="616">
        <f>[6]WC!U11</f>
        <v>0</v>
      </c>
      <c r="V23" s="616">
        <f>[6]WC!V11</f>
        <v>0</v>
      </c>
      <c r="W23" s="616">
        <f>[6]WC!W11</f>
        <v>0</v>
      </c>
      <c r="X23" s="616">
        <f>[6]WC!X11</f>
        <v>0</v>
      </c>
      <c r="Y23" s="616">
        <f>[6]WC!Y11</f>
        <v>0</v>
      </c>
      <c r="Z23" s="616">
        <f>[6]WC!Z11</f>
        <v>0</v>
      </c>
      <c r="AA23" s="616">
        <f>[6]WC!AA11</f>
        <v>0</v>
      </c>
      <c r="AB23" s="616">
        <f>[6]WC!AB11</f>
        <v>0</v>
      </c>
    </row>
    <row r="24" spans="1:28">
      <c r="A24" s="326"/>
      <c r="B24" s="606" t="s">
        <v>147</v>
      </c>
      <c r="C24" s="616">
        <f>[6]WC!C12</f>
        <v>0</v>
      </c>
      <c r="D24" s="616">
        <f>[6]WC!D12</f>
        <v>0</v>
      </c>
      <c r="E24" s="616">
        <f>[6]WC!E12</f>
        <v>0</v>
      </c>
      <c r="F24" s="616">
        <f>[6]WC!F12</f>
        <v>0</v>
      </c>
      <c r="G24" s="616">
        <f>[6]WC!G12</f>
        <v>0</v>
      </c>
      <c r="H24" s="616">
        <f>[6]WC!H12</f>
        <v>0</v>
      </c>
      <c r="I24" s="616">
        <f>[6]WC!I12</f>
        <v>0</v>
      </c>
      <c r="J24" s="616">
        <f>[6]WC!J12</f>
        <v>0</v>
      </c>
      <c r="K24" s="616">
        <f>[6]WC!K12</f>
        <v>0</v>
      </c>
      <c r="L24" s="616">
        <f>[6]WC!L12</f>
        <v>0</v>
      </c>
      <c r="M24" s="616">
        <f>[6]WC!M12</f>
        <v>0</v>
      </c>
      <c r="N24" s="616">
        <f>[6]WC!N12</f>
        <v>0</v>
      </c>
      <c r="O24" s="616">
        <f>[6]WC!O12</f>
        <v>0</v>
      </c>
      <c r="P24" s="616">
        <f>[6]WC!P12</f>
        <v>0</v>
      </c>
      <c r="Q24" s="616">
        <f>[6]WC!Q12</f>
        <v>0</v>
      </c>
      <c r="R24" s="616">
        <f>[6]WC!R12</f>
        <v>0</v>
      </c>
      <c r="S24" s="616">
        <f>[6]WC!S12</f>
        <v>0</v>
      </c>
      <c r="T24" s="616">
        <f>[6]WC!T12</f>
        <v>0</v>
      </c>
      <c r="U24" s="616">
        <f>[6]WC!U12</f>
        <v>0</v>
      </c>
      <c r="V24" s="616">
        <f>[6]WC!V12</f>
        <v>0</v>
      </c>
      <c r="W24" s="616">
        <f>[6]WC!W12</f>
        <v>0</v>
      </c>
      <c r="X24" s="616">
        <f>[6]WC!X12</f>
        <v>0</v>
      </c>
      <c r="Y24" s="616">
        <f>[6]WC!Y12</f>
        <v>0</v>
      </c>
      <c r="Z24" s="616">
        <f>[6]WC!Z12</f>
        <v>0</v>
      </c>
      <c r="AA24" s="616">
        <f>[6]WC!AA12</f>
        <v>0</v>
      </c>
      <c r="AB24" s="616">
        <f>[6]WC!AB12</f>
        <v>0</v>
      </c>
    </row>
    <row r="25" spans="1:28">
      <c r="A25" s="326"/>
      <c r="B25" s="606" t="s">
        <v>148</v>
      </c>
      <c r="C25" s="607">
        <f>Taxes!B49</f>
        <v>-1538.4868550863562</v>
      </c>
      <c r="D25" s="607">
        <f>Taxes!C49</f>
        <v>-4826.326892492998</v>
      </c>
      <c r="E25" s="607">
        <f>Taxes!D49</f>
        <v>-7657.4654784353361</v>
      </c>
      <c r="F25" s="607">
        <f>Taxes!E49</f>
        <v>-10080.509134065433</v>
      </c>
      <c r="G25" s="607">
        <f>Taxes!F49</f>
        <v>-12134.410876141343</v>
      </c>
      <c r="H25" s="607">
        <f>Taxes!G49</f>
        <v>-13890.597494413163</v>
      </c>
      <c r="I25" s="607">
        <f>Taxes!H49</f>
        <v>-15509.660776401075</v>
      </c>
      <c r="J25" s="607">
        <f>Taxes!I49</f>
        <v>-17137.707262843898</v>
      </c>
      <c r="K25" s="607">
        <f>Taxes!J49</f>
        <v>-18765.418105792913</v>
      </c>
      <c r="L25" s="607">
        <f>Taxes!K49</f>
        <v>-20402.844276809359</v>
      </c>
      <c r="M25" s="607">
        <f>Taxes!L49</f>
        <v>-22040.720712484301</v>
      </c>
      <c r="N25" s="607">
        <f>Taxes!M49</f>
        <v>-23689.155984554283</v>
      </c>
      <c r="O25" s="607">
        <f>Taxes!N49</f>
        <v>-25338.946713530033</v>
      </c>
      <c r="P25" s="607">
        <f>Taxes!O49</f>
        <v>-27000.267525708878</v>
      </c>
      <c r="Q25" s="607">
        <f>Taxes!P49</f>
        <v>-28663.985773803652</v>
      </c>
      <c r="R25" s="607">
        <f>Taxes!Q49</f>
        <v>-28813.52492041032</v>
      </c>
      <c r="S25" s="607">
        <f>Taxes!R49</f>
        <v>-27174.133737164175</v>
      </c>
      <c r="T25" s="607">
        <f>Taxes!S49</f>
        <v>-25534.742553918029</v>
      </c>
      <c r="U25" s="607">
        <f>Taxes!T49</f>
        <v>-23895.351370671884</v>
      </c>
      <c r="V25" s="607">
        <f>Taxes!U49</f>
        <v>-22255.960187425739</v>
      </c>
      <c r="W25" s="607">
        <f>Taxes!V49</f>
        <v>-20616.569004179593</v>
      </c>
      <c r="X25" s="607">
        <f>Taxes!W49</f>
        <v>-18977.177820933452</v>
      </c>
      <c r="Y25" s="607">
        <f>Taxes!X49</f>
        <v>-17337.786637687306</v>
      </c>
      <c r="Z25" s="607">
        <f>Taxes!Y49</f>
        <v>-15698.395454441161</v>
      </c>
      <c r="AA25" s="607">
        <f>Taxes!Z49</f>
        <v>-14059.004271195017</v>
      </c>
      <c r="AB25" s="607">
        <f>Taxes!AA49</f>
        <v>-12419.613087948874</v>
      </c>
    </row>
    <row r="26" spans="1:28">
      <c r="A26" s="326"/>
      <c r="B26" s="606" t="s">
        <v>575</v>
      </c>
      <c r="C26" s="607">
        <f>[6]Maint!D15</f>
        <v>498.70588235294122</v>
      </c>
      <c r="D26" s="607">
        <f>[6]Maint!E15</f>
        <v>1012.3729411764707</v>
      </c>
      <c r="E26" s="607">
        <f>[6]Maint!F15</f>
        <v>1540.9363447058824</v>
      </c>
      <c r="F26" s="607">
        <f>[6]Maint!G15</f>
        <v>2084.5638052358827</v>
      </c>
      <c r="G26" s="607">
        <f>[6]Maint!H15</f>
        <v>2643.4128346607226</v>
      </c>
      <c r="H26" s="607">
        <f>[6]Maint!I15</f>
        <v>3217.4625576859185</v>
      </c>
      <c r="I26" s="607">
        <f>[6]Maint!J15</f>
        <v>3806.8394083158869</v>
      </c>
      <c r="J26" s="607">
        <f>[6]Maint!K15</f>
        <v>4411.6579324323602</v>
      </c>
      <c r="K26" s="607">
        <f>[6]Maint!L15</f>
        <v>5032.0807744710391</v>
      </c>
      <c r="L26" s="607">
        <f>[6]Maint!M15</f>
        <v>5668.2623566974999</v>
      </c>
      <c r="M26" s="607">
        <f>[6]Maint!N15</f>
        <v>6320.4757147960681</v>
      </c>
      <c r="N26" s="607">
        <f>[6]Maint!O15</f>
        <v>6988.9944068470995</v>
      </c>
      <c r="O26" s="607">
        <f>[6]Maint!P15</f>
        <v>7674.4266218070225</v>
      </c>
      <c r="P26" s="607">
        <f>[6]Maint!Q15</f>
        <v>8377.4744446914156</v>
      </c>
      <c r="Q26" s="607">
        <f>[6]Maint!R15</f>
        <v>-3164.8834922953956</v>
      </c>
      <c r="R26" s="607">
        <f>[6]Maint!S15</f>
        <v>-2424.224811426373</v>
      </c>
      <c r="S26" s="607">
        <f>[6]Maint!T15</f>
        <v>-1663.4942803058</v>
      </c>
      <c r="T26" s="607">
        <f>[6]Maint!U15</f>
        <v>-882.14795179185967</v>
      </c>
      <c r="U26" s="607">
        <f>[6]Maint!V15</f>
        <v>-79.627137775191613</v>
      </c>
      <c r="V26" s="607">
        <f>[6]Maint!W15</f>
        <v>744.64199030132818</v>
      </c>
      <c r="W26" s="607">
        <f>[6]Maint!X15</f>
        <v>1591.2488117487217</v>
      </c>
      <c r="X26" s="607">
        <f>[6]Maint!Y15</f>
        <v>2460.7986780573392</v>
      </c>
      <c r="Y26" s="607">
        <f>[6]Maint!Z15</f>
        <v>3353.9133457429207</v>
      </c>
      <c r="Z26" s="607">
        <f>[6]Maint!AA15</f>
        <v>4271.2314209227807</v>
      </c>
      <c r="AA26" s="607">
        <f>[6]Maint!AB15</f>
        <v>5213.4088159400153</v>
      </c>
      <c r="AB26" s="607">
        <f>[6]Maint!AC15</f>
        <v>6181.119218362217</v>
      </c>
    </row>
    <row r="27" spans="1:28">
      <c r="A27" s="326"/>
      <c r="B27" s="606" t="s">
        <v>149</v>
      </c>
      <c r="C27" s="608">
        <v>0</v>
      </c>
      <c r="D27" s="608">
        <v>0</v>
      </c>
      <c r="E27" s="608">
        <v>0</v>
      </c>
      <c r="F27" s="608">
        <v>0</v>
      </c>
      <c r="G27" s="608">
        <v>0</v>
      </c>
      <c r="H27" s="608">
        <v>0</v>
      </c>
      <c r="I27" s="608">
        <v>0</v>
      </c>
      <c r="J27" s="608">
        <v>0</v>
      </c>
      <c r="K27" s="608">
        <v>0</v>
      </c>
      <c r="L27" s="608">
        <v>0</v>
      </c>
      <c r="M27" s="608">
        <v>0</v>
      </c>
      <c r="N27" s="608">
        <v>0</v>
      </c>
      <c r="O27" s="608">
        <v>0</v>
      </c>
      <c r="P27" s="608">
        <v>0</v>
      </c>
      <c r="Q27" s="608">
        <v>0</v>
      </c>
      <c r="R27" s="608">
        <v>0</v>
      </c>
      <c r="S27" s="608">
        <v>0</v>
      </c>
      <c r="T27" s="608">
        <v>0</v>
      </c>
      <c r="U27" s="608">
        <v>0</v>
      </c>
      <c r="V27" s="608">
        <v>0</v>
      </c>
      <c r="W27" s="608">
        <v>0</v>
      </c>
      <c r="X27" s="608">
        <v>0</v>
      </c>
      <c r="Y27" s="608">
        <v>0</v>
      </c>
      <c r="Z27" s="608">
        <v>0</v>
      </c>
      <c r="AA27" s="608">
        <v>0</v>
      </c>
      <c r="AB27" s="608">
        <v>0</v>
      </c>
    </row>
    <row r="28" spans="1:28">
      <c r="A28" s="326"/>
      <c r="B28" s="606" t="s">
        <v>150</v>
      </c>
      <c r="C28" s="607">
        <f>'Revised Debt'!C16</f>
        <v>106768.91410933004</v>
      </c>
      <c r="D28" s="607">
        <f>'Revised Debt'!D16</f>
        <v>105638.6153021255</v>
      </c>
      <c r="E28" s="607">
        <f>'Revised Debt'!E16</f>
        <v>104429.19557841665</v>
      </c>
      <c r="F28" s="607">
        <f>'Revised Debt'!F16</f>
        <v>103135.11647404818</v>
      </c>
      <c r="G28" s="607">
        <f>'Revised Debt'!G16</f>
        <v>101750.4518323739</v>
      </c>
      <c r="H28" s="607">
        <f>'Revised Debt'!H16</f>
        <v>100268.86066578243</v>
      </c>
      <c r="I28" s="607">
        <f>'Revised Debt'!I16</f>
        <v>98683.558117529552</v>
      </c>
      <c r="J28" s="607">
        <f>'Revised Debt'!J16</f>
        <v>96987.284390898974</v>
      </c>
      <c r="K28" s="607">
        <f>'Revised Debt'!K16</f>
        <v>95172.271503404263</v>
      </c>
      <c r="L28" s="607">
        <f>'Revised Debt'!L16</f>
        <v>93230.207713784912</v>
      </c>
      <c r="M28" s="607">
        <f>'Revised Debt'!M16</f>
        <v>91152.19945889221</v>
      </c>
      <c r="N28" s="607">
        <f>'Revised Debt'!N16</f>
        <v>88928.730626157019</v>
      </c>
      <c r="O28" s="607">
        <f>'Revised Debt'!O16</f>
        <v>86549.618975130375</v>
      </c>
      <c r="P28" s="607">
        <f>'Revised Debt'!P16</f>
        <v>84003.969508531853</v>
      </c>
      <c r="Q28" s="607">
        <f>'Revised Debt'!Q16</f>
        <v>81280.124579271447</v>
      </c>
      <c r="R28" s="607">
        <f>'Revised Debt'!R16</f>
        <v>78365.61050496281</v>
      </c>
      <c r="S28" s="607">
        <f>'Revised Debt'!S16</f>
        <v>75247.080445452564</v>
      </c>
      <c r="T28" s="607">
        <f>'Revised Debt'!T16</f>
        <v>71910.253281776604</v>
      </c>
      <c r="U28" s="607">
        <f>'Revised Debt'!U16</f>
        <v>68339.848216643324</v>
      </c>
      <c r="V28" s="607">
        <f>'Revised Debt'!V16</f>
        <v>64519.514796950716</v>
      </c>
      <c r="W28" s="607">
        <f>'Revised Debt'!W16</f>
        <v>60431.758037879626</v>
      </c>
      <c r="X28" s="607">
        <f>'Revised Debt'!X16</f>
        <v>56057.858305673559</v>
      </c>
      <c r="Y28" s="607">
        <f>'Revised Debt'!Y16</f>
        <v>51377.785592213062</v>
      </c>
      <c r="Z28" s="607">
        <f>'Revised Debt'!Z16</f>
        <v>46370.107788810332</v>
      </c>
      <c r="AA28" s="607">
        <f>'Revised Debt'!AA16</f>
        <v>41011.892539169414</v>
      </c>
      <c r="AB28" s="607">
        <f>'Revised Debt'!AB16</f>
        <v>35278.602222053632</v>
      </c>
    </row>
    <row r="29" spans="1:28">
      <c r="A29" s="326"/>
      <c r="B29" s="606" t="s">
        <v>151</v>
      </c>
      <c r="C29" s="609">
        <v>0</v>
      </c>
      <c r="D29" s="609">
        <v>0</v>
      </c>
      <c r="E29" s="609">
        <v>0</v>
      </c>
      <c r="F29" s="609">
        <v>0</v>
      </c>
      <c r="G29" s="609">
        <v>0</v>
      </c>
      <c r="H29" s="609">
        <v>0</v>
      </c>
      <c r="I29" s="609">
        <v>0</v>
      </c>
      <c r="J29" s="609">
        <v>0</v>
      </c>
      <c r="K29" s="609">
        <v>0</v>
      </c>
      <c r="L29" s="609">
        <v>0</v>
      </c>
      <c r="M29" s="609">
        <v>0</v>
      </c>
      <c r="N29" s="609">
        <v>0</v>
      </c>
      <c r="O29" s="609">
        <v>0</v>
      </c>
      <c r="P29" s="609">
        <v>0</v>
      </c>
      <c r="Q29" s="609">
        <v>0</v>
      </c>
      <c r="R29" s="609">
        <v>0</v>
      </c>
      <c r="S29" s="609">
        <v>0</v>
      </c>
      <c r="T29" s="609">
        <v>0</v>
      </c>
      <c r="U29" s="609">
        <v>0</v>
      </c>
      <c r="V29" s="609">
        <v>0</v>
      </c>
      <c r="W29" s="609">
        <v>0</v>
      </c>
      <c r="X29" s="609">
        <v>0</v>
      </c>
      <c r="Y29" s="609">
        <v>0</v>
      </c>
      <c r="Z29" s="609">
        <v>0</v>
      </c>
      <c r="AA29" s="609">
        <v>0</v>
      </c>
      <c r="AB29" s="609">
        <v>0</v>
      </c>
    </row>
    <row r="30" spans="1:28">
      <c r="A30" s="617" t="s">
        <v>152</v>
      </c>
      <c r="B30" s="13"/>
      <c r="C30" s="607">
        <f>SUM(C23:C29)</f>
        <v>105729.13313659663</v>
      </c>
      <c r="D30" s="607">
        <f t="shared" ref="D30:S30" si="7">SUM(D23:D29)</f>
        <v>101824.66135080898</v>
      </c>
      <c r="E30" s="607">
        <f t="shared" si="7"/>
        <v>98312.666444687202</v>
      </c>
      <c r="F30" s="607">
        <f t="shared" si="7"/>
        <v>95139.171145218628</v>
      </c>
      <c r="G30" s="607">
        <f t="shared" si="7"/>
        <v>92259.453790893283</v>
      </c>
      <c r="H30" s="607">
        <f t="shared" si="7"/>
        <v>89595.725729055179</v>
      </c>
      <c r="I30" s="607">
        <f t="shared" si="7"/>
        <v>86980.736749444361</v>
      </c>
      <c r="J30" s="607">
        <f t="shared" si="7"/>
        <v>84261.235060487437</v>
      </c>
      <c r="K30" s="607">
        <f t="shared" si="7"/>
        <v>81438.934172082387</v>
      </c>
      <c r="L30" s="607">
        <f t="shared" si="7"/>
        <v>78495.625793673054</v>
      </c>
      <c r="M30" s="607">
        <f t="shared" si="7"/>
        <v>75431.954461203975</v>
      </c>
      <c r="N30" s="607">
        <f t="shared" si="7"/>
        <v>72228.569048449834</v>
      </c>
      <c r="O30" s="607">
        <f t="shared" si="7"/>
        <v>68885.098883407365</v>
      </c>
      <c r="P30" s="607">
        <f t="shared" si="7"/>
        <v>65381.176427514394</v>
      </c>
      <c r="Q30" s="607">
        <f>SUM(Q23:Q29)</f>
        <v>49451.255313172398</v>
      </c>
      <c r="R30" s="607">
        <f t="shared" si="7"/>
        <v>47127.860773126115</v>
      </c>
      <c r="S30" s="607">
        <f t="shared" si="7"/>
        <v>46409.452427982586</v>
      </c>
      <c r="T30" s="607">
        <f t="shared" ref="T30:AB30" si="8">SUM(T23:T29)</f>
        <v>45493.362776066715</v>
      </c>
      <c r="U30" s="607">
        <f t="shared" si="8"/>
        <v>44364.869708196245</v>
      </c>
      <c r="V30" s="607">
        <f t="shared" si="8"/>
        <v>43008.196599826304</v>
      </c>
      <c r="W30" s="607">
        <f t="shared" si="8"/>
        <v>41406.43784544876</v>
      </c>
      <c r="X30" s="607">
        <f t="shared" si="8"/>
        <v>39541.479162797448</v>
      </c>
      <c r="Y30" s="607">
        <f t="shared" si="8"/>
        <v>37393.912300268676</v>
      </c>
      <c r="Z30" s="607">
        <f t="shared" si="8"/>
        <v>34942.943755291955</v>
      </c>
      <c r="AA30" s="607">
        <f t="shared" si="8"/>
        <v>32166.297083914411</v>
      </c>
      <c r="AB30" s="607">
        <f t="shared" si="8"/>
        <v>29040.108352466974</v>
      </c>
    </row>
    <row r="31" spans="1:28">
      <c r="A31" s="610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>
      <c r="A32" s="605" t="s">
        <v>153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>
      <c r="A33" s="326"/>
      <c r="B33" s="618" t="s">
        <v>154</v>
      </c>
      <c r="C33" s="607">
        <f>Assumptions!$C$11</f>
        <v>45758.106046855741</v>
      </c>
      <c r="D33" s="607">
        <f>Assumptions!$C$11</f>
        <v>45758.106046855741</v>
      </c>
      <c r="E33" s="607">
        <f>Assumptions!$C$11</f>
        <v>45758.106046855741</v>
      </c>
      <c r="F33" s="607">
        <f>Assumptions!$C$11</f>
        <v>45758.106046855741</v>
      </c>
      <c r="G33" s="607">
        <f>Assumptions!$C$11</f>
        <v>45758.106046855741</v>
      </c>
      <c r="H33" s="607">
        <f>Assumptions!$C$11</f>
        <v>45758.106046855741</v>
      </c>
      <c r="I33" s="607">
        <f>Assumptions!$C$11</f>
        <v>45758.106046855741</v>
      </c>
      <c r="J33" s="607">
        <f>Assumptions!$C$11</f>
        <v>45758.106046855741</v>
      </c>
      <c r="K33" s="607">
        <f>Assumptions!$C$11</f>
        <v>45758.106046855741</v>
      </c>
      <c r="L33" s="607">
        <f>Assumptions!$C$11</f>
        <v>45758.106046855741</v>
      </c>
      <c r="M33" s="607">
        <f>Assumptions!$C$11</f>
        <v>45758.106046855741</v>
      </c>
      <c r="N33" s="607">
        <f>Assumptions!$C$11</f>
        <v>45758.106046855741</v>
      </c>
      <c r="O33" s="607">
        <f>Assumptions!$C$11</f>
        <v>45758.106046855741</v>
      </c>
      <c r="P33" s="607">
        <f>Assumptions!$C$11</f>
        <v>45758.106046855741</v>
      </c>
      <c r="Q33" s="607">
        <f>Assumptions!$C$11</f>
        <v>45758.106046855741</v>
      </c>
      <c r="R33" s="607">
        <f>Assumptions!$C$11</f>
        <v>45758.106046855741</v>
      </c>
      <c r="S33" s="607">
        <f>Assumptions!$C$11</f>
        <v>45758.106046855741</v>
      </c>
      <c r="T33" s="607">
        <f>Assumptions!$C$11</f>
        <v>45758.106046855741</v>
      </c>
      <c r="U33" s="607">
        <f>Assumptions!$C$11</f>
        <v>45758.106046855741</v>
      </c>
      <c r="V33" s="607">
        <f>Assumptions!$C$11</f>
        <v>45758.106046855741</v>
      </c>
      <c r="W33" s="607">
        <f>Assumptions!$C$11</f>
        <v>45758.106046855741</v>
      </c>
      <c r="X33" s="607">
        <f>Assumptions!$C$11</f>
        <v>45758.106046855741</v>
      </c>
      <c r="Y33" s="607">
        <f>Assumptions!$C$11</f>
        <v>45758.106046855741</v>
      </c>
      <c r="Z33" s="607">
        <f>Assumptions!$C$11</f>
        <v>45758.106046855741</v>
      </c>
      <c r="AA33" s="607">
        <f>Assumptions!$C$11</f>
        <v>45758.106046855741</v>
      </c>
      <c r="AB33" s="607">
        <f>Assumptions!$C$11</f>
        <v>45758.106046855741</v>
      </c>
    </row>
    <row r="34" spans="1:28">
      <c r="A34" s="326"/>
      <c r="B34" s="618" t="s">
        <v>155</v>
      </c>
      <c r="C34" s="619">
        <f>IS!C45</f>
        <v>1165.133193316527</v>
      </c>
      <c r="D34" s="619">
        <f>IS!D45</f>
        <v>1919.3155634596649</v>
      </c>
      <c r="E34" s="619">
        <f>IS!E45</f>
        <v>1955.3857040684056</v>
      </c>
      <c r="F34" s="619">
        <f>IS!F45</f>
        <v>1994.7360772697566</v>
      </c>
      <c r="G34" s="619">
        <f>IS!G45</f>
        <v>2037.6114058002047</v>
      </c>
      <c r="H34" s="619">
        <f>IS!H45</f>
        <v>2579.6981713968835</v>
      </c>
      <c r="I34" s="619">
        <f>IS!I45</f>
        <v>2878.140699150611</v>
      </c>
      <c r="J34" s="619">
        <f>IS!J45</f>
        <v>2933.2397749230795</v>
      </c>
      <c r="K34" s="619">
        <f>IS!K45</f>
        <v>2993.0297233481151</v>
      </c>
      <c r="L34" s="619">
        <f>IS!L45</f>
        <v>3057.8555842583683</v>
      </c>
      <c r="M34" s="619">
        <f>IS!M45</f>
        <v>3128.086883849714</v>
      </c>
      <c r="N34" s="619">
        <f>IS!N45</f>
        <v>3204.1193553981766</v>
      </c>
      <c r="O34" s="619">
        <f>IS!O45</f>
        <v>3286.3767805604675</v>
      </c>
      <c r="P34" s="619">
        <f>IS!P45</f>
        <v>3375.3129597016641</v>
      </c>
      <c r="Q34" s="619">
        <f>IS!Q45</f>
        <v>3471.4138202846389</v>
      </c>
      <c r="R34" s="619">
        <f>IS!R45</f>
        <v>3575.1996729883563</v>
      </c>
      <c r="S34" s="619">
        <f>IS!S45</f>
        <v>3687.2276258988677</v>
      </c>
      <c r="T34" s="619">
        <f>IS!T45</f>
        <v>3808.094167840999</v>
      </c>
      <c r="U34" s="619">
        <f>IS!U45</f>
        <v>3938.4379326935186</v>
      </c>
      <c r="V34" s="619">
        <f>IS!V45</f>
        <v>4078.9426573596443</v>
      </c>
      <c r="W34" s="619">
        <f>IS!W45</f>
        <v>4230.3403469518089</v>
      </c>
      <c r="X34" s="619">
        <f>IS!X45</f>
        <v>4393.4146616988182</v>
      </c>
      <c r="Y34" s="619">
        <f>IS!Y45</f>
        <v>4569.0045410991861</v>
      </c>
      <c r="Z34" s="619">
        <f>IS!Z45</f>
        <v>4758.0080819310642</v>
      </c>
      <c r="AA34" s="619">
        <f>IS!AA45</f>
        <v>4961.386687892129</v>
      </c>
      <c r="AB34" s="619">
        <f>IS!AB45</f>
        <v>5180.1695098868422</v>
      </c>
    </row>
    <row r="35" spans="1:28">
      <c r="A35" s="326"/>
      <c r="B35" s="618" t="s">
        <v>156</v>
      </c>
      <c r="C35" s="611">
        <f>SUM(C33:C34)</f>
        <v>46923.239240172268</v>
      </c>
      <c r="D35" s="611">
        <f t="shared" ref="D35:S35" si="9">SUM(D33:D34)</f>
        <v>47677.421610315403</v>
      </c>
      <c r="E35" s="611">
        <f t="shared" si="9"/>
        <v>47713.49175092415</v>
      </c>
      <c r="F35" s="611">
        <f t="shared" si="9"/>
        <v>47752.842124125498</v>
      </c>
      <c r="G35" s="611">
        <f t="shared" si="9"/>
        <v>47795.717452655947</v>
      </c>
      <c r="H35" s="611">
        <f t="shared" si="9"/>
        <v>48337.804218252626</v>
      </c>
      <c r="I35" s="611">
        <f t="shared" si="9"/>
        <v>48636.246746006349</v>
      </c>
      <c r="J35" s="611">
        <f t="shared" si="9"/>
        <v>48691.345821778821</v>
      </c>
      <c r="K35" s="611">
        <f t="shared" si="9"/>
        <v>48751.135770203859</v>
      </c>
      <c r="L35" s="611">
        <f t="shared" si="9"/>
        <v>48815.961631114107</v>
      </c>
      <c r="M35" s="611">
        <f t="shared" si="9"/>
        <v>48886.192930705452</v>
      </c>
      <c r="N35" s="611">
        <f t="shared" si="9"/>
        <v>48962.22540225392</v>
      </c>
      <c r="O35" s="611">
        <f t="shared" si="9"/>
        <v>49044.482827416206</v>
      </c>
      <c r="P35" s="611">
        <f t="shared" si="9"/>
        <v>49133.419006557408</v>
      </c>
      <c r="Q35" s="611">
        <f t="shared" si="9"/>
        <v>49229.519867140378</v>
      </c>
      <c r="R35" s="611">
        <f t="shared" si="9"/>
        <v>49333.305719844095</v>
      </c>
      <c r="S35" s="611">
        <f t="shared" si="9"/>
        <v>49445.333672754612</v>
      </c>
      <c r="T35" s="611">
        <f t="shared" ref="T35:AB35" si="10">SUM(T33:T34)</f>
        <v>49566.200214696742</v>
      </c>
      <c r="U35" s="611">
        <f t="shared" si="10"/>
        <v>49696.543979549257</v>
      </c>
      <c r="V35" s="611">
        <f t="shared" si="10"/>
        <v>49837.048704215384</v>
      </c>
      <c r="W35" s="611">
        <f t="shared" si="10"/>
        <v>49988.44639380755</v>
      </c>
      <c r="X35" s="611">
        <f t="shared" si="10"/>
        <v>50151.520708554555</v>
      </c>
      <c r="Y35" s="611">
        <f t="shared" si="10"/>
        <v>50327.110587954929</v>
      </c>
      <c r="Z35" s="611">
        <f t="shared" si="10"/>
        <v>50516.114128786809</v>
      </c>
      <c r="AA35" s="611">
        <f t="shared" si="10"/>
        <v>50719.492734747866</v>
      </c>
      <c r="AB35" s="611">
        <f t="shared" si="10"/>
        <v>50938.275556742585</v>
      </c>
    </row>
    <row r="36" spans="1:28">
      <c r="A36" s="617" t="s">
        <v>157</v>
      </c>
      <c r="B36" s="13"/>
      <c r="C36" s="607">
        <f>C30+C35</f>
        <v>152652.37237676891</v>
      </c>
      <c r="D36" s="607">
        <f t="shared" ref="D36:S36" si="11">D30+D35</f>
        <v>149502.08296112437</v>
      </c>
      <c r="E36" s="607">
        <f t="shared" si="11"/>
        <v>146026.15819561135</v>
      </c>
      <c r="F36" s="607">
        <f t="shared" si="11"/>
        <v>142892.01326934411</v>
      </c>
      <c r="G36" s="607">
        <f t="shared" si="11"/>
        <v>140055.17124354924</v>
      </c>
      <c r="H36" s="607">
        <f>H30+H35</f>
        <v>137933.5299473078</v>
      </c>
      <c r="I36" s="607">
        <f t="shared" si="11"/>
        <v>135616.9834954507</v>
      </c>
      <c r="J36" s="607">
        <f t="shared" si="11"/>
        <v>132952.58088226625</v>
      </c>
      <c r="K36" s="607">
        <f t="shared" si="11"/>
        <v>130190.06994228624</v>
      </c>
      <c r="L36" s="607">
        <f t="shared" si="11"/>
        <v>127311.58742478717</v>
      </c>
      <c r="M36" s="607">
        <f t="shared" si="11"/>
        <v>124318.14739190943</v>
      </c>
      <c r="N36" s="607">
        <f t="shared" si="11"/>
        <v>121190.79445070375</v>
      </c>
      <c r="O36" s="607">
        <f t="shared" si="11"/>
        <v>117929.58171082358</v>
      </c>
      <c r="P36" s="607">
        <f t="shared" si="11"/>
        <v>114514.5954340718</v>
      </c>
      <c r="Q36" s="607">
        <f t="shared" si="11"/>
        <v>98680.775180312776</v>
      </c>
      <c r="R36" s="607">
        <f t="shared" si="11"/>
        <v>96461.166492970209</v>
      </c>
      <c r="S36" s="607">
        <f t="shared" si="11"/>
        <v>95854.786100737198</v>
      </c>
      <c r="T36" s="607">
        <f t="shared" ref="T36:AB36" si="12">T30+T35</f>
        <v>95059.562990763457</v>
      </c>
      <c r="U36" s="607">
        <f t="shared" si="12"/>
        <v>94061.413687745502</v>
      </c>
      <c r="V36" s="607">
        <f t="shared" si="12"/>
        <v>92845.245304041688</v>
      </c>
      <c r="W36" s="607">
        <f t="shared" si="12"/>
        <v>91394.884239256309</v>
      </c>
      <c r="X36" s="607">
        <f t="shared" si="12"/>
        <v>89692.999871352004</v>
      </c>
      <c r="Y36" s="607">
        <f t="shared" si="12"/>
        <v>87721.022888223612</v>
      </c>
      <c r="Z36" s="607">
        <f t="shared" si="12"/>
        <v>85459.057884078764</v>
      </c>
      <c r="AA36" s="607">
        <f t="shared" si="12"/>
        <v>82885.789818662277</v>
      </c>
      <c r="AB36" s="607">
        <f t="shared" si="12"/>
        <v>79978.383909209559</v>
      </c>
    </row>
    <row r="37" spans="1:28">
      <c r="A37" s="62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</row>
    <row r="38" spans="1:28">
      <c r="A38" s="622" t="s">
        <v>158</v>
      </c>
      <c r="B38" s="623"/>
      <c r="C38" s="624">
        <f>C20-C36</f>
        <v>-11918.287694373517</v>
      </c>
      <c r="D38" s="624">
        <f t="shared" ref="D38:S38" si="13">D20-D36</f>
        <v>-14142.449489414576</v>
      </c>
      <c r="E38" s="624">
        <f t="shared" si="13"/>
        <v>-16040.975934587113</v>
      </c>
      <c r="F38" s="624">
        <f t="shared" si="13"/>
        <v>-18281.282219005458</v>
      </c>
      <c r="G38" s="624">
        <f t="shared" si="13"/>
        <v>-20818.891403896152</v>
      </c>
      <c r="H38" s="624">
        <f t="shared" si="13"/>
        <v>-23252.140811673627</v>
      </c>
      <c r="I38" s="624">
        <f t="shared" si="13"/>
        <v>-25080.70481050208</v>
      </c>
      <c r="J38" s="624">
        <f t="shared" si="13"/>
        <v>-26561.412648003199</v>
      </c>
      <c r="K38" s="624">
        <f t="shared" si="13"/>
        <v>-27944.012158708763</v>
      </c>
      <c r="L38" s="624">
        <f t="shared" si="13"/>
        <v>-29210.640091895271</v>
      </c>
      <c r="M38" s="624">
        <f t="shared" si="13"/>
        <v>-30362.310509703093</v>
      </c>
      <c r="N38" s="624">
        <f t="shared" si="13"/>
        <v>-31380.068019182974</v>
      </c>
      <c r="O38" s="624">
        <f t="shared" si="13"/>
        <v>-32263.965729988384</v>
      </c>
      <c r="P38" s="624">
        <f t="shared" si="13"/>
        <v>-32994.089903922184</v>
      </c>
      <c r="Q38" s="624">
        <f t="shared" si="13"/>
        <v>-21305.380100848721</v>
      </c>
      <c r="R38" s="624">
        <f t="shared" si="13"/>
        <v>-23230.881864191731</v>
      </c>
      <c r="S38" s="624">
        <f t="shared" si="13"/>
        <v>-26769.611922644297</v>
      </c>
      <c r="T38" s="624">
        <f t="shared" ref="T38:AB38" si="14">T20-T36</f>
        <v>-30119.499263356134</v>
      </c>
      <c r="U38" s="624">
        <f t="shared" si="14"/>
        <v>-33266.460411023756</v>
      </c>
      <c r="V38" s="624">
        <f t="shared" si="14"/>
        <v>-36195.402478005519</v>
      </c>
      <c r="W38" s="624">
        <f t="shared" si="14"/>
        <v>-38890.151863905718</v>
      </c>
      <c r="X38" s="624">
        <f t="shared" si="14"/>
        <v>-41333.377946686989</v>
      </c>
      <c r="Y38" s="624">
        <f t="shared" si="14"/>
        <v>-43506.511414244174</v>
      </c>
      <c r="Z38" s="624">
        <f t="shared" si="14"/>
        <v>-45389.656860784904</v>
      </c>
      <c r="AA38" s="624">
        <f t="shared" si="14"/>
        <v>-46961.499246053994</v>
      </c>
      <c r="AB38" s="624">
        <f t="shared" si="14"/>
        <v>-48199.203787286853</v>
      </c>
    </row>
  </sheetData>
  <printOptions horizontalCentered="1"/>
  <pageMargins left="0.75" right="0.75" top="1" bottom="1" header="0.5" footer="0.5"/>
  <pageSetup scale="63" orientation="landscape" r:id="rId1"/>
  <headerFooter alignWithMargins="0">
    <oddFooter>&amp;L&amp;D  &amp;T&amp;R&amp;F
&amp;A 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21</vt:i4>
      </vt:variant>
    </vt:vector>
  </HeadingPairs>
  <TitlesOfParts>
    <vt:vector size="37" baseType="lpstr">
      <vt:lpstr>Notes</vt:lpstr>
      <vt:lpstr>Tracking Sheet</vt:lpstr>
      <vt:lpstr>Assumptions</vt:lpstr>
      <vt:lpstr>Comp Costs</vt:lpstr>
      <vt:lpstr>Cost Details</vt:lpstr>
      <vt:lpstr>Price_Technical Assumption</vt:lpstr>
      <vt:lpstr>Fuel Oil Curve</vt:lpstr>
      <vt:lpstr>IS</vt:lpstr>
      <vt:lpstr>BS (2)</vt:lpstr>
      <vt:lpstr>CF &amp; Returns</vt:lpstr>
      <vt:lpstr>Revised Debt</vt:lpstr>
      <vt:lpstr>BS</vt:lpstr>
      <vt:lpstr>Debt</vt:lpstr>
      <vt:lpstr>Depreciation</vt:lpstr>
      <vt:lpstr>Taxes</vt:lpstr>
      <vt:lpstr>IDC</vt:lpstr>
      <vt:lpstr>BS</vt:lpstr>
      <vt:lpstr>Deg_Rate</vt:lpstr>
      <vt:lpstr>Equity_Copy</vt:lpstr>
      <vt:lpstr>ISO_MW</vt:lpstr>
      <vt:lpstr>Loan_Copy</vt:lpstr>
      <vt:lpstr>Assumptions!Print_Area</vt:lpstr>
      <vt:lpstr>BS!Print_Area</vt:lpstr>
      <vt:lpstr>'CF &amp; Returns'!Print_Area</vt:lpstr>
      <vt:lpstr>'Comp Costs'!Print_Area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'CF &amp; Returns'!Print_Titles</vt:lpstr>
      <vt:lpstr>Debt!Print_Titles</vt:lpstr>
      <vt:lpstr>Depreciation!Print_Titles</vt:lpstr>
      <vt:lpstr>IS!Print_Titles</vt:lpstr>
      <vt:lpstr>'Price_Technical Assumption'!Print_Titles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2000-05-05T20:15:09Z</cp:lastPrinted>
  <dcterms:created xsi:type="dcterms:W3CDTF">1999-04-02T01:38:38Z</dcterms:created>
  <dcterms:modified xsi:type="dcterms:W3CDTF">2014-09-03T11:35:01Z</dcterms:modified>
</cp:coreProperties>
</file>